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_DesktopReal\158.COLETA_REFERENCIA_FISICA_BASE_VU\templates\"/>
    </mc:Choice>
  </mc:AlternateContent>
  <xr:revisionPtr revIDLastSave="0" documentId="13_ncr:1_{37BD7704-2F11-492C-97A7-208E0F17DD39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_DETALHE" sheetId="15" state="hidden" r:id="rId15"/>
    <sheet name="RESULTADOS" sheetId="20" r:id="rId16"/>
  </sheets>
  <definedNames>
    <definedName name="AJUSTE_MANUAL_VTA">MEMORIA_RESULTADOS!$B$24</definedName>
    <definedName name="AJUSTES_DEVIDOS">RESULTADOS_DETALHE!$B$84</definedName>
    <definedName name="_xlnm.Print_Area" localSheetId="15">RESULTADOS!$B$1:$G$71</definedName>
    <definedName name="_xlnm.Print_Area" localSheetId="14">RESULTADOS_DETALHE!$A$1:$H$50</definedName>
    <definedName name="AUDITORIA_ABERTURA_STATUS">RESULTADOS_DETALHE!$H$11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RESULTADOS_DETALHE!$H$10</definedName>
    <definedName name="AUDITORIA_ULTIMA_REFERENCIA_ABERTURA">MEMORIA_RESULTADOS!$W$48</definedName>
    <definedName name="CONFERENCIA_FORMACAO_VTA">RESULTADOS_DETALHE!$B$87</definedName>
    <definedName name="EXECUCAO_ATUALIZADA_CICLO">RESULTADOS_DETALHE!$B$36</definedName>
    <definedName name="EXECUTADO_APURADO">RESULTADOS_DETALHE!$B$83</definedName>
    <definedName name="JUSTIFICATIVA_RETRO">MEMORIA_RESULTADOS!$D$5</definedName>
    <definedName name="METODO_RETROATIVO">MEMORIA_RESULTADOS!$B$4</definedName>
    <definedName name="OPCOES_APLICAR_MANUAL">RESULTADOS_DETALHE!$J$2:$J$3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RESULTADOS_DETALHE!$B$38</definedName>
    <definedName name="STATUS_RESULTADOS">RESULTADOS_DETALHE!$B$3</definedName>
    <definedName name="TOLERANCIA_DIVERGENCIA">MEMORIA_RESULTADOS!$D$4</definedName>
    <definedName name="VALOR_MANUAL_RETRO">MEMORIA_RESULTADOS!$B$5</definedName>
    <definedName name="VTA_ATUALIZACAO_CHEIA">RESULTADOS_DETALHE!$B$12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8" l="1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A8" i="3"/>
  <c r="B2" i="2"/>
  <c r="B11" i="2" s="1"/>
  <c r="B10" i="2" s="1"/>
  <c r="G39" i="20"/>
  <c r="F39" i="20"/>
  <c r="E39" i="20"/>
  <c r="D39" i="20"/>
  <c r="C39" i="20"/>
  <c r="G38" i="20"/>
  <c r="F38" i="20"/>
  <c r="E38" i="20"/>
  <c r="D38" i="20"/>
  <c r="C38" i="20"/>
  <c r="G37" i="20"/>
  <c r="F37" i="20"/>
  <c r="E37" i="20"/>
  <c r="D37" i="20"/>
  <c r="C37" i="20"/>
  <c r="G36" i="20"/>
  <c r="F36" i="20"/>
  <c r="E36" i="20"/>
  <c r="D36" i="20"/>
  <c r="C36" i="20"/>
  <c r="G35" i="20"/>
  <c r="F35" i="20"/>
  <c r="E35" i="20"/>
  <c r="D35" i="20"/>
  <c r="C35" i="20"/>
  <c r="C31" i="20"/>
  <c r="B20" i="20"/>
  <c r="B19" i="20"/>
  <c r="B18" i="20"/>
  <c r="D17" i="20"/>
  <c r="E10" i="20"/>
  <c r="C10" i="20"/>
  <c r="E6" i="20"/>
  <c r="D6" i="20"/>
  <c r="W82" i="14"/>
  <c r="W95" i="14" s="1"/>
  <c r="W81" i="14"/>
  <c r="W80" i="14"/>
  <c r="V82" i="14"/>
  <c r="V81" i="14"/>
  <c r="V80" i="14"/>
  <c r="U82" i="14"/>
  <c r="U95" i="14" s="1"/>
  <c r="U81" i="14"/>
  <c r="U80" i="14"/>
  <c r="T82" i="14"/>
  <c r="T81" i="14"/>
  <c r="T80" i="14"/>
  <c r="AG6" i="6"/>
  <c r="AF6" i="6" s="1"/>
  <c r="Y6" i="6"/>
  <c r="AG5" i="6"/>
  <c r="AB5" i="6" s="1"/>
  <c r="Y5" i="6"/>
  <c r="AG4" i="6"/>
  <c r="AE4" i="6" s="1"/>
  <c r="Y4" i="6"/>
  <c r="AG3" i="6"/>
  <c r="AC3" i="6" s="1"/>
  <c r="Y3" i="6"/>
  <c r="AG2" i="6"/>
  <c r="AE2" i="6" s="1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H50" i="15"/>
  <c r="H49" i="15"/>
  <c r="H48" i="15"/>
  <c r="H47" i="15"/>
  <c r="H46" i="15"/>
  <c r="H45" i="15"/>
  <c r="H44" i="15"/>
  <c r="H43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B20" i="14"/>
  <c r="C14" i="14"/>
  <c r="C13" i="14"/>
  <c r="C12" i="14"/>
  <c r="C11" i="14"/>
  <c r="C10" i="14"/>
  <c r="D5" i="14"/>
  <c r="B5" i="14"/>
  <c r="D21" i="15" s="1"/>
  <c r="E48" i="20" s="1"/>
  <c r="B4" i="14"/>
  <c r="E77" i="15" s="1"/>
  <c r="B17" i="13"/>
  <c r="B14" i="13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J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I195" i="8" s="1"/>
  <c r="F194" i="8"/>
  <c r="G194" i="8" s="1"/>
  <c r="C194" i="8"/>
  <c r="I194" i="8" s="1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J189" i="8" s="1"/>
  <c r="F188" i="8"/>
  <c r="G188" i="8" s="1"/>
  <c r="C188" i="8"/>
  <c r="I188" i="8" s="1"/>
  <c r="F187" i="8"/>
  <c r="G187" i="8" s="1"/>
  <c r="C187" i="8"/>
  <c r="L187" i="8" s="1"/>
  <c r="F186" i="8"/>
  <c r="G186" i="8" s="1"/>
  <c r="C186" i="8"/>
  <c r="I186" i="8" s="1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J183" i="8" s="1"/>
  <c r="F182" i="8"/>
  <c r="G182" i="8" s="1"/>
  <c r="C182" i="8"/>
  <c r="L182" i="8" s="1"/>
  <c r="J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I178" i="8" s="1"/>
  <c r="F177" i="8"/>
  <c r="G177" i="8" s="1"/>
  <c r="C177" i="8"/>
  <c r="L177" i="8" s="1"/>
  <c r="J177" i="8" s="1"/>
  <c r="F176" i="8"/>
  <c r="G176" i="8" s="1"/>
  <c r="C176" i="8"/>
  <c r="I176" i="8" s="1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J171" i="8" s="1"/>
  <c r="F170" i="8"/>
  <c r="G170" i="8" s="1"/>
  <c r="C170" i="8"/>
  <c r="L170" i="8" s="1"/>
  <c r="J170" i="8" s="1"/>
  <c r="F169" i="8"/>
  <c r="G169" i="8" s="1"/>
  <c r="C169" i="8"/>
  <c r="L169" i="8" s="1"/>
  <c r="F168" i="8"/>
  <c r="G168" i="8" s="1"/>
  <c r="C168" i="8"/>
  <c r="I168" i="8" s="1"/>
  <c r="F167" i="8"/>
  <c r="G167" i="8" s="1"/>
  <c r="C167" i="8"/>
  <c r="I167" i="8" s="1"/>
  <c r="F166" i="8"/>
  <c r="G166" i="8" s="1"/>
  <c r="C166" i="8"/>
  <c r="L166" i="8" s="1"/>
  <c r="F165" i="8"/>
  <c r="C165" i="8"/>
  <c r="L165" i="8" s="1"/>
  <c r="J165" i="8" s="1"/>
  <c r="F164" i="8"/>
  <c r="G164" i="8" s="1"/>
  <c r="C164" i="8"/>
  <c r="L164" i="8" s="1"/>
  <c r="J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J159" i="8" s="1"/>
  <c r="F158" i="8"/>
  <c r="G158" i="8" s="1"/>
  <c r="C158" i="8"/>
  <c r="I158" i="8" s="1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I153" i="8" s="1"/>
  <c r="F152" i="8"/>
  <c r="G152" i="8" s="1"/>
  <c r="C152" i="8"/>
  <c r="I152" i="8" s="1"/>
  <c r="F151" i="8"/>
  <c r="G151" i="8" s="1"/>
  <c r="C151" i="8"/>
  <c r="L151" i="8" s="1"/>
  <c r="F150" i="8"/>
  <c r="G150" i="8" s="1"/>
  <c r="C150" i="8"/>
  <c r="I150" i="8" s="1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J147" i="8" s="1"/>
  <c r="F146" i="8"/>
  <c r="G146" i="8" s="1"/>
  <c r="C146" i="8"/>
  <c r="L146" i="8" s="1"/>
  <c r="J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J141" i="8" s="1"/>
  <c r="F140" i="8"/>
  <c r="G140" i="8" s="1"/>
  <c r="C140" i="8"/>
  <c r="L140" i="8" s="1"/>
  <c r="J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I137" i="8" s="1"/>
  <c r="F136" i="8"/>
  <c r="G136" i="8" s="1"/>
  <c r="C136" i="8"/>
  <c r="L136" i="8" s="1"/>
  <c r="F135" i="8"/>
  <c r="G135" i="8" s="1"/>
  <c r="C135" i="8"/>
  <c r="L135" i="8" s="1"/>
  <c r="J135" i="8" s="1"/>
  <c r="F134" i="8"/>
  <c r="G134" i="8" s="1"/>
  <c r="C134" i="8"/>
  <c r="L134" i="8" s="1"/>
  <c r="J134" i="8" s="1"/>
  <c r="F133" i="8"/>
  <c r="G133" i="8" s="1"/>
  <c r="C133" i="8"/>
  <c r="L133" i="8" s="1"/>
  <c r="F132" i="8"/>
  <c r="G132" i="8" s="1"/>
  <c r="C132" i="8"/>
  <c r="I132" i="8" s="1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I129" i="8" s="1"/>
  <c r="F128" i="8"/>
  <c r="G128" i="8" s="1"/>
  <c r="C128" i="8"/>
  <c r="I128" i="8" s="1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J123" i="8" s="1"/>
  <c r="F122" i="8"/>
  <c r="G122" i="8" s="1"/>
  <c r="C122" i="8"/>
  <c r="I122" i="8" s="1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J117" i="8" s="1"/>
  <c r="F116" i="8"/>
  <c r="G116" i="8" s="1"/>
  <c r="C116" i="8"/>
  <c r="L116" i="8" s="1"/>
  <c r="J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J111" i="8" s="1"/>
  <c r="F110" i="8"/>
  <c r="G110" i="8" s="1"/>
  <c r="C110" i="8"/>
  <c r="I110" i="8" s="1"/>
  <c r="F109" i="8"/>
  <c r="G109" i="8" s="1"/>
  <c r="C109" i="8"/>
  <c r="I109" i="8" s="1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I105" i="8" s="1"/>
  <c r="F104" i="8"/>
  <c r="G104" i="8" s="1"/>
  <c r="C104" i="8"/>
  <c r="L104" i="8" s="1"/>
  <c r="J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I101" i="8" s="1"/>
  <c r="F100" i="8"/>
  <c r="G100" i="8" s="1"/>
  <c r="C100" i="8"/>
  <c r="L100" i="8" s="1"/>
  <c r="F99" i="8"/>
  <c r="G99" i="8" s="1"/>
  <c r="C99" i="8"/>
  <c r="I99" i="8" s="1"/>
  <c r="F98" i="8"/>
  <c r="G98" i="8" s="1"/>
  <c r="C98" i="8"/>
  <c r="L98" i="8" s="1"/>
  <c r="J98" i="8" s="1"/>
  <c r="F97" i="8"/>
  <c r="G97" i="8" s="1"/>
  <c r="C97" i="8"/>
  <c r="I97" i="8" s="1"/>
  <c r="F96" i="8"/>
  <c r="G96" i="8" s="1"/>
  <c r="C96" i="8"/>
  <c r="I96" i="8" s="1"/>
  <c r="F95" i="8"/>
  <c r="C95" i="8"/>
  <c r="L95" i="8" s="1"/>
  <c r="F94" i="8"/>
  <c r="G94" i="8" s="1"/>
  <c r="C94" i="8"/>
  <c r="L94" i="8" s="1"/>
  <c r="F93" i="8"/>
  <c r="G93" i="8" s="1"/>
  <c r="C93" i="8"/>
  <c r="I93" i="8" s="1"/>
  <c r="F92" i="8"/>
  <c r="G92" i="8" s="1"/>
  <c r="C92" i="8"/>
  <c r="L92" i="8" s="1"/>
  <c r="J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I89" i="8" s="1"/>
  <c r="F88" i="8"/>
  <c r="C88" i="8"/>
  <c r="L88" i="8" s="1"/>
  <c r="F87" i="8"/>
  <c r="G87" i="8" s="1"/>
  <c r="C87" i="8"/>
  <c r="L87" i="8" s="1"/>
  <c r="J87" i="8" s="1"/>
  <c r="F86" i="8"/>
  <c r="G86" i="8" s="1"/>
  <c r="C86" i="8"/>
  <c r="L86" i="8" s="1"/>
  <c r="J86" i="8" s="1"/>
  <c r="F85" i="8"/>
  <c r="G85" i="8" s="1"/>
  <c r="C85" i="8"/>
  <c r="L85" i="8" s="1"/>
  <c r="F84" i="8"/>
  <c r="G84" i="8" s="1"/>
  <c r="C84" i="8"/>
  <c r="I84" i="8" s="1"/>
  <c r="F83" i="8"/>
  <c r="G83" i="8" s="1"/>
  <c r="C83" i="8"/>
  <c r="L83" i="8" s="1"/>
  <c r="F82" i="8"/>
  <c r="C82" i="8"/>
  <c r="L82" i="8" s="1"/>
  <c r="F81" i="8"/>
  <c r="G81" i="8" s="1"/>
  <c r="C81" i="8"/>
  <c r="I81" i="8" s="1"/>
  <c r="F80" i="8"/>
  <c r="G80" i="8" s="1"/>
  <c r="C80" i="8"/>
  <c r="L80" i="8" s="1"/>
  <c r="J80" i="8" s="1"/>
  <c r="F79" i="8"/>
  <c r="G79" i="8" s="1"/>
  <c r="C79" i="8"/>
  <c r="L79" i="8" s="1"/>
  <c r="F78" i="8"/>
  <c r="G78" i="8" s="1"/>
  <c r="C78" i="8"/>
  <c r="I78" i="8" s="1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J75" i="8" s="1"/>
  <c r="F74" i="8"/>
  <c r="G74" i="8" s="1"/>
  <c r="C74" i="8"/>
  <c r="L74" i="8" s="1"/>
  <c r="J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J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J63" i="8" s="1"/>
  <c r="F62" i="8"/>
  <c r="G62" i="8" s="1"/>
  <c r="C62" i="8"/>
  <c r="I62" i="8" s="1"/>
  <c r="F61" i="8"/>
  <c r="G61" i="8" s="1"/>
  <c r="C61" i="8"/>
  <c r="I61" i="8" s="1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J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I53" i="8" s="1"/>
  <c r="F52" i="8"/>
  <c r="G52" i="8" s="1"/>
  <c r="C52" i="8"/>
  <c r="L52" i="8" s="1"/>
  <c r="F51" i="8"/>
  <c r="G51" i="8" s="1"/>
  <c r="C51" i="8"/>
  <c r="L51" i="8" s="1"/>
  <c r="J51" i="8" s="1"/>
  <c r="F50" i="8"/>
  <c r="G50" i="8" s="1"/>
  <c r="C50" i="8"/>
  <c r="L50" i="8" s="1"/>
  <c r="F49" i="8"/>
  <c r="G49" i="8" s="1"/>
  <c r="C49" i="8"/>
  <c r="I49" i="8" s="1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I45" i="8" s="1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I41" i="8" s="1"/>
  <c r="F40" i="8"/>
  <c r="G40" i="8" s="1"/>
  <c r="C40" i="8"/>
  <c r="L40" i="8" s="1"/>
  <c r="F39" i="8"/>
  <c r="G39" i="8" s="1"/>
  <c r="C39" i="8"/>
  <c r="L39" i="8" s="1"/>
  <c r="J39" i="8" s="1"/>
  <c r="F38" i="8"/>
  <c r="C38" i="8"/>
  <c r="L38" i="8" s="1"/>
  <c r="F37" i="8"/>
  <c r="G37" i="8" s="1"/>
  <c r="C37" i="8"/>
  <c r="I37" i="8" s="1"/>
  <c r="F36" i="8"/>
  <c r="G36" i="8" s="1"/>
  <c r="C36" i="8"/>
  <c r="I36" i="8" s="1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J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I30" i="8" s="1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J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J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I17" i="8" s="1"/>
  <c r="F16" i="8"/>
  <c r="G16" i="8" s="1"/>
  <c r="C16" i="8"/>
  <c r="L16" i="8" s="1"/>
  <c r="F15" i="8"/>
  <c r="G15" i="8" s="1"/>
  <c r="C15" i="8"/>
  <c r="L15" i="8" s="1"/>
  <c r="J15" i="8" s="1"/>
  <c r="F14" i="8"/>
  <c r="G14" i="8" s="1"/>
  <c r="C14" i="8"/>
  <c r="I14" i="8" s="1"/>
  <c r="F13" i="8"/>
  <c r="G13" i="8" s="1"/>
  <c r="C13" i="8"/>
  <c r="I13" i="8" s="1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I9" i="8" s="1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I5" i="8" s="1"/>
  <c r="F4" i="8"/>
  <c r="G4" i="8" s="1"/>
  <c r="C4" i="8"/>
  <c r="L4" i="8" s="1"/>
  <c r="F3" i="8"/>
  <c r="G3" i="8" s="1"/>
  <c r="C3" i="8"/>
  <c r="L3" i="8" s="1"/>
  <c r="J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9" i="2"/>
  <c r="B8" i="13"/>
  <c r="I9" i="9"/>
  <c r="W49" i="14"/>
  <c r="J10" i="8" l="1"/>
  <c r="J22" i="8"/>
  <c r="J34" i="8"/>
  <c r="J46" i="8"/>
  <c r="J58" i="8"/>
  <c r="J70" i="8"/>
  <c r="J82" i="8"/>
  <c r="J94" i="8"/>
  <c r="J106" i="8"/>
  <c r="J118" i="8"/>
  <c r="J130" i="8"/>
  <c r="J142" i="8"/>
  <c r="J154" i="8"/>
  <c r="J166" i="8"/>
  <c r="J190" i="8"/>
  <c r="J11" i="8"/>
  <c r="J23" i="8"/>
  <c r="J29" i="8"/>
  <c r="J35" i="8"/>
  <c r="J47" i="8"/>
  <c r="J59" i="8"/>
  <c r="J65" i="8"/>
  <c r="J71" i="8"/>
  <c r="J77" i="8"/>
  <c r="J83" i="8"/>
  <c r="J95" i="8"/>
  <c r="J107" i="8"/>
  <c r="J113" i="8"/>
  <c r="J119" i="8"/>
  <c r="J125" i="8"/>
  <c r="J131" i="8"/>
  <c r="J143" i="8"/>
  <c r="J149" i="8"/>
  <c r="J155" i="8"/>
  <c r="J161" i="8"/>
  <c r="J173" i="8"/>
  <c r="J179" i="8"/>
  <c r="J185" i="8"/>
  <c r="J191" i="8"/>
  <c r="J197" i="8"/>
  <c r="I58" i="8"/>
  <c r="J88" i="8"/>
  <c r="I190" i="8"/>
  <c r="I46" i="8"/>
  <c r="I34" i="8"/>
  <c r="I166" i="8"/>
  <c r="I22" i="8"/>
  <c r="J6" i="8"/>
  <c r="J12" i="8"/>
  <c r="J18" i="8"/>
  <c r="J24" i="8"/>
  <c r="J42" i="8"/>
  <c r="J48" i="8"/>
  <c r="J54" i="8"/>
  <c r="J60" i="8"/>
  <c r="J66" i="8"/>
  <c r="J72" i="8"/>
  <c r="J90" i="8"/>
  <c r="J102" i="8"/>
  <c r="J108" i="8"/>
  <c r="J114" i="8"/>
  <c r="J120" i="8"/>
  <c r="J126" i="8"/>
  <c r="J138" i="8"/>
  <c r="J144" i="8"/>
  <c r="J156" i="8"/>
  <c r="J162" i="8"/>
  <c r="J174" i="8"/>
  <c r="J180" i="8"/>
  <c r="J192" i="8"/>
  <c r="J198" i="8"/>
  <c r="I154" i="8"/>
  <c r="I10" i="8"/>
  <c r="I142" i="8"/>
  <c r="J7" i="8"/>
  <c r="J19" i="8"/>
  <c r="J25" i="8"/>
  <c r="J31" i="8"/>
  <c r="J43" i="8"/>
  <c r="J55" i="8"/>
  <c r="J67" i="8"/>
  <c r="J73" i="8"/>
  <c r="J79" i="8"/>
  <c r="J85" i="8"/>
  <c r="J91" i="8"/>
  <c r="J103" i="8"/>
  <c r="J115" i="8"/>
  <c r="J121" i="8"/>
  <c r="J127" i="8"/>
  <c r="J133" i="8"/>
  <c r="J139" i="8"/>
  <c r="J145" i="8"/>
  <c r="J151" i="8"/>
  <c r="J157" i="8"/>
  <c r="J163" i="8"/>
  <c r="J169" i="8"/>
  <c r="J175" i="8"/>
  <c r="J181" i="8"/>
  <c r="J187" i="8"/>
  <c r="J193" i="8"/>
  <c r="J199" i="8"/>
  <c r="I130" i="8"/>
  <c r="I118" i="8"/>
  <c r="J2" i="8"/>
  <c r="J8" i="8"/>
  <c r="J20" i="8"/>
  <c r="J26" i="8"/>
  <c r="J32" i="8"/>
  <c r="J38" i="8"/>
  <c r="J44" i="8"/>
  <c r="J50" i="8"/>
  <c r="J56" i="8"/>
  <c r="J68" i="8"/>
  <c r="I106" i="8"/>
  <c r="I94" i="8"/>
  <c r="I82" i="8"/>
  <c r="I70" i="8"/>
  <c r="O196" i="8"/>
  <c r="O184" i="8"/>
  <c r="O172" i="8"/>
  <c r="O160" i="8"/>
  <c r="O148" i="8"/>
  <c r="O136" i="8"/>
  <c r="O124" i="8"/>
  <c r="O112" i="8"/>
  <c r="O100" i="8"/>
  <c r="O88" i="8"/>
  <c r="O76" i="8"/>
  <c r="O64" i="8"/>
  <c r="O52" i="8"/>
  <c r="O40" i="8"/>
  <c r="O28" i="8"/>
  <c r="O16" i="8"/>
  <c r="O4" i="8"/>
  <c r="I191" i="8"/>
  <c r="I179" i="8"/>
  <c r="I155" i="8"/>
  <c r="I143" i="8"/>
  <c r="I131" i="8"/>
  <c r="I119" i="8"/>
  <c r="I107" i="8"/>
  <c r="I95" i="8"/>
  <c r="I83" i="8"/>
  <c r="I71" i="8"/>
  <c r="I59" i="8"/>
  <c r="I47" i="8"/>
  <c r="I35" i="8"/>
  <c r="I23" i="8"/>
  <c r="I11" i="8"/>
  <c r="O195" i="8"/>
  <c r="O183" i="8"/>
  <c r="O171" i="8"/>
  <c r="O159" i="8"/>
  <c r="O147" i="8"/>
  <c r="O135" i="8"/>
  <c r="O123" i="8"/>
  <c r="O111" i="8"/>
  <c r="O99" i="8"/>
  <c r="O87" i="8"/>
  <c r="O75" i="8"/>
  <c r="O63" i="8"/>
  <c r="O51" i="8"/>
  <c r="O39" i="8"/>
  <c r="O27" i="8"/>
  <c r="O15" i="8"/>
  <c r="O3" i="8"/>
  <c r="O194" i="8"/>
  <c r="O182" i="8"/>
  <c r="O170" i="8"/>
  <c r="O158" i="8"/>
  <c r="O146" i="8"/>
  <c r="O134" i="8"/>
  <c r="O122" i="8"/>
  <c r="O110" i="8"/>
  <c r="O98" i="8"/>
  <c r="O86" i="8"/>
  <c r="O74" i="8"/>
  <c r="O62" i="8"/>
  <c r="O50" i="8"/>
  <c r="O38" i="8"/>
  <c r="O26" i="8"/>
  <c r="O14" i="8"/>
  <c r="O2" i="8"/>
  <c r="I189" i="8"/>
  <c r="I177" i="8"/>
  <c r="I165" i="8"/>
  <c r="I141" i="8"/>
  <c r="I117" i="8"/>
  <c r="I69" i="8"/>
  <c r="I57" i="8"/>
  <c r="I33" i="8"/>
  <c r="I21" i="8"/>
  <c r="J196" i="8"/>
  <c r="J184" i="8"/>
  <c r="J172" i="8"/>
  <c r="J160" i="8"/>
  <c r="J148" i="8"/>
  <c r="J136" i="8"/>
  <c r="J124" i="8"/>
  <c r="J112" i="8"/>
  <c r="J100" i="8"/>
  <c r="J76" i="8"/>
  <c r="J64" i="8"/>
  <c r="J52" i="8"/>
  <c r="J40" i="8"/>
  <c r="J28" i="8"/>
  <c r="J16" i="8"/>
  <c r="J4" i="8"/>
  <c r="O193" i="8"/>
  <c r="O181" i="8"/>
  <c r="O169" i="8"/>
  <c r="O157" i="8"/>
  <c r="O145" i="8"/>
  <c r="O133" i="8"/>
  <c r="O121" i="8"/>
  <c r="O109" i="8"/>
  <c r="O97" i="8"/>
  <c r="O85" i="8"/>
  <c r="O73" i="8"/>
  <c r="O61" i="8"/>
  <c r="O49" i="8"/>
  <c r="O37" i="8"/>
  <c r="O25" i="8"/>
  <c r="O13" i="8"/>
  <c r="I200" i="8"/>
  <c r="I164" i="8"/>
  <c r="I140" i="8"/>
  <c r="I116" i="8"/>
  <c r="I104" i="8"/>
  <c r="I92" i="8"/>
  <c r="I80" i="8"/>
  <c r="I68" i="8"/>
  <c r="I56" i="8"/>
  <c r="I44" i="8"/>
  <c r="I32" i="8"/>
  <c r="I20" i="8"/>
  <c r="I8" i="8"/>
  <c r="O192" i="8"/>
  <c r="O180" i="8"/>
  <c r="O168" i="8"/>
  <c r="O156" i="8"/>
  <c r="O144" i="8"/>
  <c r="O132" i="8"/>
  <c r="O120" i="8"/>
  <c r="O108" i="8"/>
  <c r="O96" i="8"/>
  <c r="O84" i="8"/>
  <c r="O72" i="8"/>
  <c r="O60" i="8"/>
  <c r="O48" i="8"/>
  <c r="O36" i="8"/>
  <c r="O24" i="8"/>
  <c r="O12" i="8"/>
  <c r="I199" i="8"/>
  <c r="I187" i="8"/>
  <c r="I175" i="8"/>
  <c r="I163" i="8"/>
  <c r="I151" i="8"/>
  <c r="I139" i="8"/>
  <c r="I127" i="8"/>
  <c r="I115" i="8"/>
  <c r="I103" i="8"/>
  <c r="I91" i="8"/>
  <c r="I79" i="8"/>
  <c r="I67" i="8"/>
  <c r="I55" i="8"/>
  <c r="I43" i="8"/>
  <c r="I31" i="8"/>
  <c r="I19" i="8"/>
  <c r="I7" i="8"/>
  <c r="O191" i="8"/>
  <c r="O179" i="8"/>
  <c r="O167" i="8"/>
  <c r="O155" i="8"/>
  <c r="O143" i="8"/>
  <c r="O131" i="8"/>
  <c r="O119" i="8"/>
  <c r="O107" i="8"/>
  <c r="O95" i="8"/>
  <c r="O83" i="8"/>
  <c r="O71" i="8"/>
  <c r="O59" i="8"/>
  <c r="O47" i="8"/>
  <c r="O35" i="8"/>
  <c r="O23" i="8"/>
  <c r="O11" i="8"/>
  <c r="I198" i="8"/>
  <c r="I174" i="8"/>
  <c r="I162" i="8"/>
  <c r="I138" i="8"/>
  <c r="I126" i="8"/>
  <c r="I114" i="8"/>
  <c r="I102" i="8"/>
  <c r="I90" i="8"/>
  <c r="I66" i="8"/>
  <c r="I54" i="8"/>
  <c r="I42" i="8"/>
  <c r="I18" i="8"/>
  <c r="I6" i="8"/>
  <c r="O190" i="8"/>
  <c r="O178" i="8"/>
  <c r="O166" i="8"/>
  <c r="O154" i="8"/>
  <c r="O142" i="8"/>
  <c r="O130" i="8"/>
  <c r="O118" i="8"/>
  <c r="O106" i="8"/>
  <c r="O94" i="8"/>
  <c r="O82" i="8"/>
  <c r="O70" i="8"/>
  <c r="O58" i="8"/>
  <c r="O46" i="8"/>
  <c r="O34" i="8"/>
  <c r="O22" i="8"/>
  <c r="O10" i="8"/>
  <c r="I197" i="8"/>
  <c r="I185" i="8"/>
  <c r="I173" i="8"/>
  <c r="I161" i="8"/>
  <c r="I149" i="8"/>
  <c r="I125" i="8"/>
  <c r="I113" i="8"/>
  <c r="I77" i="8"/>
  <c r="I65" i="8"/>
  <c r="I29" i="8"/>
  <c r="O189" i="8"/>
  <c r="O177" i="8"/>
  <c r="O165" i="8"/>
  <c r="O153" i="8"/>
  <c r="O141" i="8"/>
  <c r="O129" i="8"/>
  <c r="O117" i="8"/>
  <c r="O105" i="8"/>
  <c r="O93" i="8"/>
  <c r="O81" i="8"/>
  <c r="O69" i="8"/>
  <c r="O57" i="8"/>
  <c r="O45" i="8"/>
  <c r="O33" i="8"/>
  <c r="O21" i="8"/>
  <c r="O9" i="8"/>
  <c r="I196" i="8"/>
  <c r="I184" i="8"/>
  <c r="I172" i="8"/>
  <c r="I160" i="8"/>
  <c r="I148" i="8"/>
  <c r="I136" i="8"/>
  <c r="I124" i="8"/>
  <c r="I112" i="8"/>
  <c r="I100" i="8"/>
  <c r="I88" i="8"/>
  <c r="I76" i="8"/>
  <c r="I64" i="8"/>
  <c r="I52" i="8"/>
  <c r="I40" i="8"/>
  <c r="I28" i="8"/>
  <c r="I16" i="8"/>
  <c r="I4" i="8"/>
  <c r="O200" i="8"/>
  <c r="O188" i="8"/>
  <c r="O176" i="8"/>
  <c r="O164" i="8"/>
  <c r="O152" i="8"/>
  <c r="O140" i="8"/>
  <c r="O128" i="8"/>
  <c r="O116" i="8"/>
  <c r="O104" i="8"/>
  <c r="O92" i="8"/>
  <c r="O80" i="8"/>
  <c r="O68" i="8"/>
  <c r="O56" i="8"/>
  <c r="O44" i="8"/>
  <c r="O32" i="8"/>
  <c r="O20" i="8"/>
  <c r="O8" i="8"/>
  <c r="I183" i="8"/>
  <c r="I171" i="8"/>
  <c r="I159" i="8"/>
  <c r="I147" i="8"/>
  <c r="I135" i="8"/>
  <c r="I123" i="8"/>
  <c r="I111" i="8"/>
  <c r="I87" i="8"/>
  <c r="I75" i="8"/>
  <c r="I63" i="8"/>
  <c r="I51" i="8"/>
  <c r="I39" i="8"/>
  <c r="I27" i="8"/>
  <c r="I15" i="8"/>
  <c r="I3" i="8"/>
  <c r="O199" i="8"/>
  <c r="O187" i="8"/>
  <c r="O175" i="8"/>
  <c r="O163" i="8"/>
  <c r="O151" i="8"/>
  <c r="O139" i="8"/>
  <c r="O127" i="8"/>
  <c r="O115" i="8"/>
  <c r="O103" i="8"/>
  <c r="O91" i="8"/>
  <c r="O79" i="8"/>
  <c r="O67" i="8"/>
  <c r="O55" i="8"/>
  <c r="O43" i="8"/>
  <c r="O31" i="8"/>
  <c r="O19" i="8"/>
  <c r="O7" i="8"/>
  <c r="I182" i="8"/>
  <c r="I170" i="8"/>
  <c r="I146" i="8"/>
  <c r="I134" i="8"/>
  <c r="I98" i="8"/>
  <c r="I86" i="8"/>
  <c r="I74" i="8"/>
  <c r="I50" i="8"/>
  <c r="I38" i="8"/>
  <c r="I26" i="8"/>
  <c r="I2" i="8"/>
  <c r="O198" i="8"/>
  <c r="O186" i="8"/>
  <c r="O174" i="8"/>
  <c r="O162" i="8"/>
  <c r="O150" i="8"/>
  <c r="O138" i="8"/>
  <c r="O126" i="8"/>
  <c r="O114" i="8"/>
  <c r="O102" i="8"/>
  <c r="O90" i="8"/>
  <c r="O78" i="8"/>
  <c r="O66" i="8"/>
  <c r="O54" i="8"/>
  <c r="O42" i="8"/>
  <c r="O30" i="8"/>
  <c r="O18" i="8"/>
  <c r="O6" i="8"/>
  <c r="I193" i="8"/>
  <c r="I181" i="8"/>
  <c r="I169" i="8"/>
  <c r="I157" i="8"/>
  <c r="I145" i="8"/>
  <c r="I133" i="8"/>
  <c r="I121" i="8"/>
  <c r="I85" i="8"/>
  <c r="I73" i="8"/>
  <c r="I25" i="8"/>
  <c r="O197" i="8"/>
  <c r="O185" i="8"/>
  <c r="O173" i="8"/>
  <c r="O161" i="8"/>
  <c r="O149" i="8"/>
  <c r="O137" i="8"/>
  <c r="O125" i="8"/>
  <c r="O113" i="8"/>
  <c r="O101" i="8"/>
  <c r="O89" i="8"/>
  <c r="O77" i="8"/>
  <c r="O65" i="8"/>
  <c r="O53" i="8"/>
  <c r="O41" i="8"/>
  <c r="O29" i="8"/>
  <c r="O17" i="8"/>
  <c r="O5" i="8"/>
  <c r="I192" i="8"/>
  <c r="I180" i="8"/>
  <c r="I156" i="8"/>
  <c r="I144" i="8"/>
  <c r="I120" i="8"/>
  <c r="I108" i="8"/>
  <c r="I72" i="8"/>
  <c r="I60" i="8"/>
  <c r="I48" i="8"/>
  <c r="I24" i="8"/>
  <c r="I12" i="8"/>
  <c r="B26" i="15"/>
  <c r="T20" i="14"/>
  <c r="W66" i="14" s="1"/>
  <c r="W50" i="14" s="1"/>
  <c r="C10" i="15" s="1"/>
  <c r="B27" i="15"/>
  <c r="C27" i="15" s="1"/>
  <c r="F4" i="14"/>
  <c r="D33" i="14" s="1"/>
  <c r="E33" i="14" s="1"/>
  <c r="B28" i="15"/>
  <c r="C28" i="15" s="1"/>
  <c r="B38" i="20"/>
  <c r="B36" i="20"/>
  <c r="B29" i="15"/>
  <c r="C29" i="15" s="1"/>
  <c r="A33" i="15"/>
  <c r="B30" i="15"/>
  <c r="C30" i="15" s="1"/>
  <c r="J8" i="15"/>
  <c r="C3" i="15" s="1"/>
  <c r="B34" i="15"/>
  <c r="H5" i="15"/>
  <c r="D6" i="15" s="1"/>
  <c r="F6" i="20" s="1"/>
  <c r="F9" i="20" s="1"/>
  <c r="F10" i="20" s="1"/>
  <c r="B37" i="15"/>
  <c r="C37" i="15" s="1"/>
  <c r="B35" i="20"/>
  <c r="B37" i="20"/>
  <c r="B39" i="20"/>
  <c r="B5" i="13"/>
  <c r="B6" i="13" s="1"/>
  <c r="C6" i="20"/>
  <c r="D15" i="20"/>
  <c r="B66" i="20"/>
  <c r="C66" i="20"/>
  <c r="D16" i="20"/>
  <c r="D66" i="20"/>
  <c r="B68" i="20"/>
  <c r="C68" i="20"/>
  <c r="C18" i="20"/>
  <c r="B62" i="20"/>
  <c r="D68" i="20"/>
  <c r="B6" i="20"/>
  <c r="B64" i="20"/>
  <c r="B69" i="20"/>
  <c r="D19" i="20"/>
  <c r="C64" i="20"/>
  <c r="C69" i="20"/>
  <c r="D64" i="20"/>
  <c r="D69" i="20"/>
  <c r="B65" i="20"/>
  <c r="B70" i="20"/>
  <c r="C65" i="20"/>
  <c r="C70" i="20"/>
  <c r="D10" i="20"/>
  <c r="D65" i="20"/>
  <c r="D70" i="20"/>
  <c r="D9" i="20"/>
  <c r="D14" i="20"/>
  <c r="D18" i="20"/>
  <c r="B63" i="20"/>
  <c r="B67" i="20"/>
  <c r="B71" i="20"/>
  <c r="C63" i="20"/>
  <c r="C67" i="20"/>
  <c r="C71" i="20"/>
  <c r="C19" i="20"/>
  <c r="D63" i="20"/>
  <c r="D67" i="20"/>
  <c r="D71" i="20"/>
  <c r="U84" i="14"/>
  <c r="U93" i="14" s="1"/>
  <c r="T84" i="14"/>
  <c r="T93" i="14" s="1"/>
  <c r="U90" i="14"/>
  <c r="V84" i="14"/>
  <c r="V87" i="14" s="1"/>
  <c r="W84" i="14"/>
  <c r="W85" i="14" s="1"/>
  <c r="W90" i="14"/>
  <c r="T83" i="14"/>
  <c r="T95" i="14"/>
  <c r="V83" i="14"/>
  <c r="V95" i="14"/>
  <c r="U83" i="14"/>
  <c r="W83" i="14"/>
  <c r="T90" i="14"/>
  <c r="V90" i="14"/>
  <c r="AE3" i="6"/>
  <c r="AB6" i="6"/>
  <c r="AC2" i="6"/>
  <c r="AB2" i="6"/>
  <c r="AF4" i="6"/>
  <c r="AC6" i="6"/>
  <c r="AE6" i="6"/>
  <c r="AC5" i="6"/>
  <c r="T75" i="14"/>
  <c r="T74" i="14" s="1"/>
  <c r="AE5" i="6"/>
  <c r="AF5" i="6"/>
  <c r="AF3" i="6"/>
  <c r="AB4" i="6"/>
  <c r="AC4" i="6"/>
  <c r="D10" i="14"/>
  <c r="E10" i="14" s="1"/>
  <c r="AF2" i="6"/>
  <c r="AB3" i="6"/>
  <c r="T46" i="14"/>
  <c r="T45" i="14"/>
  <c r="T44" i="14"/>
  <c r="T43" i="14"/>
  <c r="T42" i="14"/>
  <c r="A81" i="15"/>
  <c r="D8" i="15"/>
  <c r="C8" i="15"/>
  <c r="A8" i="15"/>
  <c r="A6" i="15"/>
  <c r="A4" i="15"/>
  <c r="B84" i="15"/>
  <c r="C15" i="20" s="1"/>
  <c r="A84" i="15"/>
  <c r="B15" i="20" s="1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26" i="20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G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L69" i="9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L101" i="8"/>
  <c r="J101" i="8" s="1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L96" i="8"/>
  <c r="J96" i="8" s="1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L105" i="8"/>
  <c r="J105" i="8" s="1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L128" i="8"/>
  <c r="J128" i="8" s="1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L14" i="8"/>
  <c r="J14" i="8" s="1"/>
  <c r="L41" i="8"/>
  <c r="J41" i="8" s="1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L17" i="8"/>
  <c r="J17" i="8" s="1"/>
  <c r="L36" i="8"/>
  <c r="J36" i="8" s="1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L137" i="8"/>
  <c r="J137" i="8" s="1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L97" i="8"/>
  <c r="J97" i="8" s="1"/>
  <c r="L132" i="8"/>
  <c r="J132" i="8" s="1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L13" i="8"/>
  <c r="J13" i="8" s="1"/>
  <c r="L78" i="8"/>
  <c r="J78" i="8" s="1"/>
  <c r="G165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L81" i="8"/>
  <c r="J81" i="8" s="1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L37" i="8"/>
  <c r="J37" i="8" s="1"/>
  <c r="L45" i="8"/>
  <c r="J45" i="8" s="1"/>
  <c r="L109" i="8"/>
  <c r="J109" i="8" s="1"/>
  <c r="L158" i="8"/>
  <c r="J158" i="8" s="1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L61" i="8"/>
  <c r="J61" i="8" s="1"/>
  <c r="L84" i="8"/>
  <c r="J84" i="8" s="1"/>
  <c r="L89" i="8"/>
  <c r="J89" i="8" s="1"/>
  <c r="L122" i="8"/>
  <c r="J122" i="8" s="1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L49" i="8"/>
  <c r="J49" i="8" s="1"/>
  <c r="L152" i="8"/>
  <c r="J152" i="8" s="1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L62" i="8"/>
  <c r="J62" i="8" s="1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G47" i="8"/>
  <c r="G9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L186" i="8"/>
  <c r="J186" i="8" s="1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S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B5" i="15"/>
  <c r="C84" i="15" s="1"/>
  <c r="D261" i="14"/>
  <c r="C261" i="14"/>
  <c r="D35" i="14"/>
  <c r="D259" i="14"/>
  <c r="D260" i="14"/>
  <c r="C258" i="14"/>
  <c r="C260" i="14"/>
  <c r="F35" i="14"/>
  <c r="H4" i="14"/>
  <c r="D262" i="14"/>
  <c r="D16" i="14"/>
  <c r="L96" i="14"/>
  <c r="N96" i="14"/>
  <c r="M96" i="14"/>
  <c r="Q96" i="14"/>
  <c r="P96" i="14"/>
  <c r="O96" i="14"/>
  <c r="K96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W89" i="12"/>
  <c r="U89" i="12"/>
  <c r="Q89" i="12"/>
  <c r="P89" i="12"/>
  <c r="V91" i="12"/>
  <c r="N91" i="12"/>
  <c r="A144" i="14"/>
  <c r="P92" i="12"/>
  <c r="U92" i="12"/>
  <c r="T92" i="12"/>
  <c r="B92" i="12"/>
  <c r="B93" i="11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F194" i="12" l="1"/>
  <c r="D69" i="12"/>
  <c r="F69" i="12"/>
  <c r="K70" i="11" s="1"/>
  <c r="G74" i="1"/>
  <c r="G88" i="12"/>
  <c r="D27" i="15"/>
  <c r="N69" i="9"/>
  <c r="F68" i="1"/>
  <c r="D68" i="12"/>
  <c r="E69" i="11" s="1"/>
  <c r="G69" i="11" s="1"/>
  <c r="F68" i="12"/>
  <c r="J68" i="5" s="1"/>
  <c r="G19" i="12"/>
  <c r="N20" i="11" s="1"/>
  <c r="P20" i="11" s="1"/>
  <c r="Q173" i="5"/>
  <c r="BB173" i="5" s="1"/>
  <c r="G68" i="12"/>
  <c r="N69" i="11" s="1"/>
  <c r="P69" i="11" s="1"/>
  <c r="D19" i="12"/>
  <c r="E20" i="11" s="1"/>
  <c r="G20" i="11" s="1"/>
  <c r="Q40" i="5"/>
  <c r="BB40" i="5" s="1"/>
  <c r="Q59" i="9"/>
  <c r="G5" i="12"/>
  <c r="L5" i="5" s="1"/>
  <c r="AB164" i="5"/>
  <c r="AC164" i="5" s="1"/>
  <c r="Q64" i="5"/>
  <c r="BB64" i="5" s="1"/>
  <c r="E89" i="12"/>
  <c r="H90" i="11" s="1"/>
  <c r="J90" i="11" s="1"/>
  <c r="C135" i="14"/>
  <c r="Q163" i="5"/>
  <c r="BB163" i="5" s="1"/>
  <c r="D171" i="11"/>
  <c r="D107" i="11"/>
  <c r="F125" i="12"/>
  <c r="K126" i="11" s="1"/>
  <c r="M126" i="11" s="1"/>
  <c r="E183" i="12"/>
  <c r="H184" i="11" s="1"/>
  <c r="J184" i="11" s="1"/>
  <c r="D118" i="12"/>
  <c r="E119" i="11" s="1"/>
  <c r="G119" i="11" s="1"/>
  <c r="Q75" i="5"/>
  <c r="BB75" i="5" s="1"/>
  <c r="E34" i="12"/>
  <c r="H35" i="11" s="1"/>
  <c r="J35" i="11" s="1"/>
  <c r="E168" i="12"/>
  <c r="H169" i="11" s="1"/>
  <c r="J169" i="11" s="1"/>
  <c r="E115" i="12"/>
  <c r="H116" i="11" s="1"/>
  <c r="J116" i="11" s="1"/>
  <c r="U88" i="14"/>
  <c r="U94" i="14"/>
  <c r="U85" i="14"/>
  <c r="U86" i="14"/>
  <c r="U87" i="14"/>
  <c r="T94" i="14"/>
  <c r="U92" i="14"/>
  <c r="U91" i="14"/>
  <c r="U97" i="14" s="1"/>
  <c r="W93" i="14"/>
  <c r="W86" i="14"/>
  <c r="V94" i="14"/>
  <c r="V85" i="14"/>
  <c r="T85" i="14"/>
  <c r="V91" i="14"/>
  <c r="H19" i="15" s="1"/>
  <c r="E56" i="20" s="1"/>
  <c r="T86" i="14"/>
  <c r="V92" i="14"/>
  <c r="T87" i="14"/>
  <c r="T88" i="14"/>
  <c r="T91" i="14"/>
  <c r="T96" i="14" s="1"/>
  <c r="T92" i="14"/>
  <c r="W88" i="14"/>
  <c r="V93" i="14"/>
  <c r="W91" i="14"/>
  <c r="G20" i="15" s="1"/>
  <c r="D57" i="20" s="1"/>
  <c r="W92" i="14"/>
  <c r="W87" i="14"/>
  <c r="V86" i="14"/>
  <c r="V88" i="14"/>
  <c r="V89" i="14" s="1"/>
  <c r="W94" i="14"/>
  <c r="T73" i="14"/>
  <c r="B83" i="15"/>
  <c r="C14" i="20" s="1"/>
  <c r="C83" i="15"/>
  <c r="T72" i="14"/>
  <c r="T70" i="14"/>
  <c r="T71" i="14"/>
  <c r="T39" i="14"/>
  <c r="B10" i="20" s="1"/>
  <c r="T41" i="14"/>
  <c r="B61" i="15"/>
  <c r="B58" i="15"/>
  <c r="B59" i="15"/>
  <c r="B56" i="15"/>
  <c r="B57" i="15"/>
  <c r="C15" i="15"/>
  <c r="D42" i="20" s="1"/>
  <c r="B55" i="15"/>
  <c r="T8" i="7"/>
  <c r="T9" i="7" s="1"/>
  <c r="B15" i="15"/>
  <c r="C42" i="20" s="1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C16" i="20" s="1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C44" i="20" s="1"/>
  <c r="B19" i="15"/>
  <c r="C46" i="20" s="1"/>
  <c r="B18" i="15"/>
  <c r="C45" i="20" s="1"/>
  <c r="B20" i="15"/>
  <c r="C47" i="20" s="1"/>
  <c r="B16" i="15"/>
  <c r="C43" i="20" s="1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K69" i="11" l="1"/>
  <c r="M69" i="11" s="1"/>
  <c r="T19" i="5"/>
  <c r="L19" i="5"/>
  <c r="R173" i="5"/>
  <c r="F68" i="5"/>
  <c r="F19" i="5"/>
  <c r="R40" i="5"/>
  <c r="T68" i="5"/>
  <c r="T5" i="5"/>
  <c r="N6" i="11"/>
  <c r="P6" i="11" s="1"/>
  <c r="J125" i="5"/>
  <c r="H168" i="5"/>
  <c r="H89" i="5"/>
  <c r="R75" i="5"/>
  <c r="R163" i="5"/>
  <c r="H34" i="5"/>
  <c r="R125" i="5"/>
  <c r="H115" i="5"/>
  <c r="H183" i="5"/>
  <c r="E18" i="15"/>
  <c r="F18" i="15"/>
  <c r="C55" i="20" s="1"/>
  <c r="G18" i="15"/>
  <c r="D55" i="20" s="1"/>
  <c r="H18" i="15"/>
  <c r="E55" i="20" s="1"/>
  <c r="U96" i="14"/>
  <c r="U89" i="14"/>
  <c r="W97" i="14"/>
  <c r="H20" i="15"/>
  <c r="E57" i="20" s="1"/>
  <c r="T89" i="14"/>
  <c r="V97" i="14"/>
  <c r="W96" i="14"/>
  <c r="E20" i="15"/>
  <c r="V96" i="14"/>
  <c r="E19" i="15"/>
  <c r="T97" i="14"/>
  <c r="F19" i="15"/>
  <c r="C56" i="20" s="1"/>
  <c r="E17" i="15"/>
  <c r="G19" i="15"/>
  <c r="D56" i="20" s="1"/>
  <c r="F17" i="15"/>
  <c r="C54" i="20" s="1"/>
  <c r="T99" i="14"/>
  <c r="G17" i="15"/>
  <c r="D54" i="20" s="1"/>
  <c r="T100" i="14"/>
  <c r="G15" i="15" s="1"/>
  <c r="D53" i="20" s="1"/>
  <c r="H17" i="15"/>
  <c r="E54" i="20" s="1"/>
  <c r="W89" i="14"/>
  <c r="T101" i="14"/>
  <c r="F20" i="15"/>
  <c r="C57" i="20" s="1"/>
  <c r="I262" i="14"/>
  <c r="BG26" i="5" s="1"/>
  <c r="AD6" i="6"/>
  <c r="D14" i="14"/>
  <c r="E14" i="14" s="1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Q149" i="5"/>
  <c r="L54" i="5"/>
  <c r="T20" i="5"/>
  <c r="F124" i="5"/>
  <c r="T73" i="5"/>
  <c r="T130" i="5"/>
  <c r="L125" i="5"/>
  <c r="F77" i="5"/>
  <c r="R39" i="5"/>
  <c r="L13" i="5"/>
  <c r="H196" i="5"/>
  <c r="R29" i="5"/>
  <c r="L59" i="5"/>
  <c r="AT13" i="5"/>
  <c r="J50" i="5"/>
  <c r="BB25" i="5"/>
  <c r="H86" i="5"/>
  <c r="L163" i="5"/>
  <c r="N185" i="11"/>
  <c r="P185" i="11" s="1"/>
  <c r="R109" i="5"/>
  <c r="T184" i="5"/>
  <c r="H13" i="5"/>
  <c r="N49" i="5"/>
  <c r="H121" i="5"/>
  <c r="J60" i="5"/>
  <c r="AP76" i="5"/>
  <c r="AR76" i="5" s="1"/>
  <c r="H130" i="5"/>
  <c r="BB179" i="5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H57" i="5"/>
  <c r="P41" i="5"/>
  <c r="J124" i="5"/>
  <c r="J113" i="5"/>
  <c r="J100" i="5"/>
  <c r="T139" i="5"/>
  <c r="AX55" i="5"/>
  <c r="F25" i="5"/>
  <c r="BB81" i="5"/>
  <c r="J54" i="5"/>
  <c r="H97" i="5"/>
  <c r="AQ26" i="5"/>
  <c r="N43" i="11"/>
  <c r="P43" i="11" s="1"/>
  <c r="J121" i="5"/>
  <c r="L83" i="5"/>
  <c r="L48" i="5"/>
  <c r="H30" i="11"/>
  <c r="J30" i="11" s="1"/>
  <c r="F54" i="5"/>
  <c r="N25" i="5"/>
  <c r="L6" i="5"/>
  <c r="H74" i="5"/>
  <c r="F133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H113" i="5"/>
  <c r="AQ129" i="5"/>
  <c r="H105" i="5"/>
  <c r="R45" i="5"/>
  <c r="L151" i="5"/>
  <c r="L177" i="5"/>
  <c r="L60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H66" i="11"/>
  <c r="J66" i="11" s="1"/>
  <c r="T59" i="5"/>
  <c r="P74" i="5"/>
  <c r="J130" i="5"/>
  <c r="R118" i="5"/>
  <c r="J131" i="5"/>
  <c r="R20" i="5"/>
  <c r="N63" i="11"/>
  <c r="P63" i="11" s="1"/>
  <c r="L53" i="5"/>
  <c r="AC14" i="5"/>
  <c r="E141" i="11"/>
  <c r="G141" i="11" s="1"/>
  <c r="H59" i="5"/>
  <c r="L21" i="5"/>
  <c r="F164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AC130" i="5"/>
  <c r="N40" i="11"/>
  <c r="P40" i="11" s="1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AX123" i="5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Q106" i="5"/>
  <c r="R137" i="5"/>
  <c r="N80" i="5"/>
  <c r="L69" i="5"/>
  <c r="N60" i="5"/>
  <c r="F104" i="5"/>
  <c r="AQ69" i="5"/>
  <c r="T200" i="5"/>
  <c r="E83" i="11"/>
  <c r="G83" i="11" s="1"/>
  <c r="J188" i="5"/>
  <c r="E180" i="11"/>
  <c r="G180" i="11" s="1"/>
  <c r="K36" i="11"/>
  <c r="M36" i="11" s="1"/>
  <c r="N64" i="11"/>
  <c r="P64" i="11" s="1"/>
  <c r="H78" i="5"/>
  <c r="J197" i="5"/>
  <c r="L96" i="5"/>
  <c r="P90" i="5"/>
  <c r="H99" i="5"/>
  <c r="F125" i="5"/>
  <c r="F6" i="5"/>
  <c r="J99" i="5"/>
  <c r="T62" i="5"/>
  <c r="J77" i="5"/>
  <c r="L45" i="5"/>
  <c r="AP14" i="5"/>
  <c r="AR14" i="5" s="1"/>
  <c r="J81" i="5"/>
  <c r="J41" i="5"/>
  <c r="N82" i="5"/>
  <c r="F192" i="5"/>
  <c r="J63" i="5"/>
  <c r="J91" i="5"/>
  <c r="J67" i="5"/>
  <c r="J126" i="5"/>
  <c r="BB156" i="5"/>
  <c r="N126" i="11"/>
  <c r="P126" i="11" s="1"/>
  <c r="AC43" i="5"/>
  <c r="L141" i="5"/>
  <c r="J120" i="5"/>
  <c r="H16" i="5"/>
  <c r="L99" i="5"/>
  <c r="AT143" i="5"/>
  <c r="AC189" i="5"/>
  <c r="T21" i="5"/>
  <c r="R97" i="5"/>
  <c r="J94" i="5"/>
  <c r="P99" i="5"/>
  <c r="N50" i="11"/>
  <c r="P50" i="11" s="1"/>
  <c r="P39" i="5"/>
  <c r="AT95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J165" i="5"/>
  <c r="F74" i="5"/>
  <c r="AQ88" i="5"/>
  <c r="K140" i="11"/>
  <c r="M140" i="11" s="1"/>
  <c r="AQ104" i="5"/>
  <c r="T69" i="5"/>
  <c r="AC148" i="5"/>
  <c r="L192" i="5"/>
  <c r="L34" i="5"/>
  <c r="K120" i="11"/>
  <c r="M120" i="11" s="1"/>
  <c r="H39" i="5"/>
  <c r="AQ93" i="5"/>
  <c r="AC25" i="5"/>
  <c r="BB22" i="5"/>
  <c r="H26" i="5"/>
  <c r="AC66" i="5"/>
  <c r="F177" i="5"/>
  <c r="AP148" i="5"/>
  <c r="AR148" i="5" s="1"/>
  <c r="L41" i="5"/>
  <c r="J12" i="5"/>
  <c r="R196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F9" i="5"/>
  <c r="N99" i="11"/>
  <c r="P99" i="11" s="1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J174" i="5"/>
  <c r="AC133" i="5"/>
  <c r="H198" i="5"/>
  <c r="T31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P65" i="5"/>
  <c r="E61" i="11"/>
  <c r="G61" i="11" s="1"/>
  <c r="BB42" i="5"/>
  <c r="AP51" i="5"/>
  <c r="AR51" i="5" s="1"/>
  <c r="F187" i="5"/>
  <c r="AQ51" i="5"/>
  <c r="H126" i="5"/>
  <c r="F181" i="5"/>
  <c r="E52" i="11"/>
  <c r="G52" i="11" s="1"/>
  <c r="N109" i="11"/>
  <c r="P109" i="11" s="1"/>
  <c r="AQ65" i="5"/>
  <c r="T83" i="5"/>
  <c r="P124" i="5"/>
  <c r="R124" i="5"/>
  <c r="AQ194" i="5"/>
  <c r="H88" i="5"/>
  <c r="P77" i="5"/>
  <c r="AQ170" i="5"/>
  <c r="AP170" i="5"/>
  <c r="AR170" i="5" s="1"/>
  <c r="K54" i="11"/>
  <c r="M54" i="11" s="1"/>
  <c r="H180" i="5"/>
  <c r="J49" i="5"/>
  <c r="AC37" i="5"/>
  <c r="P110" i="5"/>
  <c r="R5" i="5"/>
  <c r="H175" i="11"/>
  <c r="J175" i="11" s="1"/>
  <c r="T109" i="5"/>
  <c r="R10" i="5"/>
  <c r="AC131" i="5"/>
  <c r="T145" i="5"/>
  <c r="BB116" i="5"/>
  <c r="L15" i="5"/>
  <c r="L108" i="5"/>
  <c r="T42" i="5"/>
  <c r="D42" i="14"/>
  <c r="F42" i="14" s="1"/>
  <c r="H42" i="14" s="1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J142" i="5"/>
  <c r="AP37" i="5"/>
  <c r="AR37" i="5" s="1"/>
  <c r="R174" i="5"/>
  <c r="J98" i="5"/>
  <c r="L145" i="5"/>
  <c r="F183" i="5"/>
  <c r="T164" i="5"/>
  <c r="N32" i="11"/>
  <c r="P32" i="11" s="1"/>
  <c r="H164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Q124" i="5"/>
  <c r="BB147" i="5"/>
  <c r="F48" i="5"/>
  <c r="L139" i="5"/>
  <c r="AT47" i="5"/>
  <c r="R119" i="5"/>
  <c r="AT167" i="5"/>
  <c r="F73" i="5"/>
  <c r="H73" i="5"/>
  <c r="T35" i="5"/>
  <c r="P125" i="5"/>
  <c r="T75" i="5"/>
  <c r="BB150" i="5"/>
  <c r="H35" i="5"/>
  <c r="P185" i="5"/>
  <c r="L35" i="5"/>
  <c r="AX185" i="5"/>
  <c r="BB106" i="5"/>
  <c r="N167" i="5"/>
  <c r="P113" i="5"/>
  <c r="P100" i="5"/>
  <c r="AT101" i="5"/>
  <c r="F33" i="5"/>
  <c r="T126" i="5"/>
  <c r="H118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H85" i="5"/>
  <c r="R110" i="5"/>
  <c r="T123" i="5"/>
  <c r="J58" i="5"/>
  <c r="AX145" i="5"/>
  <c r="AT152" i="5"/>
  <c r="N124" i="11"/>
  <c r="P124" i="11" s="1"/>
  <c r="H137" i="5"/>
  <c r="AQ9" i="5"/>
  <c r="J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P25" i="5"/>
  <c r="R8" i="5"/>
  <c r="AC91" i="5"/>
  <c r="AX171" i="5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R28" i="5"/>
  <c r="N138" i="5"/>
  <c r="J28" i="5"/>
  <c r="R93" i="5"/>
  <c r="P97" i="5"/>
  <c r="K81" i="11"/>
  <c r="M81" i="11" s="1"/>
  <c r="R41" i="5"/>
  <c r="L27" i="5"/>
  <c r="BB178" i="5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L114" i="5"/>
  <c r="BB90" i="5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J33" i="5"/>
  <c r="AC62" i="5"/>
  <c r="AP62" i="5"/>
  <c r="AR62" i="5" s="1"/>
  <c r="AX53" i="5"/>
  <c r="N177" i="5"/>
  <c r="AX128" i="5"/>
  <c r="AX27" i="5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L72" i="5"/>
  <c r="F28" i="5"/>
  <c r="BB104" i="5"/>
  <c r="AX46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R146" i="5"/>
  <c r="N191" i="5"/>
  <c r="AC92" i="5"/>
  <c r="AQ191" i="5"/>
  <c r="AQ135" i="5"/>
  <c r="R165" i="5"/>
  <c r="BB165" i="5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X58" i="5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N148" i="11"/>
  <c r="P148" i="11" s="1"/>
  <c r="AQ115" i="5"/>
  <c r="AC114" i="5"/>
  <c r="AC198" i="5"/>
  <c r="AP198" i="5"/>
  <c r="AR198" i="5" s="1"/>
  <c r="F149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AX64" i="5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AX134" i="5"/>
  <c r="N54" i="5"/>
  <c r="J128" i="5"/>
  <c r="AC200" i="5"/>
  <c r="AP200" i="5"/>
  <c r="AR200" i="5" s="1"/>
  <c r="AX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BB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X69" i="5"/>
  <c r="R134" i="5"/>
  <c r="F199" i="5"/>
  <c r="BB65" i="5"/>
  <c r="AP85" i="5"/>
  <c r="AR85" i="5" s="1"/>
  <c r="AC85" i="5"/>
  <c r="AQ85" i="5"/>
  <c r="AT103" i="5"/>
  <c r="AX102" i="5"/>
  <c r="BB41" i="5"/>
  <c r="AX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BB61" i="5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P141" i="5"/>
  <c r="AT97" i="5"/>
  <c r="N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B23" i="5"/>
  <c r="AC112" i="5"/>
  <c r="AP112" i="5"/>
  <c r="AR112" i="5" s="1"/>
  <c r="AQ112" i="5"/>
  <c r="P52" i="5"/>
  <c r="AX52" i="5"/>
  <c r="BB74" i="5"/>
  <c r="R74" i="5"/>
  <c r="N103" i="11"/>
  <c r="P103" i="11" s="1"/>
  <c r="T102" i="5"/>
  <c r="AQ40" i="5"/>
  <c r="AC40" i="5"/>
  <c r="AP40" i="5"/>
  <c r="AR40" i="5" s="1"/>
  <c r="AT163" i="5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T76" i="5"/>
  <c r="N76" i="5"/>
  <c r="AP50" i="5"/>
  <c r="AR50" i="5" s="1"/>
  <c r="AC50" i="5"/>
  <c r="AQ50" i="5"/>
  <c r="P16" i="9"/>
  <c r="N190" i="11"/>
  <c r="P190" i="11" s="1"/>
  <c r="T189" i="5"/>
  <c r="AT81" i="5"/>
  <c r="N81" i="5"/>
  <c r="R123" i="5"/>
  <c r="K124" i="11"/>
  <c r="M124" i="11" s="1"/>
  <c r="AX197" i="5"/>
  <c r="P197" i="5"/>
  <c r="N137" i="5"/>
  <c r="AT137" i="5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T144" i="5"/>
  <c r="L144" i="5"/>
  <c r="N145" i="11"/>
  <c r="P145" i="11" s="1"/>
  <c r="AT178" i="5"/>
  <c r="N178" i="5"/>
  <c r="AT174" i="5"/>
  <c r="N174" i="5"/>
  <c r="AX21" i="5"/>
  <c r="P21" i="5"/>
  <c r="AQ145" i="5"/>
  <c r="AP145" i="5"/>
  <c r="AR145" i="5" s="1"/>
  <c r="AC145" i="5"/>
  <c r="AT134" i="5"/>
  <c r="N134" i="5"/>
  <c r="E261" i="14"/>
  <c r="BB2" i="5"/>
  <c r="R2" i="5"/>
  <c r="P197" i="9"/>
  <c r="P136" i="5"/>
  <c r="AX136" i="5"/>
  <c r="AC99" i="5"/>
  <c r="AQ99" i="5"/>
  <c r="AP99" i="5"/>
  <c r="AR99" i="5" s="1"/>
  <c r="AT169" i="5"/>
  <c r="N169" i="5"/>
  <c r="E41" i="11"/>
  <c r="G41" i="11" s="1"/>
  <c r="F40" i="5"/>
  <c r="P108" i="5"/>
  <c r="AX108" i="5"/>
  <c r="AX198" i="5"/>
  <c r="P198" i="5"/>
  <c r="AT199" i="5"/>
  <c r="N199" i="5"/>
  <c r="N44" i="5"/>
  <c r="AT44" i="5"/>
  <c r="J155" i="5"/>
  <c r="AX168" i="5"/>
  <c r="P168" i="5"/>
  <c r="H102" i="11"/>
  <c r="J102" i="11" s="1"/>
  <c r="H101" i="5"/>
  <c r="T84" i="5"/>
  <c r="N85" i="11"/>
  <c r="P85" i="11" s="1"/>
  <c r="AT139" i="5"/>
  <c r="N139" i="5"/>
  <c r="BB199" i="5"/>
  <c r="R199" i="5"/>
  <c r="D19" i="15"/>
  <c r="E46" i="20" s="1"/>
  <c r="H156" i="5"/>
  <c r="AT16" i="5"/>
  <c r="N16" i="5"/>
  <c r="L102" i="5"/>
  <c r="E173" i="11"/>
  <c r="G173" i="11" s="1"/>
  <c r="N172" i="5"/>
  <c r="K5" i="11"/>
  <c r="M5" i="11" s="1"/>
  <c r="J4" i="5"/>
  <c r="N84" i="5"/>
  <c r="AT84" i="5"/>
  <c r="B29" i="14"/>
  <c r="B12" i="15"/>
  <c r="AT67" i="5"/>
  <c r="N67" i="5"/>
  <c r="J90" i="5"/>
  <c r="K91" i="11"/>
  <c r="M91" i="11" s="1"/>
  <c r="N161" i="5"/>
  <c r="AT161" i="5"/>
  <c r="AT187" i="5"/>
  <c r="N187" i="5"/>
  <c r="AT196" i="5"/>
  <c r="N196" i="5"/>
  <c r="P130" i="5"/>
  <c r="AX130" i="5"/>
  <c r="R92" i="5"/>
  <c r="AC116" i="5"/>
  <c r="AQ116" i="5"/>
  <c r="AP116" i="5"/>
  <c r="AR116" i="5" s="1"/>
  <c r="BB38" i="5"/>
  <c r="R38" i="5"/>
  <c r="N3" i="5"/>
  <c r="AT3" i="5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B54" i="5"/>
  <c r="R54" i="5"/>
  <c r="P87" i="5"/>
  <c r="AX87" i="5"/>
  <c r="P64" i="9"/>
  <c r="AC81" i="5"/>
  <c r="AQ81" i="5"/>
  <c r="AP81" i="5"/>
  <c r="AR81" i="5" s="1"/>
  <c r="R197" i="5"/>
  <c r="BB197" i="5"/>
  <c r="AT153" i="5"/>
  <c r="N153" i="5"/>
  <c r="R161" i="5"/>
  <c r="BB161" i="5"/>
  <c r="AX29" i="5"/>
  <c r="P29" i="5"/>
  <c r="AX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N21" i="5"/>
  <c r="AT21" i="5"/>
  <c r="R195" i="5"/>
  <c r="BB195" i="5"/>
  <c r="N145" i="5"/>
  <c r="AT145" i="5"/>
  <c r="AP134" i="5"/>
  <c r="AR134" i="5" s="1"/>
  <c r="AC134" i="5"/>
  <c r="AQ134" i="5"/>
  <c r="AT106" i="5"/>
  <c r="N106" i="5"/>
  <c r="AT123" i="5"/>
  <c r="N123" i="5"/>
  <c r="P116" i="5"/>
  <c r="AX116" i="5"/>
  <c r="AT198" i="5"/>
  <c r="N198" i="5"/>
  <c r="N48" i="11"/>
  <c r="P48" i="11" s="1"/>
  <c r="T47" i="5"/>
  <c r="P179" i="9"/>
  <c r="P101" i="5"/>
  <c r="AX101" i="5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AT190" i="5"/>
  <c r="N190" i="5"/>
  <c r="P139" i="5"/>
  <c r="AX139" i="5"/>
  <c r="J127" i="5"/>
  <c r="AX153" i="5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P176" i="5"/>
  <c r="C204" i="1"/>
  <c r="AP67" i="5"/>
  <c r="AR67" i="5" s="1"/>
  <c r="AQ67" i="5"/>
  <c r="AC67" i="5"/>
  <c r="P51" i="5"/>
  <c r="AX51" i="5"/>
  <c r="BB66" i="5"/>
  <c r="R66" i="5"/>
  <c r="AT165" i="5"/>
  <c r="N165" i="5"/>
  <c r="P187" i="5"/>
  <c r="AX187" i="5"/>
  <c r="N112" i="5"/>
  <c r="BB142" i="5"/>
  <c r="R142" i="5"/>
  <c r="F150" i="5"/>
  <c r="AP89" i="5"/>
  <c r="AR89" i="5" s="1"/>
  <c r="AC89" i="5"/>
  <c r="AQ89" i="5"/>
  <c r="R76" i="5"/>
  <c r="BB34" i="5"/>
  <c r="R34" i="5"/>
  <c r="AX196" i="5"/>
  <c r="P196" i="5"/>
  <c r="BB130" i="5"/>
  <c r="R130" i="5"/>
  <c r="N136" i="5"/>
  <c r="P135" i="5"/>
  <c r="AX135" i="5"/>
  <c r="BB175" i="5"/>
  <c r="R175" i="5"/>
  <c r="AX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P121" i="5"/>
  <c r="AX121" i="5"/>
  <c r="P195" i="5"/>
  <c r="AX195" i="5"/>
  <c r="AT184" i="5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R36" i="5"/>
  <c r="AQ155" i="5"/>
  <c r="AP155" i="5"/>
  <c r="AR155" i="5" s="1"/>
  <c r="AC155" i="5"/>
  <c r="N72" i="11"/>
  <c r="P72" i="11" s="1"/>
  <c r="T71" i="5"/>
  <c r="AT111" i="5"/>
  <c r="N111" i="5"/>
  <c r="W53" i="14"/>
  <c r="H11" i="15"/>
  <c r="B11" i="15"/>
  <c r="K85" i="11"/>
  <c r="M85" i="11" s="1"/>
  <c r="J84" i="5"/>
  <c r="P190" i="5"/>
  <c r="AX190" i="5"/>
  <c r="F127" i="5"/>
  <c r="AT194" i="5"/>
  <c r="N194" i="5"/>
  <c r="AX138" i="5"/>
  <c r="P138" i="5"/>
  <c r="AP182" i="5"/>
  <c r="AR182" i="5" s="1"/>
  <c r="AC182" i="5"/>
  <c r="AQ182" i="5"/>
  <c r="AT11" i="5"/>
  <c r="N11" i="5"/>
  <c r="R176" i="5"/>
  <c r="BB176" i="5"/>
  <c r="N154" i="5"/>
  <c r="E155" i="11"/>
  <c r="G155" i="11" s="1"/>
  <c r="D204" i="1"/>
  <c r="BB51" i="5"/>
  <c r="R51" i="5"/>
  <c r="H170" i="5"/>
  <c r="H171" i="11"/>
  <c r="J171" i="11" s="1"/>
  <c r="AX66" i="5"/>
  <c r="P66" i="5"/>
  <c r="K57" i="11"/>
  <c r="M57" i="11" s="1"/>
  <c r="R56" i="5"/>
  <c r="AT164" i="5"/>
  <c r="N164" i="5"/>
  <c r="F76" i="5"/>
  <c r="N105" i="5"/>
  <c r="N71" i="5"/>
  <c r="AT71" i="5"/>
  <c r="P58" i="5"/>
  <c r="N93" i="11"/>
  <c r="P93" i="11" s="1"/>
  <c r="T92" i="5"/>
  <c r="P34" i="5"/>
  <c r="AX34" i="5"/>
  <c r="N52" i="5"/>
  <c r="N144" i="11"/>
  <c r="P144" i="11" s="1"/>
  <c r="T143" i="5"/>
  <c r="AT23" i="5"/>
  <c r="N23" i="5"/>
  <c r="P46" i="9"/>
  <c r="BB131" i="5"/>
  <c r="R131" i="5"/>
  <c r="N31" i="5"/>
  <c r="AT31" i="5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R6" i="5"/>
  <c r="BB6" i="5"/>
  <c r="AX126" i="5"/>
  <c r="P126" i="5"/>
  <c r="AT155" i="5"/>
  <c r="N155" i="5"/>
  <c r="P132" i="9"/>
  <c r="N151" i="5"/>
  <c r="AT151" i="5"/>
  <c r="R121" i="5"/>
  <c r="BB121" i="5"/>
  <c r="AX57" i="5"/>
  <c r="P57" i="5"/>
  <c r="P184" i="5"/>
  <c r="AX184" i="5"/>
  <c r="T61" i="5"/>
  <c r="N62" i="11"/>
  <c r="P62" i="11" s="1"/>
  <c r="AX122" i="5"/>
  <c r="P122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X147" i="5"/>
  <c r="AT34" i="5"/>
  <c r="N34" i="5"/>
  <c r="P36" i="5"/>
  <c r="AX36" i="5"/>
  <c r="P104" i="5"/>
  <c r="AX104" i="5"/>
  <c r="E72" i="11"/>
  <c r="G72" i="11" s="1"/>
  <c r="F71" i="5"/>
  <c r="P111" i="5"/>
  <c r="AX111" i="5"/>
  <c r="AX93" i="5"/>
  <c r="P93" i="5"/>
  <c r="H193" i="5"/>
  <c r="AX109" i="5"/>
  <c r="P109" i="5"/>
  <c r="N154" i="11"/>
  <c r="P154" i="11" s="1"/>
  <c r="L153" i="5"/>
  <c r="T153" i="5"/>
  <c r="AX9" i="5"/>
  <c r="P9" i="5"/>
  <c r="H127" i="5"/>
  <c r="P194" i="5"/>
  <c r="AX194" i="5"/>
  <c r="BB138" i="5"/>
  <c r="R138" i="5"/>
  <c r="AT86" i="5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X60" i="5"/>
  <c r="AX89" i="5"/>
  <c r="P89" i="5"/>
  <c r="F84" i="5"/>
  <c r="AX164" i="5"/>
  <c r="P164" i="5"/>
  <c r="AX71" i="5"/>
  <c r="P71" i="5"/>
  <c r="R167" i="5"/>
  <c r="BB167" i="5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N114" i="5"/>
  <c r="P62" i="5"/>
  <c r="AX62" i="5"/>
  <c r="AX23" i="5"/>
  <c r="P23" i="5"/>
  <c r="AX14" i="5"/>
  <c r="P14" i="5"/>
  <c r="AC8" i="5"/>
  <c r="AQ8" i="5"/>
  <c r="AP8" i="5"/>
  <c r="AR8" i="5" s="1"/>
  <c r="N48" i="5"/>
  <c r="AT48" i="5"/>
  <c r="AX95" i="5"/>
  <c r="P95" i="5"/>
  <c r="P143" i="9"/>
  <c r="AX31" i="5"/>
  <c r="P31" i="5"/>
  <c r="N176" i="11"/>
  <c r="P176" i="11" s="1"/>
  <c r="T175" i="5"/>
  <c r="BB158" i="5"/>
  <c r="R158" i="5"/>
  <c r="N37" i="5"/>
  <c r="P76" i="5"/>
  <c r="AX76" i="5"/>
  <c r="L22" i="5"/>
  <c r="BB79" i="5"/>
  <c r="R79" i="5"/>
  <c r="AT175" i="5"/>
  <c r="N175" i="5"/>
  <c r="P6" i="5"/>
  <c r="AX6" i="5"/>
  <c r="R126" i="5"/>
  <c r="BB126" i="5"/>
  <c r="R188" i="5"/>
  <c r="BB188" i="5"/>
  <c r="P76" i="9"/>
  <c r="AP151" i="5"/>
  <c r="AR151" i="5" s="1"/>
  <c r="AC151" i="5"/>
  <c r="AQ151" i="5"/>
  <c r="N77" i="11"/>
  <c r="P77" i="11" s="1"/>
  <c r="T76" i="5"/>
  <c r="L76" i="5"/>
  <c r="P35" i="9"/>
  <c r="AT57" i="5"/>
  <c r="N57" i="5"/>
  <c r="H41" i="11"/>
  <c r="J41" i="11" s="1"/>
  <c r="H40" i="5"/>
  <c r="AX42" i="5"/>
  <c r="P42" i="5"/>
  <c r="N197" i="5"/>
  <c r="AT197" i="5"/>
  <c r="AX98" i="5"/>
  <c r="P98" i="5"/>
  <c r="N179" i="11"/>
  <c r="P179" i="11" s="1"/>
  <c r="T178" i="5"/>
  <c r="AT107" i="5"/>
  <c r="N107" i="5"/>
  <c r="N41" i="5"/>
  <c r="AT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T104" i="5"/>
  <c r="R185" i="5"/>
  <c r="BB185" i="5"/>
  <c r="K117" i="11"/>
  <c r="M117" i="11" s="1"/>
  <c r="J116" i="5"/>
  <c r="N93" i="5"/>
  <c r="AT93" i="5"/>
  <c r="J193" i="5"/>
  <c r="N109" i="5"/>
  <c r="AT109" i="5"/>
  <c r="AT9" i="5"/>
  <c r="N9" i="5"/>
  <c r="L127" i="5"/>
  <c r="D17" i="15"/>
  <c r="E44" i="20" s="1"/>
  <c r="N151" i="11"/>
  <c r="P151" i="11" s="1"/>
  <c r="T150" i="5"/>
  <c r="N5" i="5"/>
  <c r="AT5" i="5"/>
  <c r="BB186" i="5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R60" i="5"/>
  <c r="J178" i="5"/>
  <c r="R116" i="5"/>
  <c r="P193" i="5"/>
  <c r="AX173" i="5"/>
  <c r="P173" i="5"/>
  <c r="BB35" i="5"/>
  <c r="R35" i="5"/>
  <c r="AX167" i="5"/>
  <c r="P167" i="5"/>
  <c r="H168" i="11"/>
  <c r="J168" i="11" s="1"/>
  <c r="H167" i="5"/>
  <c r="N168" i="11"/>
  <c r="P168" i="11" s="1"/>
  <c r="T167" i="5"/>
  <c r="AT118" i="5"/>
  <c r="N118" i="5"/>
  <c r="N123" i="11"/>
  <c r="P123" i="11" s="1"/>
  <c r="T122" i="5"/>
  <c r="N168" i="5"/>
  <c r="AT168" i="5"/>
  <c r="F189" i="5"/>
  <c r="P79" i="5"/>
  <c r="AX79" i="5"/>
  <c r="AT62" i="5"/>
  <c r="N62" i="5"/>
  <c r="K144" i="11"/>
  <c r="M144" i="11" s="1"/>
  <c r="R143" i="5"/>
  <c r="F134" i="5"/>
  <c r="R112" i="5"/>
  <c r="AT14" i="5"/>
  <c r="N14" i="5"/>
  <c r="AT42" i="5"/>
  <c r="N42" i="5"/>
  <c r="K62" i="11"/>
  <c r="M62" i="11" s="1"/>
  <c r="R61" i="5"/>
  <c r="R85" i="5"/>
  <c r="BB85" i="5"/>
  <c r="N98" i="5"/>
  <c r="AT98" i="5"/>
  <c r="BB183" i="5"/>
  <c r="R183" i="5"/>
  <c r="AC41" i="5"/>
  <c r="AP41" i="5"/>
  <c r="AR41" i="5" s="1"/>
  <c r="AQ41" i="5"/>
  <c r="BB89" i="5"/>
  <c r="R89" i="5"/>
  <c r="E258" i="14"/>
  <c r="AP2" i="5"/>
  <c r="AR2" i="5" s="1"/>
  <c r="AQ2" i="5"/>
  <c r="AC2" i="5"/>
  <c r="N120" i="5"/>
  <c r="AT120" i="5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T129" i="5"/>
  <c r="N129" i="5"/>
  <c r="P189" i="5"/>
  <c r="AX189" i="5"/>
  <c r="P200" i="9"/>
  <c r="G204" i="1"/>
  <c r="AT94" i="5"/>
  <c r="N94" i="5"/>
  <c r="H178" i="5"/>
  <c r="N163" i="11"/>
  <c r="P163" i="11" s="1"/>
  <c r="T162" i="5"/>
  <c r="N173" i="5"/>
  <c r="AT173" i="5"/>
  <c r="AX35" i="5"/>
  <c r="P35" i="5"/>
  <c r="P64" i="5"/>
  <c r="P151" i="9"/>
  <c r="P118" i="5"/>
  <c r="AX118" i="5"/>
  <c r="F191" i="5"/>
  <c r="R90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N79" i="5"/>
  <c r="P195" i="9"/>
  <c r="AX91" i="5"/>
  <c r="P91" i="5"/>
  <c r="R191" i="5"/>
  <c r="BB191" i="5"/>
  <c r="P136" i="9"/>
  <c r="AX152" i="5"/>
  <c r="P152" i="5"/>
  <c r="H117" i="11"/>
  <c r="J117" i="11" s="1"/>
  <c r="H116" i="5"/>
  <c r="AT193" i="5"/>
  <c r="N193" i="5"/>
  <c r="H155" i="11"/>
  <c r="J155" i="11" s="1"/>
  <c r="P154" i="5"/>
  <c r="AX155" i="5"/>
  <c r="P155" i="5"/>
  <c r="H199" i="5"/>
  <c r="B22" i="15"/>
  <c r="C49" i="20" s="1"/>
  <c r="D16" i="15"/>
  <c r="E43" i="20" s="1"/>
  <c r="R33" i="5"/>
  <c r="BB33" i="5"/>
  <c r="P129" i="5"/>
  <c r="AX129" i="5"/>
  <c r="P120" i="9"/>
  <c r="BB189" i="5"/>
  <c r="R189" i="5"/>
  <c r="H36" i="5"/>
  <c r="P194" i="9"/>
  <c r="N125" i="5"/>
  <c r="AT125" i="5"/>
  <c r="N149" i="5"/>
  <c r="AT149" i="5"/>
  <c r="B6" i="15"/>
  <c r="F16" i="3"/>
  <c r="N24" i="5"/>
  <c r="AT24" i="5"/>
  <c r="AQ83" i="5"/>
  <c r="AC83" i="5"/>
  <c r="AP83" i="5"/>
  <c r="AR83" i="5" s="1"/>
  <c r="F178" i="5"/>
  <c r="L71" i="5"/>
  <c r="AT159" i="5"/>
  <c r="N159" i="5"/>
  <c r="E163" i="11"/>
  <c r="G163" i="11" s="1"/>
  <c r="N162" i="5"/>
  <c r="AT117" i="5"/>
  <c r="N117" i="5"/>
  <c r="J138" i="5"/>
  <c r="N179" i="5"/>
  <c r="AT179" i="5"/>
  <c r="BB103" i="5"/>
  <c r="R103" i="5"/>
  <c r="P184" i="9"/>
  <c r="J134" i="5"/>
  <c r="BB91" i="5"/>
  <c r="R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P45" i="5"/>
  <c r="H8" i="11"/>
  <c r="J8" i="11" s="1"/>
  <c r="P7" i="5"/>
  <c r="AC188" i="5"/>
  <c r="AP188" i="5"/>
  <c r="AR188" i="5" s="1"/>
  <c r="AQ188" i="5"/>
  <c r="P11" i="9"/>
  <c r="R73" i="5"/>
  <c r="BB73" i="5"/>
  <c r="R152" i="5"/>
  <c r="BB152" i="5"/>
  <c r="BB148" i="5"/>
  <c r="R148" i="5"/>
  <c r="P19" i="5"/>
  <c r="AX19" i="5"/>
  <c r="N144" i="5"/>
  <c r="AT144" i="5"/>
  <c r="N119" i="5"/>
  <c r="AT119" i="5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P150" i="5"/>
  <c r="H90" i="5"/>
  <c r="H91" i="11"/>
  <c r="J91" i="11" s="1"/>
  <c r="J199" i="5"/>
  <c r="AT20" i="5"/>
  <c r="N20" i="5"/>
  <c r="D20" i="15"/>
  <c r="E47" i="20" s="1"/>
  <c r="N160" i="11"/>
  <c r="P160" i="11" s="1"/>
  <c r="L159" i="5"/>
  <c r="T159" i="5"/>
  <c r="AT70" i="5"/>
  <c r="N70" i="5"/>
  <c r="J176" i="5"/>
  <c r="AX86" i="5"/>
  <c r="P86" i="5"/>
  <c r="J36" i="5"/>
  <c r="AQ156" i="5"/>
  <c r="AC156" i="5"/>
  <c r="AP156" i="5"/>
  <c r="AR156" i="5" s="1"/>
  <c r="J156" i="5"/>
  <c r="P149" i="5"/>
  <c r="AX149" i="5"/>
  <c r="P72" i="9"/>
  <c r="N24" i="11"/>
  <c r="P24" i="11" s="1"/>
  <c r="T23" i="5"/>
  <c r="AP24" i="5"/>
  <c r="AR24" i="5" s="1"/>
  <c r="AQ24" i="5"/>
  <c r="AC24" i="5"/>
  <c r="P159" i="5"/>
  <c r="AX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P179" i="5"/>
  <c r="N72" i="5"/>
  <c r="R111" i="5"/>
  <c r="P170" i="5"/>
  <c r="AX170" i="5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T38" i="5"/>
  <c r="N38" i="5"/>
  <c r="E8" i="11"/>
  <c r="G8" i="11" s="1"/>
  <c r="N7" i="5"/>
  <c r="AX191" i="5"/>
  <c r="P191" i="5"/>
  <c r="P138" i="9"/>
  <c r="BB115" i="5"/>
  <c r="R115" i="5"/>
  <c r="N4" i="11"/>
  <c r="P4" i="11" s="1"/>
  <c r="T3" i="5"/>
  <c r="L3" i="5"/>
  <c r="P183" i="5"/>
  <c r="AX183" i="5"/>
  <c r="B10" i="15"/>
  <c r="W51" i="14"/>
  <c r="B13" i="15" s="1"/>
  <c r="C30" i="20" s="1"/>
  <c r="W52" i="14"/>
  <c r="H13" i="15" s="1"/>
  <c r="C29" i="20" s="1"/>
  <c r="H10" i="15"/>
  <c r="AX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T45" i="5"/>
  <c r="N45" i="5"/>
  <c r="AQ186" i="5"/>
  <c r="AP186" i="5"/>
  <c r="AR186" i="5" s="1"/>
  <c r="AC186" i="5"/>
  <c r="AX30" i="5"/>
  <c r="P30" i="5"/>
  <c r="F7" i="5"/>
  <c r="AQ46" i="5"/>
  <c r="AP46" i="5"/>
  <c r="AR46" i="5" s="1"/>
  <c r="AC46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T77" i="5"/>
  <c r="P103" i="9"/>
  <c r="AX4" i="5"/>
  <c r="P4" i="5"/>
  <c r="AX20" i="5"/>
  <c r="P20" i="5"/>
  <c r="AP70" i="5"/>
  <c r="AR70" i="5" s="1"/>
  <c r="AC70" i="5"/>
  <c r="AQ70" i="5"/>
  <c r="R84" i="5"/>
  <c r="AT171" i="5"/>
  <c r="N171" i="5"/>
  <c r="P43" i="9"/>
  <c r="F36" i="5"/>
  <c r="N4" i="5"/>
  <c r="N156" i="5"/>
  <c r="AT156" i="5"/>
  <c r="AC195" i="5"/>
  <c r="AQ195" i="5"/>
  <c r="AP195" i="5"/>
  <c r="AR195" i="5" s="1"/>
  <c r="N91" i="11"/>
  <c r="P91" i="11" s="1"/>
  <c r="T90" i="5"/>
  <c r="BB3" i="5"/>
  <c r="R3" i="5"/>
  <c r="K163" i="11"/>
  <c r="M163" i="11" s="1"/>
  <c r="R162" i="5"/>
  <c r="BB135" i="5"/>
  <c r="R135" i="5"/>
  <c r="BB170" i="5"/>
  <c r="R170" i="5"/>
  <c r="N36" i="5"/>
  <c r="L191" i="5"/>
  <c r="AX43" i="5"/>
  <c r="P43" i="5"/>
  <c r="R46" i="5"/>
  <c r="BB46" i="5"/>
  <c r="BB117" i="5"/>
  <c r="R117" i="5"/>
  <c r="AP165" i="5"/>
  <c r="AR165" i="5" s="1"/>
  <c r="AC165" i="5"/>
  <c r="AQ165" i="5"/>
  <c r="P100" i="9"/>
  <c r="R37" i="5"/>
  <c r="BB37" i="5"/>
  <c r="P85" i="5"/>
  <c r="AX85" i="5"/>
  <c r="N19" i="5"/>
  <c r="AT19" i="5"/>
  <c r="H153" i="5"/>
  <c r="H154" i="11"/>
  <c r="J154" i="11" s="1"/>
  <c r="P107" i="9"/>
  <c r="K41" i="11"/>
  <c r="M41" i="11" s="1"/>
  <c r="J40" i="5"/>
  <c r="BB48" i="5"/>
  <c r="R48" i="5"/>
  <c r="BB12" i="5"/>
  <c r="R12" i="5"/>
  <c r="N38" i="11"/>
  <c r="P38" i="11" s="1"/>
  <c r="T37" i="5"/>
  <c r="BB95" i="5"/>
  <c r="R95" i="5"/>
  <c r="H18" i="5"/>
  <c r="P174" i="9"/>
  <c r="AX92" i="5"/>
  <c r="P92" i="5"/>
  <c r="AP122" i="5"/>
  <c r="AR122" i="5" s="1"/>
  <c r="AQ122" i="5"/>
  <c r="AC122" i="5"/>
  <c r="P12" i="5"/>
  <c r="AX12" i="5"/>
  <c r="J18" i="5"/>
  <c r="AT22" i="5"/>
  <c r="N22" i="5"/>
  <c r="AC95" i="5"/>
  <c r="AQ95" i="5"/>
  <c r="AP95" i="5"/>
  <c r="AR95" i="5" s="1"/>
  <c r="N189" i="5"/>
  <c r="H195" i="5"/>
  <c r="J112" i="5"/>
  <c r="N17" i="5"/>
  <c r="AT17" i="5"/>
  <c r="H17" i="5"/>
  <c r="P109" i="9"/>
  <c r="AT127" i="5"/>
  <c r="N127" i="5"/>
  <c r="P72" i="5"/>
  <c r="H73" i="11"/>
  <c r="J73" i="11" s="1"/>
  <c r="N65" i="11"/>
  <c r="P65" i="11" s="1"/>
  <c r="T64" i="5"/>
  <c r="AX47" i="5"/>
  <c r="P47" i="5"/>
  <c r="L18" i="5"/>
  <c r="AX112" i="5"/>
  <c r="P112" i="5"/>
  <c r="H64" i="5"/>
  <c r="P7" i="9"/>
  <c r="AT15" i="5"/>
  <c r="N15" i="5"/>
  <c r="P154" i="9"/>
  <c r="E103" i="11"/>
  <c r="G103" i="11" s="1"/>
  <c r="N102" i="5"/>
  <c r="F195" i="5"/>
  <c r="AT140" i="5"/>
  <c r="N140" i="5"/>
  <c r="AT166" i="5"/>
  <c r="N166" i="5"/>
  <c r="J111" i="5"/>
  <c r="AT40" i="5"/>
  <c r="N40" i="5"/>
  <c r="P47" i="9"/>
  <c r="L112" i="5"/>
  <c r="P149" i="9"/>
  <c r="N186" i="5"/>
  <c r="AT186" i="5"/>
  <c r="N30" i="5"/>
  <c r="AT30" i="5"/>
  <c r="H7" i="5"/>
  <c r="AX192" i="5"/>
  <c r="P192" i="5"/>
  <c r="N8" i="11"/>
  <c r="P8" i="11" s="1"/>
  <c r="T7" i="5"/>
  <c r="AT46" i="5"/>
  <c r="N46" i="5"/>
  <c r="AX13" i="5"/>
  <c r="P13" i="5"/>
  <c r="J76" i="5"/>
  <c r="AX78" i="5"/>
  <c r="P78" i="5"/>
  <c r="J3" i="5"/>
  <c r="N157" i="5"/>
  <c r="AT157" i="5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P200" i="5"/>
  <c r="P60" i="9"/>
  <c r="AT135" i="5"/>
  <c r="N135" i="5"/>
  <c r="F58" i="5"/>
  <c r="AQ6" i="5"/>
  <c r="AP6" i="5"/>
  <c r="AR6" i="5" s="1"/>
  <c r="AC6" i="5"/>
  <c r="R133" i="5"/>
  <c r="BB133" i="5"/>
  <c r="AC171" i="5"/>
  <c r="AQ171" i="5"/>
  <c r="AP171" i="5"/>
  <c r="AR171" i="5" s="1"/>
  <c r="R49" i="5"/>
  <c r="BB49" i="5"/>
  <c r="H76" i="5"/>
  <c r="P26" i="9"/>
  <c r="P3" i="5"/>
  <c r="AX3" i="5"/>
  <c r="R106" i="5"/>
  <c r="AT39" i="5"/>
  <c r="N39" i="5"/>
  <c r="N9" i="11"/>
  <c r="P9" i="11" s="1"/>
  <c r="T8" i="5"/>
  <c r="N61" i="5"/>
  <c r="P167" i="9"/>
  <c r="AX68" i="5"/>
  <c r="P68" i="5"/>
  <c r="H66" i="5"/>
  <c r="F123" i="5"/>
  <c r="P75" i="5"/>
  <c r="AX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B273" i="14"/>
  <c r="P2" i="9"/>
  <c r="P133" i="9"/>
  <c r="R13" i="5"/>
  <c r="BB13" i="5"/>
  <c r="AT181" i="5"/>
  <c r="N181" i="5"/>
  <c r="AX32" i="5"/>
  <c r="P32" i="5"/>
  <c r="R200" i="5"/>
  <c r="BB200" i="5"/>
  <c r="R155" i="5"/>
  <c r="AQ90" i="5"/>
  <c r="AC90" i="5"/>
  <c r="AP90" i="5"/>
  <c r="AR90" i="5" s="1"/>
  <c r="AT10" i="5"/>
  <c r="N10" i="5"/>
  <c r="F155" i="5"/>
  <c r="N56" i="5"/>
  <c r="AT56" i="5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N6" i="5"/>
  <c r="P133" i="5"/>
  <c r="AX133" i="5"/>
  <c r="N173" i="11"/>
  <c r="P173" i="11" s="1"/>
  <c r="T172" i="5"/>
  <c r="P54" i="9"/>
  <c r="P24" i="9"/>
  <c r="P49" i="5"/>
  <c r="AX49" i="5"/>
  <c r="AT131" i="5"/>
  <c r="N131" i="5"/>
  <c r="N137" i="11"/>
  <c r="P137" i="11" s="1"/>
  <c r="T136" i="5"/>
  <c r="P163" i="9"/>
  <c r="AP55" i="5"/>
  <c r="AR55" i="5" s="1"/>
  <c r="AQ55" i="5"/>
  <c r="AC55" i="5"/>
  <c r="AX80" i="5"/>
  <c r="P80" i="5"/>
  <c r="H186" i="5"/>
  <c r="AC39" i="5"/>
  <c r="AQ39" i="5"/>
  <c r="AP39" i="5"/>
  <c r="AR39" i="5" s="1"/>
  <c r="J107" i="5"/>
  <c r="R18" i="5"/>
  <c r="J117" i="5"/>
  <c r="N68" i="5"/>
  <c r="AT68" i="5"/>
  <c r="AT75" i="5"/>
  <c r="N75" i="5"/>
  <c r="N96" i="11"/>
  <c r="P96" i="11" s="1"/>
  <c r="T95" i="5"/>
  <c r="H24" i="5"/>
  <c r="H25" i="11"/>
  <c r="J25" i="11" s="1"/>
  <c r="AT59" i="5"/>
  <c r="N59" i="5"/>
  <c r="P38" i="5"/>
  <c r="AX38" i="5"/>
  <c r="K151" i="11"/>
  <c r="M151" i="11" s="1"/>
  <c r="J150" i="5"/>
  <c r="AX115" i="5"/>
  <c r="P115" i="5"/>
  <c r="AP74" i="5"/>
  <c r="AR74" i="5" s="1"/>
  <c r="AQ74" i="5"/>
  <c r="AC74" i="5"/>
  <c r="P134" i="5"/>
  <c r="H135" i="11"/>
  <c r="J135" i="11" s="1"/>
  <c r="P27" i="9"/>
  <c r="AT58" i="5"/>
  <c r="N58" i="5"/>
  <c r="P21" i="9"/>
  <c r="AC185" i="5"/>
  <c r="AP185" i="5"/>
  <c r="AR185" i="5" s="1"/>
  <c r="AQ185" i="5"/>
  <c r="AX140" i="5"/>
  <c r="P140" i="5"/>
  <c r="P166" i="5"/>
  <c r="AX166" i="5"/>
  <c r="P55" i="9"/>
  <c r="BB62" i="5"/>
  <c r="R62" i="5"/>
  <c r="AT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B52" i="5"/>
  <c r="R52" i="5"/>
  <c r="AQ78" i="5"/>
  <c r="AC78" i="5"/>
  <c r="AP78" i="5"/>
  <c r="AR78" i="5" s="1"/>
  <c r="P80" i="9"/>
  <c r="BB15" i="5"/>
  <c r="R15" i="5"/>
  <c r="P104" i="9"/>
  <c r="N185" i="5"/>
  <c r="AT185" i="5"/>
  <c r="AQ137" i="5"/>
  <c r="AP137" i="5"/>
  <c r="AR137" i="5" s="1"/>
  <c r="AC137" i="5"/>
  <c r="E67" i="11"/>
  <c r="G67" i="11" s="1"/>
  <c r="N66" i="5"/>
  <c r="P142" i="5"/>
  <c r="AX142" i="5"/>
  <c r="K187" i="11"/>
  <c r="M187" i="11" s="1"/>
  <c r="J186" i="5"/>
  <c r="AT146" i="5"/>
  <c r="N146" i="5"/>
  <c r="P163" i="5"/>
  <c r="AX163" i="5"/>
  <c r="P9" i="9"/>
  <c r="P178" i="5"/>
  <c r="AX178" i="5"/>
  <c r="AX174" i="5"/>
  <c r="P174" i="5"/>
  <c r="BB58" i="5"/>
  <c r="R58" i="5"/>
  <c r="AC147" i="5"/>
  <c r="AQ147" i="5"/>
  <c r="AP147" i="5"/>
  <c r="AR147" i="5" s="1"/>
  <c r="AT99" i="5"/>
  <c r="N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T32" i="5"/>
  <c r="N108" i="5"/>
  <c r="AT108" i="5"/>
  <c r="AC176" i="5"/>
  <c r="AQ176" i="5"/>
  <c r="AP176" i="5"/>
  <c r="AR176" i="5" s="1"/>
  <c r="AT90" i="5"/>
  <c r="N90" i="5"/>
  <c r="AQ61" i="5"/>
  <c r="AP61" i="5"/>
  <c r="AR61" i="5" s="1"/>
  <c r="AC61" i="5"/>
  <c r="AT50" i="5"/>
  <c r="N50" i="5"/>
  <c r="AP10" i="5"/>
  <c r="AR10" i="5" s="1"/>
  <c r="AQ10" i="5"/>
  <c r="AC10" i="5"/>
  <c r="AX56" i="5"/>
  <c r="P56" i="5"/>
  <c r="N180" i="5"/>
  <c r="AT180" i="5"/>
  <c r="E171" i="11"/>
  <c r="G171" i="11" s="1"/>
  <c r="F170" i="5"/>
  <c r="N170" i="5"/>
  <c r="N200" i="11"/>
  <c r="P200" i="11" s="1"/>
  <c r="T199" i="5"/>
  <c r="D18" i="15"/>
  <c r="E45" i="20" s="1"/>
  <c r="L186" i="5"/>
  <c r="F102" i="5"/>
  <c r="K173" i="11"/>
  <c r="M173" i="11" s="1"/>
  <c r="R172" i="5"/>
  <c r="BB127" i="5"/>
  <c r="R127" i="5"/>
  <c r="AQ84" i="5"/>
  <c r="AC84" i="5"/>
  <c r="AP84" i="5"/>
  <c r="AR84" i="5" s="1"/>
  <c r="P94" i="9"/>
  <c r="AQ132" i="5"/>
  <c r="AP132" i="5"/>
  <c r="AR132" i="5" s="1"/>
  <c r="AC132" i="5"/>
  <c r="AT55" i="5"/>
  <c r="N55" i="5"/>
  <c r="R80" i="5"/>
  <c r="BB80" i="5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N116" i="5"/>
  <c r="P13" i="9"/>
  <c r="N25" i="11"/>
  <c r="P25" i="11" s="1"/>
  <c r="T24" i="5"/>
  <c r="L24" i="5"/>
  <c r="AX59" i="5"/>
  <c r="P59" i="5"/>
  <c r="P139" i="9"/>
  <c r="AY49" i="5" l="1"/>
  <c r="AY56" i="5"/>
  <c r="BD58" i="5"/>
  <c r="AU14" i="5"/>
  <c r="AU104" i="5"/>
  <c r="AU129" i="5"/>
  <c r="AV120" i="5"/>
  <c r="AU166" i="5"/>
  <c r="AV98" i="5"/>
  <c r="AU108" i="5"/>
  <c r="AU99" i="5"/>
  <c r="AV50" i="5"/>
  <c r="AV127" i="5"/>
  <c r="AV22" i="5"/>
  <c r="AV77" i="5"/>
  <c r="AU171" i="5"/>
  <c r="AZ163" i="5"/>
  <c r="F57" i="20"/>
  <c r="B57" i="20"/>
  <c r="AY142" i="5"/>
  <c r="B54" i="20"/>
  <c r="F54" i="20"/>
  <c r="B56" i="20"/>
  <c r="F56" i="20"/>
  <c r="F55" i="20"/>
  <c r="B55" i="20"/>
  <c r="BC15" i="5"/>
  <c r="AZ80" i="5"/>
  <c r="AZ68" i="5"/>
  <c r="BC12" i="5"/>
  <c r="AZ12" i="5"/>
  <c r="AU98" i="5"/>
  <c r="AU50" i="5"/>
  <c r="AV32" i="5"/>
  <c r="AV68" i="5"/>
  <c r="AU153" i="5"/>
  <c r="AV187" i="5"/>
  <c r="AU30" i="5"/>
  <c r="AV139" i="5"/>
  <c r="AU8" i="5"/>
  <c r="AU180" i="5"/>
  <c r="AU32" i="5"/>
  <c r="AV99" i="5"/>
  <c r="AV186" i="5"/>
  <c r="AU149" i="5"/>
  <c r="AV94" i="5"/>
  <c r="AV81" i="5"/>
  <c r="AU116" i="5"/>
  <c r="AV180" i="5"/>
  <c r="AU68" i="5"/>
  <c r="AU159" i="5"/>
  <c r="AU59" i="5"/>
  <c r="AU46" i="5"/>
  <c r="BH136" i="5"/>
  <c r="AV197" i="5"/>
  <c r="AU86" i="5"/>
  <c r="AU38" i="5"/>
  <c r="AU181" i="5"/>
  <c r="AV135" i="5"/>
  <c r="AV179" i="5"/>
  <c r="AU155" i="5"/>
  <c r="AV10" i="5"/>
  <c r="AV20" i="5"/>
  <c r="AU168" i="5"/>
  <c r="AU41" i="5"/>
  <c r="AV48" i="5"/>
  <c r="BH83" i="5"/>
  <c r="F15" i="15"/>
  <c r="C53" i="20" s="1"/>
  <c r="AY178" i="5"/>
  <c r="BG184" i="5"/>
  <c r="AY4" i="5"/>
  <c r="BG170" i="5"/>
  <c r="AZ85" i="5"/>
  <c r="BG28" i="5"/>
  <c r="AY38" i="5"/>
  <c r="BG72" i="5"/>
  <c r="AZ133" i="5"/>
  <c r="AZ118" i="5"/>
  <c r="BH32" i="5"/>
  <c r="AY47" i="5"/>
  <c r="AZ166" i="5"/>
  <c r="AZ135" i="5"/>
  <c r="AY166" i="5"/>
  <c r="BG111" i="5"/>
  <c r="BG52" i="5"/>
  <c r="BG152" i="5"/>
  <c r="BG119" i="5"/>
  <c r="BH158" i="5"/>
  <c r="BG156" i="5"/>
  <c r="BG180" i="5"/>
  <c r="BH167" i="5"/>
  <c r="BH59" i="5"/>
  <c r="BG12" i="5"/>
  <c r="BH5" i="5"/>
  <c r="BG104" i="5"/>
  <c r="BG97" i="5"/>
  <c r="BG138" i="5"/>
  <c r="BH192" i="5"/>
  <c r="BG38" i="5"/>
  <c r="BH19" i="5"/>
  <c r="BG83" i="5"/>
  <c r="BG76" i="5"/>
  <c r="BG31" i="5"/>
  <c r="BG78" i="5"/>
  <c r="BH6" i="5"/>
  <c r="BH73" i="5"/>
  <c r="BG65" i="5"/>
  <c r="BH161" i="5"/>
  <c r="BH104" i="5"/>
  <c r="BH15" i="5"/>
  <c r="BH18" i="5"/>
  <c r="BG173" i="5"/>
  <c r="BG157" i="5"/>
  <c r="BH178" i="5"/>
  <c r="BG163" i="5"/>
  <c r="BG112" i="5"/>
  <c r="BH7" i="5"/>
  <c r="BH17" i="5"/>
  <c r="BG61" i="5"/>
  <c r="BG110" i="5"/>
  <c r="AY163" i="5"/>
  <c r="AZ140" i="5"/>
  <c r="AU140" i="5"/>
  <c r="AU17" i="5"/>
  <c r="AU19" i="5"/>
  <c r="AZ159" i="5"/>
  <c r="AV119" i="5"/>
  <c r="AU94" i="5"/>
  <c r="AZ122" i="5"/>
  <c r="BG59" i="5"/>
  <c r="BG114" i="5"/>
  <c r="BH185" i="5"/>
  <c r="BH138" i="5"/>
  <c r="BG55" i="5"/>
  <c r="BG172" i="5"/>
  <c r="BG125" i="5"/>
  <c r="BH28" i="5"/>
  <c r="BH172" i="5"/>
  <c r="BH41" i="5"/>
  <c r="BH43" i="5"/>
  <c r="BH155" i="5"/>
  <c r="AV60" i="5"/>
  <c r="BH82" i="5"/>
  <c r="AV192" i="5"/>
  <c r="AY200" i="5"/>
  <c r="AU157" i="5"/>
  <c r="AZ47" i="5"/>
  <c r="AV171" i="5"/>
  <c r="AU77" i="5"/>
  <c r="AU119" i="5"/>
  <c r="AU179" i="5"/>
  <c r="AV125" i="5"/>
  <c r="AU118" i="5"/>
  <c r="AU107" i="5"/>
  <c r="BG46" i="5"/>
  <c r="BH46" i="5"/>
  <c r="BH148" i="5"/>
  <c r="BH8" i="5"/>
  <c r="BH173" i="5"/>
  <c r="BG164" i="5"/>
  <c r="BG161" i="5"/>
  <c r="BG167" i="5"/>
  <c r="BH151" i="5"/>
  <c r="BG200" i="5"/>
  <c r="BH62" i="5"/>
  <c r="BH33" i="5"/>
  <c r="AZ127" i="5"/>
  <c r="AU40" i="5"/>
  <c r="AV62" i="5"/>
  <c r="AV118" i="5"/>
  <c r="AY111" i="5"/>
  <c r="AU23" i="5"/>
  <c r="AZ29" i="5"/>
  <c r="BH117" i="5"/>
  <c r="BH79" i="5"/>
  <c r="BH53" i="5"/>
  <c r="BG117" i="5"/>
  <c r="BG67" i="5"/>
  <c r="BG183" i="5"/>
  <c r="BH124" i="5"/>
  <c r="BH122" i="5"/>
  <c r="BH70" i="5"/>
  <c r="BG90" i="5"/>
  <c r="BH135" i="5"/>
  <c r="BG42" i="5"/>
  <c r="BH45" i="5"/>
  <c r="BG182" i="5"/>
  <c r="BG193" i="5"/>
  <c r="BH190" i="5"/>
  <c r="BH112" i="5"/>
  <c r="BG145" i="5"/>
  <c r="BG15" i="5"/>
  <c r="BH98" i="5"/>
  <c r="AV146" i="5"/>
  <c r="AU6" i="5"/>
  <c r="AY75" i="5"/>
  <c r="AZ192" i="5"/>
  <c r="AU42" i="5"/>
  <c r="AU62" i="5"/>
  <c r="AV107" i="5"/>
  <c r="BH63" i="5"/>
  <c r="BH71" i="5"/>
  <c r="BH16" i="5"/>
  <c r="BG100" i="5"/>
  <c r="BG124" i="5"/>
  <c r="BH38" i="5"/>
  <c r="BH94" i="5"/>
  <c r="BH58" i="5"/>
  <c r="BG5" i="5"/>
  <c r="L262" i="14"/>
  <c r="BH74" i="5"/>
  <c r="BG142" i="5"/>
  <c r="BH85" i="5"/>
  <c r="AU39" i="5"/>
  <c r="AU185" i="5"/>
  <c r="AV142" i="5"/>
  <c r="AZ75" i="5"/>
  <c r="AU75" i="5"/>
  <c r="AV131" i="5"/>
  <c r="AV6" i="5"/>
  <c r="AZ32" i="5"/>
  <c r="AY78" i="5"/>
  <c r="AY192" i="5"/>
  <c r="AV40" i="5"/>
  <c r="AU173" i="5"/>
  <c r="BG150" i="5"/>
  <c r="BG181" i="5"/>
  <c r="BH141" i="5"/>
  <c r="BH118" i="5"/>
  <c r="BG128" i="5"/>
  <c r="BG13" i="5"/>
  <c r="BG143" i="5"/>
  <c r="BH11" i="5"/>
  <c r="BH200" i="5"/>
  <c r="BG122" i="5"/>
  <c r="BG160" i="5"/>
  <c r="BG37" i="5"/>
  <c r="AZ169" i="5"/>
  <c r="AY115" i="5"/>
  <c r="AY59" i="5"/>
  <c r="AU146" i="5"/>
  <c r="AU131" i="5"/>
  <c r="AU56" i="5"/>
  <c r="AY32" i="5"/>
  <c r="AV39" i="5"/>
  <c r="AZ174" i="5"/>
  <c r="AU58" i="5"/>
  <c r="AY80" i="5"/>
  <c r="AZ49" i="5"/>
  <c r="AU10" i="5"/>
  <c r="AY3" i="5"/>
  <c r="AZ78" i="5"/>
  <c r="AV15" i="5"/>
  <c r="AV117" i="5"/>
  <c r="AV24" i="5"/>
  <c r="AV173" i="5"/>
  <c r="BG11" i="5"/>
  <c r="BH84" i="5"/>
  <c r="BG50" i="5"/>
  <c r="BH188" i="5"/>
  <c r="BG154" i="5"/>
  <c r="BG165" i="5"/>
  <c r="BG51" i="5"/>
  <c r="BG18" i="5"/>
  <c r="BH180" i="5"/>
  <c r="BH36" i="5"/>
  <c r="BH179" i="5"/>
  <c r="AU90" i="5"/>
  <c r="AV185" i="5"/>
  <c r="AU142" i="5"/>
  <c r="AZ200" i="5"/>
  <c r="AZ178" i="5"/>
  <c r="AZ142" i="5"/>
  <c r="AZ38" i="5"/>
  <c r="AZ3" i="5"/>
  <c r="AU156" i="5"/>
  <c r="AU45" i="5"/>
  <c r="AV70" i="5"/>
  <c r="AU117" i="5"/>
  <c r="AU24" i="5"/>
  <c r="AU93" i="5"/>
  <c r="AU175" i="5"/>
  <c r="AZ101" i="5"/>
  <c r="AU196" i="5"/>
  <c r="BG177" i="5"/>
  <c r="BG33" i="5"/>
  <c r="BH153" i="5"/>
  <c r="BH22" i="5"/>
  <c r="BG77" i="5"/>
  <c r="BG29" i="5"/>
  <c r="BH14" i="5"/>
  <c r="BH23" i="5"/>
  <c r="BH183" i="5"/>
  <c r="AV108" i="5"/>
  <c r="AV58" i="5"/>
  <c r="AV75" i="5"/>
  <c r="AV181" i="5"/>
  <c r="AV144" i="5"/>
  <c r="AV175" i="5"/>
  <c r="AV86" i="5"/>
  <c r="AV198" i="5"/>
  <c r="AU145" i="5"/>
  <c r="AU178" i="5"/>
  <c r="BG199" i="5"/>
  <c r="BH157" i="5"/>
  <c r="BG105" i="5"/>
  <c r="BG194" i="5"/>
  <c r="BG196" i="5"/>
  <c r="BH131" i="5"/>
  <c r="BG60" i="5"/>
  <c r="BH156" i="5"/>
  <c r="BG56" i="5"/>
  <c r="BH175" i="5"/>
  <c r="BH102" i="5"/>
  <c r="BH96" i="5"/>
  <c r="BH2" i="5"/>
  <c r="BG54" i="5"/>
  <c r="BH91" i="5"/>
  <c r="BG75" i="5"/>
  <c r="BH126" i="5"/>
  <c r="BG82" i="5"/>
  <c r="BH119" i="5"/>
  <c r="BH77" i="5"/>
  <c r="BG66" i="5"/>
  <c r="BG187" i="5"/>
  <c r="BG144" i="5"/>
  <c r="BH194" i="5"/>
  <c r="BH67" i="5"/>
  <c r="BH42" i="5"/>
  <c r="BG84" i="5"/>
  <c r="BH150" i="5"/>
  <c r="BG169" i="5"/>
  <c r="BH181" i="5"/>
  <c r="BH72" i="5"/>
  <c r="BH186" i="5"/>
  <c r="BH129" i="5"/>
  <c r="BH75" i="5"/>
  <c r="BH66" i="5"/>
  <c r="BG96" i="5"/>
  <c r="BH110" i="5"/>
  <c r="BG92" i="5"/>
  <c r="BG189" i="5"/>
  <c r="BG99" i="5"/>
  <c r="BH147" i="5"/>
  <c r="BG45" i="5"/>
  <c r="BH99" i="5"/>
  <c r="BH78" i="5"/>
  <c r="BG32" i="5"/>
  <c r="BG192" i="5"/>
  <c r="BH134" i="5"/>
  <c r="BG133" i="5"/>
  <c r="BH182" i="5"/>
  <c r="BG6" i="5"/>
  <c r="BH60" i="5"/>
  <c r="BH159" i="5"/>
  <c r="BG185" i="5"/>
  <c r="BH123" i="5"/>
  <c r="BH160" i="5"/>
  <c r="BG129" i="5"/>
  <c r="BH196" i="5"/>
  <c r="BG89" i="5"/>
  <c r="BG113" i="5"/>
  <c r="BG48" i="5"/>
  <c r="AU9" i="5"/>
  <c r="AU31" i="5"/>
  <c r="AU97" i="5"/>
  <c r="AV47" i="5"/>
  <c r="BH97" i="5"/>
  <c r="BG17" i="5"/>
  <c r="BG147" i="5"/>
  <c r="BH133" i="5"/>
  <c r="BH130" i="5"/>
  <c r="BH107" i="5"/>
  <c r="BG8" i="5"/>
  <c r="BG63" i="5"/>
  <c r="J262" i="14"/>
  <c r="BH108" i="5"/>
  <c r="BH197" i="5"/>
  <c r="BG149" i="5"/>
  <c r="BH10" i="5"/>
  <c r="BH165" i="5"/>
  <c r="BG131" i="5"/>
  <c r="BH39" i="5"/>
  <c r="BG36" i="5"/>
  <c r="BG123" i="5"/>
  <c r="BG27" i="5"/>
  <c r="BG20" i="5"/>
  <c r="BG102" i="5"/>
  <c r="BG120" i="5"/>
  <c r="BH132" i="5"/>
  <c r="BH40" i="5"/>
  <c r="BH149" i="5"/>
  <c r="BH145" i="5"/>
  <c r="BG109" i="5"/>
  <c r="BH168" i="5"/>
  <c r="BG16" i="5"/>
  <c r="BH31" i="5"/>
  <c r="BG171" i="5"/>
  <c r="BG24" i="5"/>
  <c r="AU151" i="5"/>
  <c r="AU123" i="5"/>
  <c r="BH105" i="5"/>
  <c r="BH146" i="5"/>
  <c r="BG94" i="5"/>
  <c r="BG135" i="5"/>
  <c r="BG85" i="5"/>
  <c r="K262" i="14"/>
  <c r="BH48" i="5"/>
  <c r="BH34" i="5"/>
  <c r="BH191" i="5"/>
  <c r="BH142" i="5"/>
  <c r="BH76" i="5"/>
  <c r="BH3" i="5"/>
  <c r="BH164" i="5"/>
  <c r="BG35" i="5"/>
  <c r="BH198" i="5"/>
  <c r="BG126" i="5"/>
  <c r="BH144" i="5"/>
  <c r="BG73" i="5"/>
  <c r="BG168" i="5"/>
  <c r="BG14" i="5"/>
  <c r="BH143" i="5"/>
  <c r="BG178" i="5"/>
  <c r="BH125" i="5"/>
  <c r="BH12" i="5"/>
  <c r="BH174" i="5"/>
  <c r="BG139" i="5"/>
  <c r="BH170" i="5"/>
  <c r="BH27" i="5"/>
  <c r="BH163" i="5"/>
  <c r="BH106" i="5"/>
  <c r="BG10" i="5"/>
  <c r="BH21" i="5"/>
  <c r="BH54" i="5"/>
  <c r="BG146" i="5"/>
  <c r="BG49" i="5"/>
  <c r="AU11" i="5"/>
  <c r="AV184" i="5"/>
  <c r="AU165" i="5"/>
  <c r="BG115" i="5"/>
  <c r="BH9" i="5"/>
  <c r="BG25" i="5"/>
  <c r="BH114" i="5"/>
  <c r="BG198" i="5"/>
  <c r="BG148" i="5"/>
  <c r="BH56" i="5"/>
  <c r="BH13" i="5"/>
  <c r="BH189" i="5"/>
  <c r="BH137" i="5"/>
  <c r="BG95" i="5"/>
  <c r="BG22" i="5"/>
  <c r="BH86" i="5"/>
  <c r="BG23" i="5"/>
  <c r="BG98" i="5"/>
  <c r="BH100" i="5"/>
  <c r="BG175" i="5"/>
  <c r="BH35" i="5"/>
  <c r="BH166" i="5"/>
  <c r="BH152" i="5"/>
  <c r="BG44" i="5"/>
  <c r="BG134" i="5"/>
  <c r="BH162" i="5"/>
  <c r="BG43" i="5"/>
  <c r="BH44" i="5"/>
  <c r="BH52" i="5"/>
  <c r="BG74" i="5"/>
  <c r="BH68" i="5"/>
  <c r="BG39" i="5"/>
  <c r="BG91" i="5"/>
  <c r="BG62" i="5"/>
  <c r="BH30" i="5"/>
  <c r="BH93" i="5"/>
  <c r="BG80" i="5"/>
  <c r="BH29" i="5"/>
  <c r="AV116" i="5"/>
  <c r="AU55" i="5"/>
  <c r="AV59" i="5"/>
  <c r="AU135" i="5"/>
  <c r="AU186" i="5"/>
  <c r="AV166" i="5"/>
  <c r="AU22" i="5"/>
  <c r="AU193" i="5"/>
  <c r="AV42" i="5"/>
  <c r="AV5" i="5"/>
  <c r="AU109" i="5"/>
  <c r="AZ71" i="5"/>
  <c r="AY147" i="5"/>
  <c r="AU190" i="5"/>
  <c r="AV169" i="5"/>
  <c r="BH103" i="5"/>
  <c r="BG69" i="5"/>
  <c r="BG195" i="5"/>
  <c r="BG141" i="5"/>
  <c r="BH139" i="5"/>
  <c r="BH176" i="5"/>
  <c r="BG2" i="5"/>
  <c r="BG130" i="5"/>
  <c r="BG158" i="5"/>
  <c r="BG86" i="5"/>
  <c r="BG9" i="5"/>
  <c r="BH4" i="5"/>
  <c r="BG166" i="5"/>
  <c r="BG174" i="5"/>
  <c r="BG107" i="5"/>
  <c r="BG108" i="5"/>
  <c r="BG21" i="5"/>
  <c r="BG71" i="5"/>
  <c r="BG57" i="5"/>
  <c r="BG87" i="5"/>
  <c r="BH111" i="5"/>
  <c r="BG64" i="5"/>
  <c r="BG53" i="5"/>
  <c r="BG159" i="5"/>
  <c r="BG101" i="5"/>
  <c r="BH26" i="5"/>
  <c r="BG136" i="5"/>
  <c r="BG179" i="5"/>
  <c r="BG58" i="5"/>
  <c r="BH177" i="5"/>
  <c r="BG188" i="5"/>
  <c r="BG155" i="5"/>
  <c r="BG162" i="5"/>
  <c r="BG47" i="5"/>
  <c r="BH116" i="5"/>
  <c r="BG40" i="5"/>
  <c r="BG81" i="5"/>
  <c r="BG70" i="5"/>
  <c r="BH50" i="5"/>
  <c r="BH95" i="5"/>
  <c r="BH113" i="5"/>
  <c r="BH87" i="5"/>
  <c r="BH109" i="5"/>
  <c r="BG151" i="5"/>
  <c r="BG4" i="5"/>
  <c r="BH49" i="5"/>
  <c r="BH101" i="5"/>
  <c r="BH81" i="5"/>
  <c r="BH115" i="5"/>
  <c r="BH195" i="5"/>
  <c r="BH69" i="5"/>
  <c r="BG127" i="5"/>
  <c r="BG41" i="5"/>
  <c r="BH61" i="5"/>
  <c r="BG197" i="5"/>
  <c r="BH24" i="5"/>
  <c r="BH55" i="5"/>
  <c r="BH154" i="5"/>
  <c r="BH92" i="5"/>
  <c r="BH90" i="5"/>
  <c r="BG137" i="5"/>
  <c r="BG34" i="5"/>
  <c r="BG153" i="5"/>
  <c r="BH64" i="5"/>
  <c r="AV55" i="5"/>
  <c r="AV90" i="5"/>
  <c r="AV56" i="5"/>
  <c r="AU192" i="5"/>
  <c r="AV157" i="5"/>
  <c r="AV46" i="5"/>
  <c r="AV140" i="5"/>
  <c r="AV17" i="5"/>
  <c r="AV19" i="5"/>
  <c r="AV38" i="5"/>
  <c r="AV79" i="5"/>
  <c r="AU120" i="5"/>
  <c r="AU5" i="5"/>
  <c r="AV93" i="5"/>
  <c r="AU57" i="5"/>
  <c r="AU71" i="5"/>
  <c r="AY135" i="5"/>
  <c r="AV106" i="5"/>
  <c r="AV84" i="5"/>
  <c r="AU199" i="5"/>
  <c r="BH169" i="5"/>
  <c r="BH88" i="5"/>
  <c r="BH80" i="5"/>
  <c r="BG132" i="5"/>
  <c r="BG118" i="5"/>
  <c r="BH128" i="5"/>
  <c r="BG191" i="5"/>
  <c r="BG121" i="5"/>
  <c r="BG93" i="5"/>
  <c r="BH120" i="5"/>
  <c r="BH20" i="5"/>
  <c r="BG30" i="5"/>
  <c r="BH25" i="5"/>
  <c r="BG103" i="5"/>
  <c r="BH89" i="5"/>
  <c r="BH51" i="5"/>
  <c r="BG3" i="5"/>
  <c r="BG106" i="5"/>
  <c r="BH184" i="5"/>
  <c r="BH171" i="5"/>
  <c r="BG88" i="5"/>
  <c r="BH121" i="5"/>
  <c r="BH140" i="5"/>
  <c r="BG79" i="5"/>
  <c r="BH199" i="5"/>
  <c r="BG186" i="5"/>
  <c r="BG140" i="5"/>
  <c r="BG116" i="5"/>
  <c r="BH187" i="5"/>
  <c r="BH47" i="5"/>
  <c r="BG68" i="5"/>
  <c r="BG176" i="5"/>
  <c r="BH37" i="5"/>
  <c r="BH65" i="5"/>
  <c r="AY173" i="5"/>
  <c r="BD154" i="5"/>
  <c r="AZ149" i="5"/>
  <c r="AZ190" i="5"/>
  <c r="AZ171" i="5"/>
  <c r="AY156" i="5"/>
  <c r="AZ58" i="5"/>
  <c r="AZ93" i="5"/>
  <c r="AZ147" i="5"/>
  <c r="AZ16" i="5"/>
  <c r="AY117" i="5"/>
  <c r="AY155" i="5"/>
  <c r="AY152" i="5"/>
  <c r="AY121" i="5"/>
  <c r="AZ92" i="5"/>
  <c r="BH127" i="5"/>
  <c r="BH193" i="5"/>
  <c r="BG19" i="5"/>
  <c r="BG7" i="5"/>
  <c r="BG190" i="5"/>
  <c r="BH57" i="5"/>
  <c r="H15" i="15"/>
  <c r="AZ144" i="5"/>
  <c r="T102" i="14"/>
  <c r="E21" i="15" s="1"/>
  <c r="B58" i="20" s="1"/>
  <c r="AU127" i="5"/>
  <c r="AV156" i="5"/>
  <c r="AV45" i="5"/>
  <c r="AU70" i="5"/>
  <c r="AU144" i="5"/>
  <c r="AU125" i="5"/>
  <c r="AV14" i="5"/>
  <c r="AV168" i="5"/>
  <c r="AU48" i="5"/>
  <c r="AU114" i="5"/>
  <c r="AU34" i="5"/>
  <c r="AU64" i="5"/>
  <c r="AU111" i="5"/>
  <c r="AV190" i="5"/>
  <c r="AV123" i="5"/>
  <c r="AV21" i="5"/>
  <c r="AU139" i="5"/>
  <c r="AV137" i="5"/>
  <c r="AU162" i="5"/>
  <c r="AU91" i="5"/>
  <c r="AV151" i="5"/>
  <c r="AV64" i="5"/>
  <c r="AV164" i="5"/>
  <c r="AV194" i="5"/>
  <c r="AV111" i="5"/>
  <c r="AV199" i="5"/>
  <c r="AU137" i="5"/>
  <c r="AV57" i="5"/>
  <c r="AV114" i="5"/>
  <c r="AV34" i="5"/>
  <c r="AV31" i="5"/>
  <c r="AU164" i="5"/>
  <c r="AU194" i="5"/>
  <c r="AU106" i="5"/>
  <c r="AU21" i="5"/>
  <c r="AU67" i="5"/>
  <c r="AV122" i="5"/>
  <c r="AU73" i="5"/>
  <c r="AV67" i="5"/>
  <c r="AU16" i="5"/>
  <c r="AV174" i="5"/>
  <c r="AV76" i="5"/>
  <c r="AU133" i="5"/>
  <c r="AV11" i="5"/>
  <c r="AV153" i="5"/>
  <c r="AV3" i="5"/>
  <c r="AV196" i="5"/>
  <c r="AV16" i="5"/>
  <c r="AU174" i="5"/>
  <c r="AU76" i="5"/>
  <c r="AV163" i="5"/>
  <c r="BC89" i="5"/>
  <c r="AV9" i="5"/>
  <c r="BC185" i="5"/>
  <c r="AU197" i="5"/>
  <c r="AV155" i="5"/>
  <c r="AV71" i="5"/>
  <c r="AU198" i="5"/>
  <c r="AV145" i="5"/>
  <c r="AU3" i="5"/>
  <c r="AU84" i="5"/>
  <c r="AV128" i="5"/>
  <c r="AU78" i="5"/>
  <c r="BC27" i="5"/>
  <c r="AV143" i="5"/>
  <c r="AV30" i="5"/>
  <c r="AU15" i="5"/>
  <c r="AU20" i="5"/>
  <c r="AV159" i="5"/>
  <c r="AV149" i="5"/>
  <c r="AV193" i="5"/>
  <c r="AU79" i="5"/>
  <c r="AV129" i="5"/>
  <c r="AV109" i="5"/>
  <c r="AV104" i="5"/>
  <c r="AV41" i="5"/>
  <c r="AV23" i="5"/>
  <c r="AU184" i="5"/>
  <c r="AV165" i="5"/>
  <c r="AU187" i="5"/>
  <c r="AU44" i="5"/>
  <c r="AU169" i="5"/>
  <c r="AY195" i="5"/>
  <c r="AZ65" i="5"/>
  <c r="AY22" i="5"/>
  <c r="AY41" i="5"/>
  <c r="AZ55" i="5"/>
  <c r="AZ59" i="5"/>
  <c r="AY174" i="5"/>
  <c r="AZ112" i="5"/>
  <c r="AZ115" i="5"/>
  <c r="AY112" i="5"/>
  <c r="AY8" i="5"/>
  <c r="AY45" i="5"/>
  <c r="AZ155" i="5"/>
  <c r="E15" i="15"/>
  <c r="E16" i="15"/>
  <c r="AY137" i="5"/>
  <c r="AZ39" i="5"/>
  <c r="AZ137" i="5"/>
  <c r="AZ143" i="5"/>
  <c r="AY31" i="5"/>
  <c r="AY14" i="5"/>
  <c r="AZ79" i="5"/>
  <c r="AY150" i="5"/>
  <c r="AY103" i="5"/>
  <c r="AY42" i="5"/>
  <c r="AZ31" i="5"/>
  <c r="AZ14" i="5"/>
  <c r="AZ154" i="5"/>
  <c r="AZ50" i="5"/>
  <c r="AY67" i="5"/>
  <c r="AY143" i="5"/>
  <c r="AY43" i="5"/>
  <c r="AZ170" i="5"/>
  <c r="AY140" i="5"/>
  <c r="AZ13" i="5"/>
  <c r="AY85" i="5"/>
  <c r="AY30" i="5"/>
  <c r="AY170" i="5"/>
  <c r="AY149" i="5"/>
  <c r="AZ56" i="5"/>
  <c r="AY133" i="5"/>
  <c r="AY92" i="5"/>
  <c r="AZ43" i="5"/>
  <c r="AZ30" i="5"/>
  <c r="AY19" i="5"/>
  <c r="AZ152" i="5"/>
  <c r="AY176" i="5"/>
  <c r="AZ69" i="5"/>
  <c r="AY65" i="5"/>
  <c r="AY69" i="5"/>
  <c r="AZ20" i="5"/>
  <c r="AY73" i="5"/>
  <c r="AZ179" i="5"/>
  <c r="AZ45" i="5"/>
  <c r="AY62" i="5"/>
  <c r="AY60" i="5"/>
  <c r="AY130" i="5"/>
  <c r="AY141" i="5"/>
  <c r="AY162" i="5"/>
  <c r="AY188" i="5"/>
  <c r="AZ132" i="5"/>
  <c r="AZ99" i="5"/>
  <c r="AY68" i="5"/>
  <c r="AY12" i="5"/>
  <c r="AY191" i="5"/>
  <c r="AZ187" i="5"/>
  <c r="AZ141" i="5"/>
  <c r="AY82" i="5"/>
  <c r="AZ48" i="5"/>
  <c r="AY13" i="5"/>
  <c r="AZ4" i="5"/>
  <c r="B66" i="15"/>
  <c r="AZ191" i="5"/>
  <c r="AZ86" i="5"/>
  <c r="AZ173" i="5"/>
  <c r="AZ98" i="5"/>
  <c r="AZ196" i="5"/>
  <c r="AZ153" i="5"/>
  <c r="AZ197" i="5"/>
  <c r="AZ82" i="5"/>
  <c r="AY53" i="5"/>
  <c r="AZ145" i="5"/>
  <c r="AY113" i="5"/>
  <c r="AY189" i="5"/>
  <c r="AY71" i="5"/>
  <c r="AY36" i="5"/>
  <c r="AZ182" i="5"/>
  <c r="AZ176" i="5"/>
  <c r="AZ15" i="5"/>
  <c r="AZ41" i="5"/>
  <c r="AY39" i="5"/>
  <c r="AZ123" i="5"/>
  <c r="AY123" i="5"/>
  <c r="AY154" i="5"/>
  <c r="AZ7" i="5"/>
  <c r="AZ125" i="5"/>
  <c r="AY110" i="5"/>
  <c r="AZ10" i="5"/>
  <c r="AZ84" i="5"/>
  <c r="AZ131" i="5"/>
  <c r="AZ167" i="5"/>
  <c r="AZ89" i="5"/>
  <c r="AY9" i="5"/>
  <c r="AZ64" i="5"/>
  <c r="AY165" i="5"/>
  <c r="AZ27" i="5"/>
  <c r="AY169" i="5"/>
  <c r="AY161" i="5"/>
  <c r="AZ66" i="5"/>
  <c r="AY190" i="5"/>
  <c r="AY198" i="5"/>
  <c r="AZ52" i="5"/>
  <c r="AY88" i="5"/>
  <c r="AY90" i="5"/>
  <c r="AV63" i="5"/>
  <c r="BC133" i="5"/>
  <c r="BC199" i="5"/>
  <c r="BD2" i="5"/>
  <c r="BD127" i="5"/>
  <c r="BD13" i="5"/>
  <c r="BC130" i="5"/>
  <c r="BC126" i="5"/>
  <c r="BD167" i="5"/>
  <c r="BD158" i="5"/>
  <c r="BC167" i="5"/>
  <c r="BC156" i="5"/>
  <c r="BC10" i="5"/>
  <c r="BC13" i="5"/>
  <c r="BD170" i="5"/>
  <c r="BC124" i="5"/>
  <c r="BC50" i="5"/>
  <c r="BD179" i="5"/>
  <c r="BD95" i="5"/>
  <c r="BC135" i="5"/>
  <c r="BD115" i="5"/>
  <c r="BD61" i="5"/>
  <c r="BC31" i="5"/>
  <c r="BD174" i="5"/>
  <c r="BC123" i="5"/>
  <c r="BC58" i="5"/>
  <c r="BD200" i="5"/>
  <c r="BC61" i="5"/>
  <c r="BD31" i="5"/>
  <c r="BD129" i="5"/>
  <c r="BD52" i="5"/>
  <c r="BC52" i="5"/>
  <c r="BD80" i="5"/>
  <c r="BC200" i="5"/>
  <c r="BD117" i="5"/>
  <c r="BC148" i="5"/>
  <c r="BC39" i="5"/>
  <c r="BC105" i="5"/>
  <c r="BC80" i="5"/>
  <c r="BC62" i="5"/>
  <c r="BD46" i="5"/>
  <c r="BC91" i="5"/>
  <c r="BC197" i="5"/>
  <c r="BD182" i="5"/>
  <c r="BC127" i="5"/>
  <c r="BD15" i="5"/>
  <c r="BD62" i="5"/>
  <c r="BC49" i="5"/>
  <c r="BD12" i="5"/>
  <c r="BC152" i="5"/>
  <c r="BC195" i="5"/>
  <c r="BC38" i="5"/>
  <c r="BC83" i="5"/>
  <c r="BC21" i="5"/>
  <c r="BC134" i="5"/>
  <c r="BC174" i="5"/>
  <c r="BC98" i="5"/>
  <c r="BC35" i="5"/>
  <c r="BD168" i="5"/>
  <c r="BC82" i="5"/>
  <c r="BC60" i="5"/>
  <c r="BD186" i="5"/>
  <c r="BD51" i="5"/>
  <c r="BC36" i="5"/>
  <c r="BD23" i="5"/>
  <c r="BC102" i="5"/>
  <c r="BC136" i="5"/>
  <c r="BC160" i="5"/>
  <c r="BC180" i="5"/>
  <c r="BD50" i="5"/>
  <c r="BC129" i="5"/>
  <c r="BD3" i="5"/>
  <c r="BD189" i="5"/>
  <c r="BC191" i="5"/>
  <c r="BD138" i="5"/>
  <c r="BC51" i="5"/>
  <c r="BC161" i="5"/>
  <c r="BC23" i="5"/>
  <c r="BD102" i="5"/>
  <c r="BC71" i="5"/>
  <c r="BC14" i="5"/>
  <c r="BD27" i="5"/>
  <c r="BC32" i="5"/>
  <c r="BC37" i="5"/>
  <c r="BC73" i="5"/>
  <c r="BC189" i="5"/>
  <c r="BC79" i="5"/>
  <c r="BC65" i="5"/>
  <c r="BD178" i="5"/>
  <c r="BC147" i="5"/>
  <c r="BC53" i="5"/>
  <c r="BC163" i="5"/>
  <c r="BC113" i="5"/>
  <c r="BD35" i="5"/>
  <c r="BC188" i="5"/>
  <c r="BD65" i="5"/>
  <c r="BD153" i="5"/>
  <c r="BD105" i="5"/>
  <c r="BC175" i="5"/>
  <c r="BD165" i="5"/>
  <c r="BC166" i="5"/>
  <c r="BD34" i="5"/>
  <c r="BC54" i="5"/>
  <c r="BC16" i="5"/>
  <c r="BC92" i="5"/>
  <c r="BD33" i="5"/>
  <c r="BD175" i="5"/>
  <c r="BD197" i="5"/>
  <c r="BD112" i="5"/>
  <c r="BD90" i="5"/>
  <c r="BC128" i="5"/>
  <c r="BD71" i="5"/>
  <c r="BC107" i="5"/>
  <c r="BC100" i="5"/>
  <c r="BC78" i="5"/>
  <c r="BC172" i="5"/>
  <c r="BD144" i="5"/>
  <c r="BC40" i="5"/>
  <c r="BD109" i="5"/>
  <c r="BD28" i="5"/>
  <c r="BC144" i="5"/>
  <c r="BC190" i="5"/>
  <c r="BC81" i="5"/>
  <c r="AY107" i="5"/>
  <c r="AY181" i="5"/>
  <c r="AY84" i="5"/>
  <c r="AV66" i="5"/>
  <c r="AZ26" i="5"/>
  <c r="AU61" i="5"/>
  <c r="BD11" i="5"/>
  <c r="J261" i="14"/>
  <c r="AY50" i="5"/>
  <c r="BD5" i="5"/>
  <c r="BD22" i="5"/>
  <c r="AV80" i="5"/>
  <c r="BD166" i="5"/>
  <c r="AY193" i="5"/>
  <c r="BD93" i="5"/>
  <c r="AY40" i="5"/>
  <c r="AY148" i="5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E11" i="14"/>
  <c r="F11" i="14"/>
  <c r="C16" i="15"/>
  <c r="D43" i="20" s="1"/>
  <c r="C19" i="15"/>
  <c r="D46" i="20" s="1"/>
  <c r="F14" i="14"/>
  <c r="D15" i="14"/>
  <c r="F41" i="14" s="1"/>
  <c r="C20" i="15"/>
  <c r="D47" i="20" s="1"/>
  <c r="C17" i="15"/>
  <c r="D44" i="20" s="1"/>
  <c r="C18" i="15"/>
  <c r="D45" i="20" s="1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28" i="20" s="1"/>
  <c r="K258" i="14"/>
  <c r="G261" i="14"/>
  <c r="F261" i="14"/>
  <c r="E53" i="20" l="1"/>
  <c r="F53" i="20"/>
  <c r="B53" i="20"/>
  <c r="B52" i="20"/>
  <c r="M262" i="14"/>
  <c r="O262" i="14" s="1"/>
  <c r="M261" i="14"/>
  <c r="O261" i="14" s="1"/>
  <c r="M259" i="14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C25" i="20" s="1"/>
  <c r="J41" i="14"/>
  <c r="B38" i="15"/>
  <c r="E9" i="20" s="1"/>
  <c r="A39" i="15"/>
  <c r="E35" i="15" s="1"/>
  <c r="M263" i="14"/>
  <c r="A265" i="14" s="1"/>
  <c r="O258" i="14"/>
  <c r="E4" i="15" l="1"/>
  <c r="B64" i="15"/>
  <c r="H41" i="14"/>
  <c r="D22" i="15"/>
  <c r="H33" i="15"/>
  <c r="C27" i="20" s="1"/>
  <c r="B26" i="14"/>
  <c r="B9" i="20" s="1"/>
  <c r="E26" i="14"/>
  <c r="J4" i="14" s="1"/>
  <c r="C38" i="15"/>
  <c r="G5" i="15"/>
  <c r="C9" i="20" l="1"/>
  <c r="E49" i="20"/>
  <c r="B65" i="15"/>
  <c r="B60" i="15"/>
  <c r="B62" i="15"/>
  <c r="E8" i="15"/>
  <c r="H8" i="15"/>
  <c r="C24" i="20" s="1"/>
  <c r="E6" i="15"/>
  <c r="C22" i="15"/>
  <c r="D49" i="20" s="1"/>
  <c r="D5" i="15"/>
  <c r="H4" i="15"/>
  <c r="B28" i="14"/>
  <c r="C5" i="15"/>
  <c r="B86" i="15"/>
  <c r="C17" i="20" s="1"/>
  <c r="B207" i="1"/>
  <c r="J5" i="15" l="1"/>
  <c r="G2" i="15" s="1"/>
  <c r="B87" i="15"/>
  <c r="C20" i="20" s="1"/>
  <c r="C4" i="15"/>
  <c r="B3" i="15"/>
  <c r="G6" i="20" s="1"/>
  <c r="B67" i="15" l="1"/>
  <c r="C87" i="15"/>
  <c r="D20" i="20" s="1"/>
  <c r="B7" i="15"/>
  <c r="G10" i="20" s="1"/>
  <c r="A7" i="15"/>
  <c r="G9" i="20" s="1"/>
  <c r="G1" i="15"/>
  <c r="A86" i="15"/>
  <c r="B17" i="20" s="1"/>
  <c r="C85" i="15"/>
  <c r="A85" i="15"/>
  <c r="B16" i="20" s="1"/>
  <c r="A83" i="15"/>
  <c r="B14" i="20" s="1"/>
  <c r="A80" i="15"/>
  <c r="E25" i="15"/>
  <c r="D25" i="15"/>
  <c r="C25" i="15"/>
  <c r="B25" i="15"/>
  <c r="A24" i="15"/>
  <c r="D15" i="15"/>
  <c r="E42" i="20" s="1"/>
  <c r="A15" i="15"/>
  <c r="B41" i="20" s="1"/>
</calcChain>
</file>

<file path=xl/sharedStrings.xml><?xml version="1.0" encoding="utf-8"?>
<sst xmlns="http://schemas.openxmlformats.org/spreadsheetml/2006/main" count="40904" uniqueCount="744">
  <si>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</si>
  <si>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</si>
  <si>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</si>
  <si>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</si>
  <si>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</si>
  <si>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</si>
  <si>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</si>
  <si>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</si>
  <si>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</si>
  <si>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</si>
  <si>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</si>
  <si>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</si>
  <si>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</si>
  <si>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</si>
  <si>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</si>
  <si>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</si>
  <si>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</si>
  <si>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</si>
  <si>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</si>
  <si>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</si>
  <si>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</si>
  <si>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</si>
  <si>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</si>
  <si>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</si>
  <si>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</si>
  <si>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</si>
  <si>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</si>
  <si>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</si>
  <si>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</si>
  <si>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</si>
  <si>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</si>
  <si>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</si>
  <si>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</si>
  <si>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</si>
  <si>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</si>
  <si>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</si>
  <si>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</si>
  <si>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</si>
  <si>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</si>
  <si>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</si>
  <si>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</si>
  <si>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</si>
  <si>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</si>
  <si>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</si>
  <si>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</si>
  <si>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</si>
  <si>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</si>
  <si>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</si>
  <si>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</si>
  <si>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</si>
  <si>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</si>
  <si>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</si>
  <si>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</si>
  <si>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</si>
  <si>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</si>
  <si>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</si>
  <si>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</si>
  <si>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</si>
  <si>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</si>
  <si>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</si>
  <si>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</si>
  <si>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</si>
  <si>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</si>
  <si>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</si>
  <si>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</si>
  <si>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</si>
  <si>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</si>
  <si>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</si>
  <si>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</si>
  <si>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</si>
  <si>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</si>
  <si>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</si>
  <si>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</si>
  <si>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</si>
  <si>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</si>
  <si>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</si>
  <si>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</si>
  <si>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</si>
  <si>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</si>
  <si>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</si>
  <si>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</si>
  <si>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</si>
  <si>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</si>
  <si>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</si>
  <si>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</si>
  <si>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</si>
  <si>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</si>
  <si>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</si>
  <si>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</si>
  <si>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</si>
  <si>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</si>
  <si>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</si>
  <si>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</si>
  <si>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</si>
  <si>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</si>
  <si>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</si>
  <si>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</si>
  <si>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</si>
  <si>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</si>
  <si>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</si>
  <si>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</si>
  <si>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</si>
  <si>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</si>
  <si>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</si>
  <si>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</si>
  <si>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</si>
  <si>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</si>
  <si>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</si>
  <si>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</si>
  <si>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</si>
  <si>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</si>
  <si>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</si>
  <si>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</si>
  <si>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</si>
  <si>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</si>
  <si>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</si>
  <si>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</si>
  <si>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</si>
  <si>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</si>
  <si>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</si>
  <si>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</si>
  <si>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</si>
  <si>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</si>
  <si>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</si>
  <si>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</si>
  <si>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</si>
  <si>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</si>
  <si>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</si>
  <si>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</si>
  <si>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</si>
  <si>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</si>
  <si>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</si>
  <si>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</si>
  <si>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</si>
  <si>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</si>
  <si>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</si>
  <si>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</si>
  <si>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</si>
  <si>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</si>
  <si>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</si>
  <si>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</si>
  <si>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</si>
  <si>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</si>
  <si>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</si>
  <si>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</si>
  <si>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</si>
  <si>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</si>
  <si>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</si>
  <si>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</si>
  <si>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</si>
  <si>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</si>
  <si>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</si>
  <si>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</si>
  <si>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</si>
  <si>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</si>
  <si>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</si>
  <si>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</si>
  <si>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</si>
  <si>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</si>
  <si>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</si>
  <si>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</si>
  <si>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</si>
  <si>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</si>
  <si>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</si>
  <si>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</si>
  <si>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</si>
  <si>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</si>
  <si>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</si>
  <si>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</si>
  <si>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</si>
  <si>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</si>
  <si>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</si>
  <si>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</si>
  <si>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</si>
  <si>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</si>
  <si>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</si>
  <si>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</si>
  <si>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</si>
  <si>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</si>
  <si>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</si>
  <si>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</si>
  <si>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</si>
  <si>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</si>
  <si>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</si>
  <si>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</si>
  <si>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</si>
  <si>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</si>
  <si>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</si>
  <si>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</si>
  <si>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</si>
  <si>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</si>
  <si>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</si>
  <si>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</si>
  <si>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</si>
  <si>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</si>
  <si>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</si>
  <si>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</si>
  <si>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</si>
  <si>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</si>
  <si>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</si>
  <si>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</si>
  <si>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</si>
  <si>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</si>
  <si>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</si>
  <si>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</si>
  <si>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</si>
  <si>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</si>
  <si>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</si>
  <si>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</si>
  <si>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</si>
  <si>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</si>
  <si>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</si>
  <si>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</si>
  <si>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</si>
  <si>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</si>
  <si>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</si>
  <si>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</si>
  <si>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</si>
  <si>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</si>
  <si>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</si>
  <si>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</si>
  <si>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</si>
  <si>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</si>
  <si>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</si>
  <si>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</si>
  <si>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</si>
  <si>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</si>
  <si>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</si>
  <si>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</si>
  <si>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</si>
  <si>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</si>
  <si>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</si>
  <si>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</si>
  <si>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</si>
  <si>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</si>
  <si>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</si>
  <si>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</si>
  <si>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</si>
  <si>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</si>
  <si>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</si>
  <si>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</si>
  <si>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</si>
  <si>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</si>
  <si>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</si>
  <si>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</si>
  <si>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</si>
  <si>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</si>
  <si>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</si>
  <si>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</si>
  <si>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</si>
  <si>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</si>
  <si>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</si>
  <si>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</si>
  <si>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</si>
  <si>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</si>
  <si>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</si>
  <si>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</si>
  <si>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</si>
  <si>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</si>
  <si>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</si>
  <si>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</si>
  <si>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</si>
  <si>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</si>
  <si>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</si>
  <si>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</si>
  <si>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</si>
  <si>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</si>
  <si>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</si>
  <si>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</si>
  <si>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</si>
  <si>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</si>
  <si>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</si>
  <si>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</si>
  <si>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</si>
  <si>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</si>
  <si>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</si>
  <si>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</si>
  <si>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</si>
  <si>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</si>
  <si>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</si>
  <si>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</si>
  <si>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</si>
  <si>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</si>
  <si>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</si>
  <si>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</si>
  <si>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</si>
  <si>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</si>
  <si>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</si>
  <si>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</si>
  <si>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</si>
  <si>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</si>
  <si>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</si>
  <si>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</si>
  <si>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</si>
  <si>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</si>
  <si>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</si>
  <si>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</si>
  <si>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</si>
  <si>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</si>
  <si>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</si>
  <si>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</si>
  <si>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</si>
  <si>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</si>
  <si>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</si>
  <si>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</si>
  <si>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</si>
  <si>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</si>
  <si>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</si>
  <si>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</si>
  <si>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</si>
  <si>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</si>
  <si>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</si>
  <si>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</si>
  <si>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</si>
  <si>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</si>
  <si>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</si>
  <si>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</si>
  <si>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</si>
  <si>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</si>
  <si>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</si>
  <si>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</si>
  <si>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</si>
  <si>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</si>
  <si>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</si>
  <si>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</si>
  <si>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</si>
  <si>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</si>
  <si>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</si>
  <si>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</si>
  <si>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</si>
  <si>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</si>
  <si>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</si>
  <si>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</si>
  <si>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</si>
  <si>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</si>
  <si>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</si>
  <si>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</si>
  <si>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</si>
  <si>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</si>
  <si>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</si>
  <si>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</si>
  <si>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</si>
  <si>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</si>
  <si>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</si>
  <si>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</si>
  <si>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</si>
  <si>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</si>
  <si>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</si>
  <si>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</si>
  <si>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</si>
  <si>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</si>
  <si>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</si>
  <si>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</si>
  <si>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</si>
  <si>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</si>
  <si>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</si>
  <si>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</si>
  <si>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</si>
  <si>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</si>
  <si>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</si>
  <si>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</si>
  <si>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</si>
  <si>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</si>
  <si>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</si>
  <si>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</si>
  <si>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</si>
  <si>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</si>
  <si>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</si>
  <si>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</si>
  <si>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</si>
  <si>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</si>
  <si>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</si>
  <si>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</si>
  <si>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</si>
  <si>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</si>
  <si>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</si>
  <si>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</si>
  <si>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</si>
  <si>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</si>
  <si>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</si>
  <si>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</si>
  <si>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</si>
  <si>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</si>
  <si>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</si>
  <si>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</si>
  <si>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</si>
  <si>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</si>
  <si>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</si>
  <si>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</si>
  <si>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</si>
  <si>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</si>
  <si>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</si>
  <si>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</si>
  <si>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</si>
  <si>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</si>
  <si>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</si>
  <si>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</si>
  <si>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</si>
  <si>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</si>
  <si>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</si>
  <si>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</si>
  <si>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</si>
  <si>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</si>
  <si>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</si>
  <si>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</si>
  <si>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</si>
  <si>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</si>
  <si>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</si>
  <si>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</si>
  <si>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</si>
  <si>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</si>
  <si>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</si>
  <si>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</si>
  <si>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</si>
  <si>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</si>
  <si>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</si>
  <si>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</si>
  <si>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</si>
  <si>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</si>
  <si>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</si>
  <si>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</si>
  <si>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</si>
  <si>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</si>
  <si>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</si>
  <si>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</si>
  <si>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</si>
  <si>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</si>
  <si>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</si>
  <si>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</si>
  <si>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</si>
  <si>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</si>
  <si>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</si>
  <si>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</si>
  <si>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</si>
  <si>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</si>
  <si>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</si>
  <si>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</si>
  <si>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</si>
  <si>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</si>
  <si>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</si>
  <si>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</si>
  <si>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</si>
  <si>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</si>
  <si>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</si>
  <si>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</si>
  <si>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</si>
  <si>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</si>
  <si>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</si>
  <si>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</si>
  <si>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</si>
  <si>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</si>
  <si>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</si>
  <si>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</si>
  <si>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</si>
  <si>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</si>
  <si>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</si>
  <si>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</si>
  <si>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</si>
  <si>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</si>
  <si>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</si>
  <si>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</si>
  <si>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</si>
  <si>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</si>
  <si>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</si>
  <si>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</si>
  <si>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</si>
  <si>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</si>
  <si>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</si>
  <si>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</si>
  <si>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</si>
  <si>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</si>
  <si>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</si>
  <si>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</si>
  <si>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</si>
  <si>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</si>
  <si>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</si>
  <si>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</si>
  <si>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</si>
  <si>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</si>
  <si>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</si>
  <si>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</si>
  <si>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</si>
  <si>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</si>
  <si>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</si>
  <si>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</si>
  <si>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</si>
  <si>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</si>
  <si>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</si>
  <si>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</si>
  <si>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</si>
  <si>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</si>
  <si>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</si>
  <si>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</si>
  <si>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</si>
  <si>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</si>
  <si>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</si>
  <si>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</si>
  <si>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</si>
  <si>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</si>
  <si>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</si>
  <si>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</si>
  <si>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</si>
  <si>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</si>
  <si>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</si>
  <si>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</si>
  <si>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</si>
  <si>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</si>
  <si>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</si>
  <si>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</si>
  <si>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</si>
  <si>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</si>
  <si>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</si>
  <si>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</si>
  <si>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</si>
  <si>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</si>
  <si>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</si>
  <si>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</si>
  <si>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</si>
  <si>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</si>
  <si>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</si>
  <si>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</si>
  <si>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</si>
  <si>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</si>
  <si>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</si>
  <si>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</si>
  <si>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</si>
  <si>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</si>
  <si>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</si>
  <si>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</si>
  <si>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</si>
  <si>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</si>
  <si>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</si>
  <si>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</si>
  <si>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</si>
  <si>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</si>
  <si>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</si>
  <si>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</si>
  <si>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</si>
  <si>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</si>
  <si>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</si>
  <si>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</si>
  <si>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</si>
  <si>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</si>
  <si>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</si>
  <si>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</si>
  <si>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</si>
  <si>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</si>
  <si>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</si>
  <si>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</si>
  <si>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</si>
  <si>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</si>
  <si>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</si>
  <si>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</si>
  <si>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</si>
  <si>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</si>
  <si>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</si>
  <si>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</si>
  <si>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</si>
  <si>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</si>
  <si>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</si>
  <si>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</si>
  <si>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</si>
  <si>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</si>
  <si>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</si>
  <si>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</si>
  <si>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</si>
  <si>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</si>
  <si>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</si>
  <si>
    <t>SEM EFEITO FINANCEIRO — apoio informativo (não compõe VTA, retroativo nem total)</t>
  </si>
  <si>
    <t>Ciclo computado nesta apuração? (1/0)</t>
  </si>
  <si>
    <t>Início do ciclo (parametros!C)</t>
  </si>
  <si>
    <t>Início dos efeitos financeiros (parametros!H)</t>
  </si>
  <si>
    <t>Limite: 1º dia do mês do início dos efeitos</t>
  </si>
  <si>
    <t>Há período anterior aos efeitos? (1/0; vazio = indeterminado)</t>
  </si>
  <si>
    <t>Qtd. de PCs / competências com execução sem efeito</t>
  </si>
  <si>
    <t>PCs com fator numérico (qtd) / fator do ciclo (financeiro!D)</t>
  </si>
  <si>
    <t>Valor original da execução sem efeito</t>
  </si>
  <si>
    <t>Valor que teriam com o reajuste</t>
  </si>
  <si>
    <t>Diferença sem efeito financeiro (informativa)</t>
  </si>
  <si>
    <t>Consumo informado no ciclo (qtd; método Itens)</t>
  </si>
  <si>
    <t>Estado: A valores | B sem execução | C não mensurável | D sem período</t>
  </si>
  <si>
    <t>Primeira competência sem efeito (Financeiro)</t>
  </si>
  <si>
    <t>Última competência sem efeito (Financeiro)</t>
  </si>
  <si>
    <t>Período sem efeito (texto)</t>
  </si>
  <si>
    <t>Início dos efeitos (texto)</t>
  </si>
  <si>
    <t>Linha 1 do quadro (texto)</t>
  </si>
  <si>
    <t>Linha 2 do quadro (texto)</t>
  </si>
  <si>
    <t>Quadro visível? (1/0)</t>
  </si>
  <si>
    <t>Cabeçalho de valores visível? (1/0)</t>
  </si>
  <si>
    <t>Há ciclo não mensurável? (1/0)</t>
  </si>
  <si>
    <t>Somente ciclos sem período anterior? (1/0)</t>
  </si>
  <si>
    <t>TEXTOS DO QUADRO (constantes; as fórmulas acima são ASCII)</t>
  </si>
  <si>
    <t>T_TITULO</t>
  </si>
  <si>
    <t>EXECUÇÃO SEM EFEITO FINANCEIRO</t>
  </si>
  <si>
    <t>T_HDR_ORIGINAL</t>
  </si>
  <si>
    <t>Valor original</t>
  </si>
  <si>
    <t>T_HDR_PAGO</t>
  </si>
  <si>
    <t>Valor pago</t>
  </si>
  <si>
    <t>T_HDR_TERIAM</t>
  </si>
  <si>
    <t>T_HDR_DIFERENCA</t>
  </si>
  <si>
    <t>Diferença sem efeito financeiro</t>
  </si>
  <si>
    <t>T_NOTA</t>
  </si>
  <si>
    <t>A diferença é apenas informativa. Não constitui retroativo reconhecido ou potencial e não representa valor a pagar.</t>
  </si>
  <si>
    <t>T_CASO_C</t>
  </si>
  <si>
    <t>Execução sem efeito financeiro identificada, mas o impacto monetário não pode ser mensurado com segurança com os dados disponíveis.</t>
  </si>
  <si>
    <t>T_CASO_D</t>
  </si>
  <si>
    <t>Não foi identificada execução anterior ao início dos efeitos financeiros.</t>
  </si>
  <si>
    <t>T_EFEITOS_A_PARTIR</t>
  </si>
  <si>
    <t xml:space="preserve"> — efeitos a partir de </t>
  </si>
  <si>
    <t>T_EFEITOS_DESDE</t>
  </si>
  <si>
    <t xml:space="preserve"> — efeitos desde o início do ciclo</t>
  </si>
  <si>
    <t>T_PCS</t>
  </si>
  <si>
    <t xml:space="preserve"> PC(s) · </t>
  </si>
  <si>
    <t>T_COMPETENCIAS</t>
  </si>
  <si>
    <t xml:space="preserve"> competência(s) · </t>
  </si>
  <si>
    <t>T_SEM_EXECUCAO</t>
  </si>
  <si>
    <t xml:space="preserve">Sem execução · </t>
  </si>
  <si>
    <t>T_PERIODO_SEM_EFEITO</t>
  </si>
  <si>
    <t xml:space="preserve">Sem efeito: </t>
  </si>
  <si>
    <t>T_NAO_MENSURAVEL</t>
  </si>
  <si>
    <t>Não mensurável</t>
  </si>
  <si>
    <t>RESULTADOS — DETALHE TÉCNICO DA APURAÇÃO</t>
  </si>
  <si>
    <t>Memória auditável, conferências e AJUSTES MANUAIS. A síntese executiva está na aba RESULTADOS.</t>
  </si>
  <si>
    <t>RESULTADOS EXECUTIVA — textos constantes (as fórmulas da aba são ASCII)</t>
  </si>
  <si>
    <t>TRACO</t>
  </si>
  <si>
    <t>—</t>
  </si>
  <si>
    <t>MET_FIN</t>
  </si>
  <si>
    <t>Financeiro (Mensalidade)</t>
  </si>
  <si>
    <t>MET_PC</t>
  </si>
  <si>
    <t>Pedidos de Compra</t>
  </si>
  <si>
    <t>MET_ITENS</t>
  </si>
  <si>
    <t>Itens Consumidos</t>
  </si>
  <si>
    <t>MET_NAO</t>
  </si>
  <si>
    <t>Método não selecionado</t>
  </si>
  <si>
    <t>VTA_SUB</t>
  </si>
  <si>
    <t>Valor Total Atualizado do contrato pelo método selecionado.</t>
  </si>
  <si>
    <t>VTA_SUB_POT</t>
  </si>
  <si>
    <t>Inclui a parcela de retroativo POTENCIAL (card âmbar).</t>
  </si>
  <si>
    <t>RETRO_SUB</t>
  </si>
  <si>
    <t>Diferença reconhecida a pagar à contratada.</t>
  </si>
  <si>
    <t>POT_SUB</t>
  </si>
  <si>
    <t>Incorporado ao VTA por prudência. Sujeito à confirmação da área gestora; não é valor a pagar.</t>
  </si>
  <si>
    <t>POT_NA</t>
  </si>
  <si>
    <t>Não se aplica ao método selecionado.</t>
  </si>
  <si>
    <t>SALDO_SUB</t>
  </si>
  <si>
    <t>IND_SUB</t>
  </si>
  <si>
    <t>Variação histórica integral até o ciclo vigente.</t>
  </si>
  <si>
    <t>IND_SUB_NA</t>
  </si>
  <si>
    <t>Aguardando percentuais completos dos ciclos.</t>
  </si>
  <si>
    <t>COMPUTADO</t>
  </si>
  <si>
    <t>Computado nesta apuração</t>
  </si>
  <si>
    <t>Não computado nesta apuração</t>
  </si>
  <si>
    <t>SEM_AJUSTES</t>
  </si>
  <si>
    <t>SEM AJUSTES</t>
  </si>
  <si>
    <t>SEM_QUADRO3</t>
  </si>
  <si>
    <t>Não há ciclo reajustado computado nesta apuração.</t>
  </si>
  <si>
    <t>HDR_PERIODO_SEM</t>
  </si>
  <si>
    <t>Período sem efeito e início dos efeitos</t>
  </si>
  <si>
    <t>DET_TITULO</t>
  </si>
  <si>
    <t>DETALHES DO MÉTODO — PEDIDOS DE COMPRA</t>
  </si>
  <si>
    <t>DET_MEDIDA</t>
  </si>
  <si>
    <t>DET_VALOR</t>
  </si>
  <si>
    <t>DET_REPRESENTA</t>
  </si>
  <si>
    <t>O que este valor representa</t>
  </si>
  <si>
    <t>ORIG_EXEC_PC</t>
  </si>
  <si>
    <t>Execução reconhecida em PCs, já atualizada: contém o retroativo reconhecido incorporado.</t>
  </si>
  <si>
    <t>ORIG_EXEC_FIN</t>
  </si>
  <si>
    <t>Valores efetivamente pagos, conforme a aba financeiro.</t>
  </si>
  <si>
    <t>ORIG_EXEC_ITENS</t>
  </si>
  <si>
    <t>Consumo informado, atualizado pelo fator de cada ciclo.</t>
  </si>
  <si>
    <t>ORIG_POT_PC</t>
  </si>
  <si>
    <t>Parcela POTENCIAL dos PCs em análise, incorporada por prudência. Não é retroativo reconhecido nem valor a pagar.</t>
  </si>
  <si>
    <t>ORIG_AJ_FIN</t>
  </si>
  <si>
    <t>Reajuste já reconhecido e ainda não contido no valor pago.</t>
  </si>
  <si>
    <t>ORIG_AJ_ITENS</t>
  </si>
  <si>
    <t>Não aplicável: o reajuste já está dentro da execução atualizada.</t>
  </si>
  <si>
    <t>ORIG_REM_PC</t>
  </si>
  <si>
    <t>Saldo remanescente final atualizado usado no VTA (os saldos históricos não se somam).</t>
  </si>
  <si>
    <t>ORIG_REM</t>
  </si>
  <si>
    <t>Saldo que ainda falta executar, já atualizado.</t>
  </si>
  <si>
    <t>ORIG_VTA</t>
  </si>
  <si>
    <t>Resultado final do método de apuração selecionado.</t>
  </si>
  <si>
    <t>LBL_VTA_SEM_POT</t>
  </si>
  <si>
    <t>VTA sem a parcela potencial (referência)</t>
  </si>
  <si>
    <t>ORIG_VTA_SEM_POT</t>
  </si>
  <si>
    <t>Referência: VTA antes de incorporar a parcela potencial. Não substitui o VTA oficial.</t>
  </si>
  <si>
    <t>LBL_POT_NEG</t>
  </si>
  <si>
    <t>Parcela potencial negativa apurada</t>
  </si>
  <si>
    <t>ORIG_POT_NEG</t>
  </si>
  <si>
    <t>Permanece visível por prudência: não reduz o VTA e não compensa a parcela positiva.</t>
  </si>
  <si>
    <t>ORIG_POT_NEG_ZERO</t>
  </si>
  <si>
    <t>Não há parcela potencial negativa apurada.</t>
  </si>
  <si>
    <t>LBL_CONFERENCIA</t>
  </si>
  <si>
    <t>Conferência da formação (deve ser R$ 0,00)</t>
  </si>
  <si>
    <t>ORIG_AGUARDANDO</t>
  </si>
  <si>
    <t>Aguardando base para conferir.</t>
  </si>
  <si>
    <t>ORIG_NA</t>
  </si>
  <si>
    <t>RESULTADO DA APURAÇÃO</t>
  </si>
  <si>
    <t>MÉTODO</t>
  </si>
  <si>
    <t>CICLO VIGENTE</t>
  </si>
  <si>
    <t>DATA DE CORTE</t>
  </si>
  <si>
    <t>ÍNDICE</t>
  </si>
  <si>
    <t>ÍNDICE ACUMULADO</t>
  </si>
  <si>
    <t>STATUS DA APURAÇÃO</t>
  </si>
  <si>
    <t>VTA OFICIAL</t>
  </si>
  <si>
    <t>SALDO REMANESCENTE</t>
  </si>
  <si>
    <t>SITUAÇÃO DA APURAÇÃO</t>
  </si>
  <si>
    <t>COMPOSIÇÃO DO VTA</t>
  </si>
  <si>
    <t>VERIFICAÇÕES</t>
  </si>
  <si>
    <t>Verificação</t>
  </si>
  <si>
    <t>O que é verificado</t>
  </si>
  <si>
    <t>Composição do VTA</t>
  </si>
  <si>
    <t>VTA oficial calculado e reconhecido pelo método selecionado.</t>
  </si>
  <si>
    <t>Retroativo por ciclo</t>
  </si>
  <si>
    <t>Retroativo apurado em todos os ciclos computados nesta apuração.</t>
  </si>
  <si>
    <t>Remanescente por ciclo</t>
  </si>
  <si>
    <t>Remanescente conferido entre as bases disponíveis.</t>
  </si>
  <si>
    <t>Execução e saldo do ciclo vigente na data de referência.</t>
  </si>
  <si>
    <t>Data de referência do ciclo em execução</t>
  </si>
  <si>
    <t>Data da posição usada para medir a execução e o saldo do ciclo atual.</t>
  </si>
  <si>
    <t>Situação atual × referência anterior</t>
  </si>
  <si>
    <t>Reconciliação entre a posição atual e a última abertura de ciclo (não é VTA).</t>
  </si>
  <si>
    <t>Diferença entre posição atual e última abertura</t>
  </si>
  <si>
    <t>R$ 0,00 indica que as duas decomposições chegaram ao mesmo valor.</t>
  </si>
  <si>
    <t>Ajustes manuais da apuração</t>
  </si>
  <si>
    <t>1. EVOLUÇÃO POR CICLO</t>
  </si>
  <si>
    <t>Início do ciclo</t>
  </si>
  <si>
    <t>Fim do ciclo</t>
  </si>
  <si>
    <t>Variação do ciclo</t>
  </si>
  <si>
    <t>Início do efeito financeiro</t>
  </si>
  <si>
    <t>3. EXECUÇÃO SEM EFEITO FINANCEIRO</t>
  </si>
  <si>
    <t>Esta aba apenas apresenta valores. Todos os números são espelhos das fontes canônicas (RESULTADOS_DETALHE, MEMORIA_RESULTADOS, parametros e CONTROLE); nenhum valor é recalculado aqui. A execução sem efeito financeiro é exclusivamente informativa: não é retroativo, não é valor a pagar e não integra o VTA.</t>
  </si>
  <si>
    <t>SUMPRODUCT(posicao_contratual!B x C) x RESULTADOS_DETALHE!H5 (fator historico integral)</t>
  </si>
  <si>
    <t>HIST_INC_1</t>
  </si>
  <si>
    <t xml:space="preserve">HISTÓRICO INCOMPLETO — informe o percentual de </t>
  </si>
  <si>
    <t>HIST_INC_N</t>
  </si>
  <si>
    <t xml:space="preserve">HISTÓRICO INCOMPLETO — informe os percentuais de </t>
  </si>
  <si>
    <t>Este quadro mostra apenas os ciclos computados nesta apuração.</t>
  </si>
  <si>
    <t>Entradas manuais: somente as colunas amarelas AJUSTE_TIPO (Z) e AJUSTE_VALOR_INFORMADO (AA); as demais colunas são automáticas. Preencha somente quando o valor pago considerado na execucao do ciclo diferir do valor calculado pelos itens consumidos.</t>
  </si>
  <si>
    <t>AJUSTE OPCIONAL — preencher somente quando necessário (valor pago / glosa)</t>
  </si>
  <si>
    <t>Na aba técnica RESULTADOS_DETALHE (bloco 5), oculta por padrão: use Reexibir no Excel para acessá-la.</t>
  </si>
  <si>
    <t>Síntese executiva da apuração do reajuste. A memória técnica, as conferências e os ajustes manuais estão na aba RESULTADOS_DETALHE (oculta por padrão; use Reexibir no Excel).</t>
  </si>
  <si>
    <t>ÚLTIMO REAJUSTE JÁ INCORPORADO AO VU</t>
  </si>
  <si>
    <t>INDICE_BASE_ECONOMICA_VU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</si>
</sst>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&quot;R$&quot;\ #,##0.00;\-&quot;R$&quot;\ #,##0.00;&quot;R$&quot;\ 0.00;@"/>
    <numFmt numFmtId="186" formatCode="0.00%;\-0.00%;0.00%;@"/>
  </numFmts>
  <fonts count="107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  <font>
      <sz val="9.5"/>
      <color rgb="FFD9E1F2"/>
      <name val="Calibri"/>
      <family val="2"/>
    </font>
    <font>
      <b/>
      <sz val="8.5"/>
      <color rgb="FF595959"/>
      <name val="Calibri"/>
      <family val="2"/>
    </font>
    <font>
      <b/>
      <sz val="9"/>
      <color rgb="FF9B2C3F"/>
      <name val="Calibri"/>
      <family val="2"/>
    </font>
    <font>
      <b/>
      <sz val="15"/>
      <color rgb="FF9B2C3F"/>
      <name val="Calibri"/>
      <family val="2"/>
    </font>
    <font>
      <sz val="9"/>
      <color rgb="FF9B2C3F"/>
      <name val="Calibri"/>
      <family val="2"/>
    </font>
    <font>
      <b/>
      <sz val="15"/>
      <color rgb="FF7F6000"/>
      <name val="Calibri"/>
      <family val="2"/>
    </font>
    <font>
      <b/>
      <sz val="9"/>
      <color rgb="FF375623"/>
      <name val="Calibri"/>
      <family val="2"/>
    </font>
    <font>
      <b/>
      <sz val="15"/>
      <color rgb="FF375623"/>
      <name val="Calibri"/>
      <family val="2"/>
    </font>
    <font>
      <sz val="9"/>
      <color rgb="FF375623"/>
      <name val="Calibri"/>
      <family val="2"/>
    </font>
    <font>
      <b/>
      <sz val="9"/>
      <color rgb="FF404040"/>
      <name val="Calibri"/>
      <family val="2"/>
    </font>
    <font>
      <b/>
      <sz val="15"/>
      <color rgb="FF404040"/>
      <name val="Calibri"/>
      <family val="2"/>
    </font>
    <font>
      <sz val="9"/>
      <color rgb="FF404040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11"/>
      <color rgb="FF262626"/>
      <name val="Calibri"/>
      <family val="2"/>
    </font>
    <font>
      <b/>
      <sz val="9.5"/>
      <color rgb="FF1F3864"/>
      <name val="Calibri"/>
      <family val="2"/>
    </font>
    <font>
      <sz val="10"/>
      <color rgb="FF262626"/>
      <name val="Calibri"/>
      <family val="2"/>
    </font>
    <font>
      <b/>
      <sz val="10"/>
      <color rgb="FF262626"/>
      <name val="Calibri"/>
      <family val="2"/>
    </font>
    <font>
      <i/>
      <sz val="8.5"/>
      <color rgb="FF595959"/>
      <name val="Calibri"/>
      <family val="2"/>
    </font>
    <font>
      <b/>
      <sz val="10"/>
      <color rgb="FF9C0006"/>
      <name val="Calibri"/>
      <family val="2"/>
    </font>
    <font>
      <b/>
      <sz val="10"/>
      <color rgb="FF3F3151"/>
      <name val="Calibri"/>
      <family val="2"/>
    </font>
    <font>
      <sz val="10"/>
      <color rgb="FF000000"/>
      <name val="Calibri"/>
      <family val="2"/>
    </font>
    <font>
      <b/>
      <sz val="11"/>
      <color rgb="FF3F3151"/>
      <name val="Calibri"/>
      <family val="2"/>
    </font>
    <font>
      <sz val="10"/>
      <color rgb="FF404040"/>
      <name val="Calibri"/>
      <family val="2"/>
    </font>
  </fonts>
  <fills count="73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BE5E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7F5FA"/>
        <bgColor indexed="64"/>
      </patternFill>
    </fill>
  </fills>
  <borders count="9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1F4E7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B0C4D8"/>
      </top>
      <bottom/>
      <diagonal/>
    </border>
    <border>
      <left/>
      <right/>
      <top/>
      <bottom style="thin">
        <color rgb="FFB0C4D8"/>
      </bottom>
      <diagonal/>
    </border>
    <border>
      <left/>
      <right/>
      <top/>
      <bottom style="thin">
        <color rgb="FFBFBFBF"/>
      </bottom>
      <diagonal/>
    </border>
    <border>
      <left/>
      <right/>
      <top style="thick">
        <color rgb="FF2E75B6"/>
      </top>
      <bottom/>
      <diagonal/>
    </border>
    <border>
      <left/>
      <right/>
      <top style="thick">
        <color rgb="FFE6A1AD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ck">
        <color rgb="FF70AD47"/>
      </top>
      <bottom/>
      <diagonal/>
    </border>
    <border>
      <left/>
      <right/>
      <top style="thick">
        <color rgb="FFA6A6A6"/>
      </top>
      <bottom/>
      <diagonal/>
    </border>
    <border>
      <left/>
      <right/>
      <top style="thick">
        <color rgb="FFBFBFBF"/>
      </top>
      <bottom/>
      <diagonal/>
    </border>
    <border>
      <left/>
      <right/>
      <top/>
      <bottom style="thin">
        <color rgb="FF9DB3D3"/>
      </bottom>
      <diagonal/>
    </border>
    <border>
      <left/>
      <right/>
      <top style="thin">
        <color rgb="FF9DB3D3"/>
      </top>
      <bottom style="thin">
        <color rgb="FFD9D9D9"/>
      </bottom>
      <diagonal/>
    </border>
    <border>
      <left/>
      <right/>
      <top style="thin">
        <color rgb="FF9DB3D3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medium">
        <color rgb="FF2E75B6"/>
      </top>
      <bottom style="thin">
        <color rgb="FFD9D9D9"/>
      </bottom>
      <diagonal/>
    </border>
    <border>
      <left/>
      <right/>
      <top style="medium">
        <color rgb="FF1F4E78"/>
      </top>
      <bottom style="thin">
        <color rgb="FFD9D9D9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D9D9D9"/>
      </left>
      <right/>
      <top style="thin">
        <color rgb="FFBFBFBF"/>
      </top>
      <bottom style="thin">
        <color rgb="FFD9D9D9"/>
      </bottom>
      <diagonal/>
    </border>
    <border>
      <left style="thin">
        <color rgb="FFD9D9D9"/>
      </left>
      <right style="thin">
        <color rgb="FFBFBFBF"/>
      </right>
      <top style="thin">
        <color rgb="FFD9D9D9"/>
      </top>
      <bottom/>
      <diagonal/>
    </border>
  </borders>
  <cellStyleXfs count="1">
    <xf numFmtId="0" fontId="0" fillId="0" borderId="38"/>
  </cellStyleXfs>
  <cellXfs count="611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33" fillId="0" borderId="0" xfId="0" applyFont="1" applyBorder="1"/>
    <xf numFmtId="184" fontId="0" fillId="0" borderId="0" xfId="0" applyNumberFormat="1" applyBorder="1"/>
    <xf numFmtId="49" fontId="0" fillId="0" borderId="0" xfId="0" applyNumberFormat="1" applyBorder="1"/>
    <xf numFmtId="185" fontId="22" fillId="51" borderId="39" xfId="0" applyNumberFormat="1" applyFont="1" applyFill="1" applyBorder="1" applyAlignment="1">
      <alignment horizontal="right" vertical="center"/>
    </xf>
    <xf numFmtId="0" fontId="36" fillId="49" borderId="79" xfId="0" applyFont="1" applyFill="1" applyBorder="1" applyAlignment="1">
      <alignment horizontal="left" vertical="center" wrapText="1" indent="1"/>
    </xf>
    <xf numFmtId="178" fontId="40" fillId="51" borderId="50" xfId="0" applyNumberFormat="1" applyFont="1" applyFill="1" applyBorder="1" applyAlignment="1">
      <alignment horizontal="right" vertical="center"/>
    </xf>
    <xf numFmtId="185" fontId="22" fillId="51" borderId="36" xfId="0" applyNumberFormat="1" applyFont="1" applyFill="1" applyBorder="1" applyAlignment="1">
      <alignment horizontal="right" vertical="center"/>
    </xf>
    <xf numFmtId="0" fontId="68" fillId="51" borderId="80" xfId="0" applyFont="1" applyFill="1" applyBorder="1" applyAlignment="1">
      <alignment horizontal="left" vertical="center" wrapText="1" indent="1"/>
    </xf>
    <xf numFmtId="0" fontId="14" fillId="0" borderId="0" xfId="0" applyFont="1" applyBorder="1" applyAlignment="1">
      <alignment vertical="center"/>
    </xf>
    <xf numFmtId="0" fontId="14" fillId="65" borderId="0" xfId="0" applyFont="1" applyFill="1" applyBorder="1" applyAlignment="1">
      <alignment vertical="center"/>
    </xf>
    <xf numFmtId="49" fontId="62" fillId="65" borderId="0" xfId="0" applyNumberFormat="1" applyFont="1" applyFill="1" applyBorder="1" applyAlignment="1">
      <alignment horizontal="left" vertical="center" indent="1"/>
    </xf>
    <xf numFmtId="49" fontId="83" fillId="65" borderId="0" xfId="0" applyNumberFormat="1" applyFont="1" applyFill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left"/>
    </xf>
    <xf numFmtId="0" fontId="81" fillId="0" borderId="83" xfId="0" applyFont="1" applyBorder="1" applyAlignment="1">
      <alignment horizontal="left" vertical="center"/>
    </xf>
    <xf numFmtId="171" fontId="81" fillId="0" borderId="83" xfId="0" applyNumberFormat="1" applyFont="1" applyBorder="1" applyAlignment="1">
      <alignment horizontal="left" vertical="center"/>
    </xf>
    <xf numFmtId="186" fontId="81" fillId="0" borderId="83" xfId="0" applyNumberFormat="1" applyFont="1" applyBorder="1" applyAlignment="1">
      <alignment horizontal="left" vertical="center"/>
    </xf>
    <xf numFmtId="49" fontId="84" fillId="0" borderId="0" xfId="0" applyNumberFormat="1" applyFont="1" applyBorder="1" applyAlignment="1">
      <alignment horizontal="left" indent="1"/>
    </xf>
    <xf numFmtId="0" fontId="81" fillId="0" borderId="83" xfId="0" applyFont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center"/>
    </xf>
    <xf numFmtId="0" fontId="81" fillId="0" borderId="83" xfId="0" applyFont="1" applyBorder="1" applyAlignment="1">
      <alignment horizontal="center" vertical="center"/>
    </xf>
    <xf numFmtId="49" fontId="66" fillId="66" borderId="84" xfId="0" applyNumberFormat="1" applyFont="1" applyFill="1" applyBorder="1" applyAlignment="1">
      <alignment horizontal="left" vertical="center" indent="1"/>
    </xf>
    <xf numFmtId="0" fontId="60" fillId="66" borderId="0" xfId="0" applyFont="1" applyFill="1" applyBorder="1" applyAlignment="1">
      <alignment horizontal="left" vertical="top" wrapText="1" indent="1"/>
    </xf>
    <xf numFmtId="49" fontId="85" fillId="67" borderId="85" xfId="0" applyNumberFormat="1" applyFont="1" applyFill="1" applyBorder="1" applyAlignment="1">
      <alignment horizontal="left" vertical="center" indent="1"/>
    </xf>
    <xf numFmtId="49" fontId="87" fillId="67" borderId="0" xfId="0" applyNumberFormat="1" applyFont="1" applyFill="1" applyBorder="1" applyAlignment="1">
      <alignment horizontal="left" vertical="top" wrapText="1" indent="1"/>
    </xf>
    <xf numFmtId="49" fontId="80" fillId="39" borderId="86" xfId="0" applyNumberFormat="1" applyFont="1" applyFill="1" applyBorder="1" applyAlignment="1">
      <alignment horizontal="left" vertical="center" indent="1"/>
    </xf>
    <xf numFmtId="0" fontId="77" fillId="39" borderId="0" xfId="0" applyFont="1" applyFill="1" applyBorder="1" applyAlignment="1">
      <alignment horizontal="left" vertical="top" wrapText="1" indent="1"/>
    </xf>
    <xf numFmtId="49" fontId="89" fillId="43" borderId="87" xfId="0" applyNumberFormat="1" applyFont="1" applyFill="1" applyBorder="1" applyAlignment="1">
      <alignment horizontal="left" vertical="center" indent="1"/>
    </xf>
    <xf numFmtId="49" fontId="91" fillId="43" borderId="0" xfId="0" applyNumberFormat="1" applyFont="1" applyFill="1" applyBorder="1" applyAlignment="1">
      <alignment horizontal="left" vertical="top" wrapText="1" indent="1"/>
    </xf>
    <xf numFmtId="49" fontId="92" fillId="48" borderId="88" xfId="0" applyNumberFormat="1" applyFont="1" applyFill="1" applyBorder="1" applyAlignment="1">
      <alignment horizontal="left" vertical="center" indent="1"/>
    </xf>
    <xf numFmtId="0" fontId="94" fillId="48" borderId="0" xfId="0" applyFont="1" applyFill="1" applyBorder="1" applyAlignment="1">
      <alignment horizontal="left" vertical="top" wrapText="1" indent="1"/>
    </xf>
    <xf numFmtId="49" fontId="95" fillId="68" borderId="89" xfId="0" applyNumberFormat="1" applyFont="1" applyFill="1" applyBorder="1" applyAlignment="1">
      <alignment horizontal="left" vertical="center" indent="1"/>
    </xf>
    <xf numFmtId="0" fontId="96" fillId="68" borderId="0" xfId="0" applyFont="1" applyFill="1" applyBorder="1" applyAlignment="1">
      <alignment horizontal="left" vertical="top" wrapText="1" indent="1"/>
    </xf>
    <xf numFmtId="185" fontId="57" fillId="66" borderId="0" xfId="0" applyNumberFormat="1" applyFont="1" applyFill="1" applyBorder="1" applyAlignment="1">
      <alignment horizontal="right" vertical="center" indent="1"/>
    </xf>
    <xf numFmtId="185" fontId="86" fillId="67" borderId="0" xfId="0" applyNumberFormat="1" applyFont="1" applyFill="1" applyBorder="1" applyAlignment="1">
      <alignment horizontal="right" vertical="center" indent="1"/>
    </xf>
    <xf numFmtId="185" fontId="88" fillId="39" borderId="0" xfId="0" applyNumberFormat="1" applyFont="1" applyFill="1" applyBorder="1" applyAlignment="1">
      <alignment horizontal="right" vertical="center" indent="1"/>
    </xf>
    <xf numFmtId="185" fontId="90" fillId="43" borderId="0" xfId="0" applyNumberFormat="1" applyFont="1" applyFill="1" applyBorder="1" applyAlignment="1">
      <alignment horizontal="right" vertical="center" indent="1"/>
    </xf>
    <xf numFmtId="186" fontId="93" fillId="48" borderId="0" xfId="0" applyNumberFormat="1" applyFont="1" applyFill="1" applyBorder="1" applyAlignment="1">
      <alignment horizontal="right" vertical="center" indent="1"/>
    </xf>
    <xf numFmtId="0" fontId="97" fillId="68" borderId="0" xfId="0" applyFont="1" applyFill="1" applyBorder="1" applyAlignment="1">
      <alignment horizontal="left" vertical="center" wrapText="1" indent="1"/>
    </xf>
    <xf numFmtId="49" fontId="36" fillId="49" borderId="0" xfId="0" applyNumberFormat="1" applyFont="1" applyFill="1" applyBorder="1" applyAlignment="1">
      <alignment horizontal="left" vertical="center" indent="1"/>
    </xf>
    <xf numFmtId="0" fontId="36" fillId="49" borderId="0" xfId="0" applyFont="1" applyFill="1" applyBorder="1" applyAlignment="1">
      <alignment horizontal="left" vertical="center" indent="1"/>
    </xf>
    <xf numFmtId="0" fontId="99" fillId="0" borderId="92" xfId="0" applyFont="1" applyBorder="1" applyAlignment="1">
      <alignment horizontal="left" vertical="center" wrapText="1" indent="1"/>
    </xf>
    <xf numFmtId="0" fontId="99" fillId="0" borderId="93" xfId="0" applyFont="1" applyBorder="1" applyAlignment="1">
      <alignment horizontal="left" vertical="center" wrapText="1" indent="1"/>
    </xf>
    <xf numFmtId="49" fontId="99" fillId="0" borderId="93" xfId="0" applyNumberFormat="1" applyFont="1" applyBorder="1" applyAlignment="1">
      <alignment horizontal="left" vertical="center" wrapText="1" indent="1"/>
    </xf>
    <xf numFmtId="49" fontId="99" fillId="0" borderId="8" xfId="0" applyNumberFormat="1" applyFont="1" applyBorder="1" applyAlignment="1">
      <alignment horizontal="left" vertical="center" wrapText="1" indent="1"/>
    </xf>
    <xf numFmtId="185" fontId="99" fillId="0" borderId="92" xfId="0" applyNumberFormat="1" applyFont="1" applyBorder="1" applyAlignment="1">
      <alignment horizontal="right" vertical="center"/>
    </xf>
    <xf numFmtId="185" fontId="99" fillId="0" borderId="93" xfId="0" applyNumberFormat="1" applyFont="1" applyBorder="1" applyAlignment="1">
      <alignment horizontal="right" vertical="center"/>
    </xf>
    <xf numFmtId="185" fontId="99" fillId="0" borderId="8" xfId="0" applyNumberFormat="1" applyFont="1" applyBorder="1" applyAlignment="1">
      <alignment horizontal="right" vertical="center"/>
    </xf>
    <xf numFmtId="0" fontId="8" fillId="66" borderId="94" xfId="0" applyFont="1" applyFill="1" applyBorder="1" applyAlignment="1">
      <alignment horizontal="left" vertical="center" wrapText="1" indent="1"/>
    </xf>
    <xf numFmtId="185" fontId="8" fillId="66" borderId="94" xfId="0" applyNumberFormat="1" applyFont="1" applyFill="1" applyBorder="1" applyAlignment="1">
      <alignment horizontal="right" vertical="center"/>
    </xf>
    <xf numFmtId="49" fontId="99" fillId="0" borderId="92" xfId="0" applyNumberFormat="1" applyFont="1" applyBorder="1" applyAlignment="1">
      <alignment horizontal="left" vertical="center" wrapText="1" indent="1"/>
    </xf>
    <xf numFmtId="0" fontId="95" fillId="0" borderId="92" xfId="0" applyFont="1" applyBorder="1" applyAlignment="1">
      <alignment horizontal="center" vertical="center" wrapText="1"/>
    </xf>
    <xf numFmtId="0" fontId="95" fillId="0" borderId="93" xfId="0" applyFont="1" applyBorder="1" applyAlignment="1">
      <alignment horizontal="center" vertical="center" wrapText="1"/>
    </xf>
    <xf numFmtId="0" fontId="95" fillId="0" borderId="8" xfId="0" applyFont="1" applyBorder="1" applyAlignment="1">
      <alignment horizontal="center" vertical="center" wrapText="1"/>
    </xf>
    <xf numFmtId="171" fontId="96" fillId="0" borderId="93" xfId="0" applyNumberFormat="1" applyFont="1" applyBorder="1" applyAlignment="1">
      <alignment horizontal="center" vertical="center" wrapText="1"/>
    </xf>
    <xf numFmtId="185" fontId="96" fillId="0" borderId="93" xfId="0" applyNumberFormat="1" applyFont="1" applyBorder="1" applyAlignment="1">
      <alignment horizontal="center" vertical="center" wrapText="1"/>
    </xf>
    <xf numFmtId="0" fontId="100" fillId="0" borderId="92" xfId="0" applyFont="1" applyBorder="1" applyAlignment="1">
      <alignment horizontal="left" vertical="center" indent="1"/>
    </xf>
    <xf numFmtId="0" fontId="100" fillId="0" borderId="93" xfId="0" applyFont="1" applyBorder="1" applyAlignment="1">
      <alignment horizontal="left" vertical="center" indent="1"/>
    </xf>
    <xf numFmtId="0" fontId="100" fillId="0" borderId="8" xfId="0" applyFont="1" applyBorder="1" applyAlignment="1">
      <alignment horizontal="left" vertical="center" indent="1"/>
    </xf>
    <xf numFmtId="171" fontId="99" fillId="0" borderId="92" xfId="0" applyNumberFormat="1" applyFont="1" applyBorder="1" applyAlignment="1">
      <alignment horizontal="center" vertical="center" wrapText="1"/>
    </xf>
    <xf numFmtId="186" fontId="99" fillId="0" borderId="92" xfId="0" applyNumberFormat="1" applyFont="1" applyBorder="1" applyAlignment="1">
      <alignment horizontal="center" vertical="center" wrapText="1"/>
    </xf>
    <xf numFmtId="171" fontId="99" fillId="0" borderId="93" xfId="0" applyNumberFormat="1" applyFont="1" applyBorder="1" applyAlignment="1">
      <alignment horizontal="center" vertical="center" wrapText="1"/>
    </xf>
    <xf numFmtId="186" fontId="99" fillId="0" borderId="93" xfId="0" applyNumberFormat="1" applyFont="1" applyBorder="1" applyAlignment="1">
      <alignment horizontal="center" vertical="center" wrapText="1"/>
    </xf>
    <xf numFmtId="171" fontId="99" fillId="0" borderId="8" xfId="0" applyNumberFormat="1" applyFont="1" applyBorder="1" applyAlignment="1">
      <alignment horizontal="center" vertical="center" wrapText="1"/>
    </xf>
    <xf numFmtId="186" fontId="99" fillId="0" borderId="8" xfId="0" applyNumberFormat="1" applyFont="1" applyBorder="1" applyAlignment="1">
      <alignment horizontal="center" vertical="center" wrapText="1"/>
    </xf>
    <xf numFmtId="0" fontId="96" fillId="0" borderId="92" xfId="0" applyFont="1" applyBorder="1" applyAlignment="1">
      <alignment horizontal="left" vertical="center" wrapText="1" indent="1"/>
    </xf>
    <xf numFmtId="0" fontId="96" fillId="0" borderId="93" xfId="0" applyFont="1" applyBorder="1" applyAlignment="1">
      <alignment horizontal="left" vertical="center" wrapText="1" indent="1"/>
    </xf>
    <xf numFmtId="0" fontId="96" fillId="0" borderId="8" xfId="0" applyFont="1" applyBorder="1" applyAlignment="1">
      <alignment horizontal="left" vertical="center" wrapText="1" indent="1"/>
    </xf>
    <xf numFmtId="49" fontId="100" fillId="0" borderId="92" xfId="0" applyNumberFormat="1" applyFont="1" applyBorder="1" applyAlignment="1">
      <alignment horizontal="left" vertical="center" indent="1"/>
    </xf>
    <xf numFmtId="49" fontId="100" fillId="0" borderId="93" xfId="0" applyNumberFormat="1" applyFont="1" applyBorder="1" applyAlignment="1">
      <alignment horizontal="left" vertical="center" indent="1"/>
    </xf>
    <xf numFmtId="49" fontId="5" fillId="0" borderId="93" xfId="0" applyNumberFormat="1" applyFont="1" applyBorder="1" applyAlignment="1">
      <alignment horizontal="left" vertical="center" indent="1"/>
    </xf>
    <xf numFmtId="49" fontId="8" fillId="69" borderId="95" xfId="0" applyNumberFormat="1" applyFont="1" applyFill="1" applyBorder="1" applyAlignment="1">
      <alignment horizontal="left" vertical="center" indent="1"/>
    </xf>
    <xf numFmtId="185" fontId="8" fillId="69" borderId="95" xfId="0" applyNumberFormat="1" applyFont="1" applyFill="1" applyBorder="1" applyAlignment="1">
      <alignment horizontal="right" vertical="center"/>
    </xf>
    <xf numFmtId="0" fontId="14" fillId="0" borderId="0" xfId="0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98" fillId="0" borderId="0" xfId="0" applyFont="1" applyBorder="1" applyAlignment="1">
      <alignment horizontal="left" vertical="center" wrapText="1" indent="1"/>
    </xf>
    <xf numFmtId="0" fontId="100" fillId="0" borderId="0" xfId="0" applyFont="1" applyBorder="1" applyAlignment="1">
      <alignment horizontal="left" vertical="center" indent="1"/>
    </xf>
    <xf numFmtId="0" fontId="98" fillId="0" borderId="0" xfId="0" applyFont="1" applyBorder="1" applyAlignment="1">
      <alignment horizontal="right" vertical="center" wrapText="1"/>
    </xf>
    <xf numFmtId="185" fontId="99" fillId="0" borderId="0" xfId="0" applyNumberFormat="1" applyFont="1" applyBorder="1" applyAlignment="1">
      <alignment horizontal="right" vertical="center"/>
    </xf>
    <xf numFmtId="0" fontId="36" fillId="0" borderId="0" xfId="0" applyFont="1" applyBorder="1" applyAlignment="1">
      <alignment horizontal="left" vertical="center" indent="1"/>
    </xf>
    <xf numFmtId="185" fontId="14" fillId="0" borderId="0" xfId="0" applyNumberFormat="1" applyFont="1" applyBorder="1" applyAlignment="1">
      <alignment horizontal="right" vertical="center"/>
    </xf>
    <xf numFmtId="49" fontId="98" fillId="69" borderId="38" xfId="0" applyNumberFormat="1" applyFont="1" applyFill="1" applyAlignment="1">
      <alignment horizontal="left" vertical="center" wrapText="1" indent="1"/>
    </xf>
    <xf numFmtId="49" fontId="98" fillId="69" borderId="38" xfId="0" applyNumberFormat="1" applyFont="1" applyFill="1" applyAlignment="1">
      <alignment horizontal="left" vertical="center" wrapText="1"/>
    </xf>
    <xf numFmtId="49" fontId="5" fillId="0" borderId="38" xfId="0" applyNumberFormat="1" applyFont="1" applyAlignment="1">
      <alignment horizontal="left" vertical="center" wrapText="1" indent="1"/>
    </xf>
    <xf numFmtId="185" fontId="5" fillId="0" borderId="38" xfId="0" applyNumberFormat="1" applyFont="1" applyAlignment="1">
      <alignment horizontal="right" vertical="center"/>
    </xf>
    <xf numFmtId="49" fontId="98" fillId="69" borderId="38" xfId="0" applyNumberFormat="1" applyFont="1" applyFill="1" applyAlignment="1">
      <alignment horizontal="center" vertical="center" wrapText="1"/>
    </xf>
    <xf numFmtId="0" fontId="98" fillId="69" borderId="38" xfId="0" applyFont="1" applyFill="1" applyAlignment="1">
      <alignment horizontal="right" vertical="center" wrapText="1"/>
    </xf>
    <xf numFmtId="0" fontId="75" fillId="0" borderId="38" xfId="0" applyFont="1" applyAlignment="1">
      <alignment horizontal="left" vertical="center"/>
    </xf>
    <xf numFmtId="0" fontId="22" fillId="44" borderId="3" xfId="0" applyFont="1" applyFill="1" applyBorder="1" applyAlignment="1">
      <alignment horizontal="center" vertical="center"/>
    </xf>
    <xf numFmtId="0" fontId="104" fillId="39" borderId="3" xfId="0" applyFont="1" applyFill="1" applyBorder="1"/>
    <xf numFmtId="0" fontId="22" fillId="44" borderId="3" xfId="0" applyFont="1" applyFill="1" applyBorder="1" applyAlignment="1">
      <alignment horizontal="left" vertical="center" wrapText="1"/>
    </xf>
    <xf numFmtId="0" fontId="103" fillId="70" borderId="3" xfId="0" applyFont="1" applyFill="1" applyBorder="1" applyAlignment="1">
      <alignment horizontal="center" vertical="center"/>
    </xf>
    <xf numFmtId="0" fontId="103" fillId="71" borderId="3" xfId="0" applyFont="1" applyFill="1" applyBorder="1" applyAlignment="1">
      <alignment horizontal="center" vertical="center"/>
    </xf>
    <xf numFmtId="4" fontId="22" fillId="44" borderId="3" xfId="0" applyNumberFormat="1" applyFont="1" applyFill="1" applyBorder="1"/>
    <xf numFmtId="4" fontId="104" fillId="39" borderId="3" xfId="0" applyNumberFormat="1" applyFont="1" applyFill="1" applyBorder="1"/>
    <xf numFmtId="169" fontId="22" fillId="44" borderId="3" xfId="0" applyNumberFormat="1" applyFont="1" applyFill="1" applyBorder="1"/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102" fillId="0" borderId="22" xfId="0" applyFont="1" applyBorder="1" applyAlignment="1">
      <alignment horizontal="left" vertical="center" wrapText="1" indent="1"/>
    </xf>
    <xf numFmtId="0" fontId="102" fillId="0" borderId="8" xfId="0" applyFont="1" applyBorder="1" applyAlignment="1">
      <alignment horizontal="left" vertical="center" wrapText="1" indent="1"/>
    </xf>
    <xf numFmtId="0" fontId="102" fillId="0" borderId="9" xfId="0" applyFont="1" applyBorder="1" applyAlignment="1">
      <alignment horizontal="left" vertical="center" wrapText="1" indent="1"/>
    </xf>
    <xf numFmtId="0" fontId="106" fillId="72" borderId="3" xfId="0" applyFont="1" applyFill="1" applyBorder="1" applyAlignment="1">
      <alignment horizontal="left" vertical="center" wrapText="1" indent="1"/>
    </xf>
    <xf numFmtId="0" fontId="105" fillId="70" borderId="3" xfId="0" applyFont="1" applyFill="1" applyBorder="1" applyAlignment="1">
      <alignment horizontal="left" vertical="center" wrapText="1" inden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4" borderId="11" xfId="0" applyFont="1" applyFill="1" applyBorder="1" applyAlignment="1">
      <alignment vertical="center" wrapTex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71" fillId="0" borderId="48" xfId="0" applyFont="1" applyBorder="1" applyAlignment="1">
      <alignment horizontal="left" vertical="center" wrapText="1" indent="1"/>
    </xf>
    <xf numFmtId="0" fontId="71" fillId="0" borderId="82" xfId="0" applyFont="1" applyBorder="1" applyAlignment="1">
      <alignment horizontal="left" vertical="center" wrapText="1" indent="1"/>
    </xf>
    <xf numFmtId="0" fontId="71" fillId="0" borderId="51" xfId="0" applyFont="1" applyBorder="1" applyAlignment="1">
      <alignment horizontal="left" vertical="center" wrapText="1" indent="1"/>
    </xf>
    <xf numFmtId="0" fontId="71" fillId="0" borderId="81" xfId="0" applyFont="1" applyBorder="1" applyAlignment="1">
      <alignment horizontal="left" vertical="center" wrapText="1" inden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36" fillId="49" borderId="38" xfId="0" applyFont="1" applyFill="1" applyAlignment="1">
      <alignment horizontal="left" vertical="center" inden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50" fillId="0" borderId="0" xfId="0" applyFont="1" applyBorder="1" applyAlignment="1">
      <alignment horizontal="left" vertical="center" wrapText="1" indent="1"/>
    </xf>
    <xf numFmtId="49" fontId="101" fillId="0" borderId="0" xfId="0" applyNumberFormat="1" applyFont="1" applyBorder="1" applyAlignment="1">
      <alignment horizontal="left" vertical="center" wrapText="1" indent="1"/>
    </xf>
    <xf numFmtId="49" fontId="14" fillId="0" borderId="0" xfId="0" applyNumberFormat="1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75" fillId="0" borderId="0" xfId="0" applyFont="1" applyBorder="1" applyAlignment="1">
      <alignment horizontal="left" vertical="center" wrapText="1" indent="1"/>
    </xf>
    <xf numFmtId="0" fontId="14" fillId="0" borderId="0" xfId="0" applyFont="1" applyBorder="1" applyAlignment="1">
      <alignment horizontal="left" vertical="center" wrapText="1" indent="1"/>
    </xf>
    <xf numFmtId="0" fontId="50" fillId="0" borderId="8" xfId="0" applyFont="1" applyBorder="1" applyAlignment="1">
      <alignment horizontal="left" vertical="center" wrapText="1" indent="1"/>
    </xf>
    <xf numFmtId="49" fontId="98" fillId="69" borderId="90" xfId="0" applyNumberFormat="1" applyFont="1" applyFill="1" applyBorder="1" applyAlignment="1">
      <alignment horizontal="left" vertical="center" wrapText="1"/>
    </xf>
    <xf numFmtId="49" fontId="50" fillId="0" borderId="91" xfId="0" applyNumberFormat="1" applyFont="1" applyBorder="1" applyAlignment="1">
      <alignment horizontal="left" vertical="center" wrapText="1" indent="1"/>
    </xf>
    <xf numFmtId="49" fontId="50" fillId="0" borderId="8" xfId="0" applyNumberFormat="1" applyFont="1" applyBorder="1" applyAlignment="1">
      <alignment horizontal="left" vertical="center" wrapText="1" indent="1"/>
    </xf>
    <xf numFmtId="0" fontId="50" fillId="0" borderId="93" xfId="0" applyFont="1" applyBorder="1" applyAlignment="1">
      <alignment horizontal="left" vertical="center" wrapText="1" indent="1"/>
    </xf>
    <xf numFmtId="0" fontId="0" fillId="0" borderId="93" xfId="0" applyBorder="1" applyAlignment="1">
      <alignment horizontal="left" vertical="center" wrapText="1" indent="1"/>
    </xf>
    <xf numFmtId="0" fontId="50" fillId="0" borderId="73" xfId="0" applyFont="1" applyBorder="1" applyAlignment="1">
      <alignment horizontal="left" vertical="center" wrapText="1" indent="1"/>
    </xf>
    <xf numFmtId="0" fontId="50" fillId="0" borderId="91" xfId="0" applyFont="1" applyBorder="1" applyAlignment="1">
      <alignment horizontal="left" vertical="center" wrapText="1" indent="1"/>
    </xf>
    <xf numFmtId="49" fontId="50" fillId="66" borderId="94" xfId="0" applyNumberFormat="1" applyFont="1" applyFill="1" applyBorder="1" applyAlignment="1">
      <alignment horizontal="left" vertical="center" wrapText="1" indent="1"/>
    </xf>
    <xf numFmtId="0" fontId="9" fillId="61" borderId="96" xfId="0" applyNumberFormat="1" applyFont="1" applyFill="1" applyBorder="1" applyAlignment="1" applyProtection="1">
      <alignment horizontal="center" vertical="center" wrapText="1"/>
    </xf>
    <xf numFmtId="0" fontId="22" fillId="28" borderId="22" xfId="0" applyFont="1" applyFill="1" applyBorder="1" applyAlignment="1">
      <alignment wrapText="1"/>
    </xf>
    <xf numFmtId="0" fontId="104" fillId="39" borderId="97" xfId="0" applyNumberFormat="1" applyFont="1" applyFill="1" applyBorder="1" applyAlignment="1" applyProtection="1">
      <alignment vertical="center"/>
    </xf>
    <xf numFmtId="0" fontId="104" fillId="39" borderId="22" xfId="0" applyNumberFormat="1" applyFont="1" applyFill="1" applyBorder="1" applyAlignment="1" applyProtection="1">
      <alignment vertical="center"/>
    </xf>
    <xf numFmtId="0" fontId="9" fillId="61" borderId="98" xfId="0" applyNumberFormat="1" applyFont="1" applyFill="1" applyBorder="1" applyAlignment="1" applyProtection="1">
      <alignment horizontal="center" vertical="center" wrapText="1"/>
    </xf>
    <xf numFmtId="0" fontId="22" fillId="48" borderId="37" xfId="0" applyNumberFormat="1" applyFont="1" applyFill="1" applyBorder="1" applyAlignment="1" applyProtection="1">
      <alignment wrapText="1"/>
    </xf>
  </cellXfs>
  <cellStyles count="1">
    <cellStyle name="Normal" xfId="0" builtinId="0"/>
  </cellStyles>
  <dxfs count="111">
    <dxf>
      <font>
        <color rgb="FF006100"/>
      </font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</dxf>
    <dxf>
      <fill>
        <patternFill>
          <bgColor rgb="FF1F4E78"/>
        </patternFill>
      </fill>
    </dxf>
    <dxf>
      <fill>
        <patternFill>
          <bgColor rgb="FFDEEAF6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  <border>
        <bottom style="thin">
          <color rgb="FF9DB3D3"/>
        </bottom>
      </border>
    </dxf>
    <dxf>
      <font>
        <b/>
        <i val="0"/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IFERROR(ROUND(SUMPRODUCT(posicao_contratual!$B$2:$B$201,posicao_contratual!$C$2:$C$201)*RESULTADOS_DETALHE!$H$5,2),"")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6" t="s">
        <v>1</v>
      </c>
    </row>
    <row r="2" spans="1:7" x14ac:dyDescent="0.35">
      <c r="A2" s="1" t="s">
        <v>2</v>
      </c>
      <c r="B2" s="159" t="str">
        <f>IFERROR(IF(NOT(ISNUMBER($B$3)),"",IF(OR($B$3&lt;EDATE(DATE(YEAR(INDEX(parametros!$C$2:$C$6,(MATCH(TRUE,INDEX(ISNUMBER(parametros!$C$2:$C$6),0),0)-1)+1)),MONTH(INDEX(parametros!$C$2:$C$6,(MATCH(TRUE,INDEX(ISNUMBER(parametros!$C$2:$C$6),0),0)-1)+1)),1),12*((0)-(MATCH(TRUE,INDEX(ISNUMBER(parametros!$C$2:$C$6),0),0)-1))),$B$3&gt;=EDATE(DATE(YEAR(INDEX(parametros!$C$2:$C$6,(MATCH(TRUE,INDEX(ISNUMBER(parametros!$C$2:$C$6),0),0)-1)+1)),MONTH(INDEX(parametros!$C$2:$C$6,(MATCH(TRUE,INDEX(ISNUMBER(parametros!$C$2:$C$6),0),0)-1)+1)),1),12*((5)-(MATCH(TRUE,INDEX(ISNUMBER(parametros!$C$2:$C$6),0),0)-1)))),"",IF($B$3&gt;=EDATE(DATE(YEAR(INDEX(parametros!$C$2:$C$6,(MATCH(TRUE,INDEX(ISNUMBER(parametros!$C$2:$C$6),0),0)-1)+1)),MONTH(INDEX(parametros!$C$2:$C$6,(MATCH(TRUE,INDEX(ISNUMBER(parametros!$C$2:$C$6),0),0)-1)+1)),1),12*((4)-(MATCH(TRUE,INDEX(ISNUMBER(parametros!$C$2:$C$6),0),0)-1))),"C4",IF($B$3&gt;=EDATE(DATE(YEAR(INDEX(parametros!$C$2:$C$6,(MATCH(TRUE,INDEX(ISNUMBER(parametros!$C$2:$C$6),0),0)-1)+1)),MONTH(INDEX(parametros!$C$2:$C$6,(MATCH(TRUE,INDEX(ISNUMBER(parametros!$C$2:$C$6),0),0)-1)+1)),1),12*((3)-(MATCH(TRUE,INDEX(ISNUMBER(parametros!$C$2:$C$6),0),0)-1))),"C3",IF($B$3&gt;=EDATE(DATE(YEAR(INDEX(parametros!$C$2:$C$6,(MATCH(TRUE,INDEX(ISNUMBER(parametros!$C$2:$C$6),0),0)-1)+1)),MONTH(INDEX(parametros!$C$2:$C$6,(MATCH(TRUE,INDEX(ISNUMBER(parametros!$C$2:$C$6),0),0)-1)+1)),1),12*((2)-(MATCH(TRUE,INDEX(ISNUMBER(parametros!$C$2:$C$6),0),0)-1))),"C2",IF($B$3&gt;=EDATE(DATE(YEAR(INDEX(parametros!$C$2:$C$6,(MATCH(TRUE,INDEX(ISNUMBER(parametros!$C$2:$C$6),0),0)-1)+1)),MONTH(INDEX(parametros!$C$2:$C$6,(MATCH(TRUE,INDEX(ISNUMBER(parametros!$C$2:$C$6),0),0)-1)+1)),1),12*((1)-(MATCH(TRUE,INDEX(ISNUMBER(parametros!$C$2:$C$6),0),0)-1))),"C1","C0")))))),"")</f>
        <v/>
      </c>
    </row>
    <row r="3" spans="1:7" x14ac:dyDescent="0.35">
      <c r="A3" s="1" t="s">
        <v>3</v>
      </c>
      <c r="B3" s="331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46304.602223032409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2" width="12.6328125" style="2" customWidth="1"/>
    <col min="23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1"/>
      <c r="H2" s="328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1"/>
      <c r="H3" s="329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1"/>
      <c r="H4" s="329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1"/>
      <c r="H5" s="330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1"/>
      <c r="H6" s="330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ht="18" customHeight="1" x14ac:dyDescent="0.35">
      <c r="A8" s="485" t="str">
        <f>IF(IF(AND(COUNTIF($A$4:$A$6,"Sim")&gt;0,NOT(ISNUMBER($E$3))),"C1","")&amp;IF(AND(COUNTIF($A$5:$A$6,"Sim")&gt;0,NOT(ISNUMBER($E$4))),IF(AND(COUNTIF($A$4:$A$6,"Sim")&gt;0,NOT(ISNUMBER($E$3))),IF(AND(COUNTIF($A$6:$A$6,"Sim")&gt;0,NOT(ISNUMBER($E$5))),", "," e "),"")&amp;"C2","")&amp;IF(AND(COUNTIF($A$6:$A$6,"Sim")&gt;0,NOT(ISNUMBER($E$5))),IF(OR(AND(COUNTIF($A$4:$A$6,"Sim")&gt;0,NOT(ISNUMBER($E$3))),AND(COUNTIF($A$5:$A$6,"Sim")&gt;0,NOT(ISNUMBER($E$4))))," e ","")&amp;"C3","")="","",IF(((AND(COUNTIF($A$4:$A$6,"Sim")&gt;0,NOT(ISNUMBER($E$3))))+(AND(COUNTIF($A$5:$A$6,"Sim")&gt;0,NOT(ISNUMBER($E$4))))+(AND(COUNTIF($A$6:$A$6,"Sim")&gt;0,NOT(ISNUMBER($E$5)))))=1,MEMORIA_RESULTADOS!$AG$41,MEMORIA_RESULTADOS!$AG$42)&amp;IF(AND(COUNTIF($A$4:$A$6,"Sim")&gt;0,NOT(ISNUMBER($E$3))),"C1","")&amp;IF(AND(COUNTIF($A$5:$A$6,"Sim")&gt;0,NOT(ISNUMBER($E$4))),IF(AND(COUNTIF($A$4:$A$6,"Sim")&gt;0,NOT(ISNUMBER($E$3))),IF(AND(COUNTIF($A$6:$A$6,"Sim")&gt;0,NOT(ISNUMBER($E$5))),", "," e "),"")&amp;"C2","")&amp;IF(AND(COUNTIF($A$6:$A$6,"Sim")&gt;0,NOT(ISNUMBER($E$5))),IF(OR(AND(COUNTIF($A$4:$A$6,"Sim")&gt;0,NOT(ISNUMBER($E$3))),AND(COUNTIF($A$5:$A$6,"Sim")&gt;0,NOT(ISNUMBER($E$4))))," e ","")&amp;"C3","")&amp;".")</f>
        <v/>
      </c>
      <c r="B8" s="486"/>
      <c r="C8" s="486"/>
      <c r="D8" s="486"/>
      <c r="E8" s="486"/>
      <c r="F8" s="487"/>
      <c r="G8" s="14"/>
      <c r="M8" s="177"/>
      <c r="N8" s="178"/>
      <c r="O8" s="179"/>
      <c r="P8" s="179"/>
      <c r="Q8" s="178"/>
    </row>
    <row r="9" spans="1:20" x14ac:dyDescent="0.35">
      <c r="A9" s="482" t="s">
        <v>49</v>
      </c>
      <c r="B9" s="483"/>
      <c r="C9" s="483"/>
      <c r="D9" s="483"/>
      <c r="E9" s="483"/>
      <c r="F9" s="484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473" t="s">
        <v>737</v>
      </c>
      <c r="B17" s="232"/>
      <c r="C17" s="233"/>
      <c r="D17" s="233"/>
      <c r="E17" s="234"/>
      <c r="F17" s="234"/>
      <c r="G17" s="232"/>
      <c r="M17" s="177"/>
      <c r="N17" s="178"/>
      <c r="O17" s="179"/>
      <c r="P17" s="179"/>
      <c r="Q17" s="178"/>
    </row>
    <row r="18" spans="1:17" x14ac:dyDescent="0.35">
      <c r="A18" s="232"/>
      <c r="B18" s="232"/>
      <c r="C18" s="233"/>
      <c r="D18" s="233"/>
      <c r="E18" s="234"/>
      <c r="F18" s="234"/>
      <c r="G18" s="232"/>
      <c r="M18" s="177"/>
      <c r="N18" s="178"/>
      <c r="O18" s="179"/>
      <c r="P18" s="179"/>
      <c r="Q18" s="178"/>
    </row>
    <row r="19" spans="1:17" x14ac:dyDescent="0.35">
      <c r="A19" s="232"/>
      <c r="B19" s="232"/>
      <c r="C19" s="233"/>
      <c r="D19" s="233"/>
      <c r="E19" s="234"/>
      <c r="F19" s="234"/>
      <c r="G19" s="232"/>
      <c r="M19" s="177"/>
      <c r="N19" s="178"/>
      <c r="O19" s="179"/>
      <c r="P19" s="179"/>
      <c r="Q19" s="178"/>
    </row>
    <row r="20" spans="1:17" x14ac:dyDescent="0.35">
      <c r="A20" s="232"/>
      <c r="B20" s="232"/>
      <c r="C20" s="233"/>
      <c r="D20" s="233"/>
      <c r="E20" s="234"/>
      <c r="F20" s="234"/>
      <c r="G20" s="232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2">
    <mergeCell ref="A9:F9"/>
    <mergeCell ref="A8:F8"/>
  </mergeCells>
  <conditionalFormatting sqref="A8:F8">
    <cfRule type="expression" dxfId="110" priority="2">
      <formula>LEN($A$8)&gt;0</formula>
    </cfRule>
  </conditionalFormatting>
  <conditionalFormatting sqref="E3:E6">
    <cfRule type="expression" dxfId="109" priority="3" stopIfTrue="1">
      <formula>AND($A3="Nao",$C3&lt;&gt;"",$E3="",COUNTIF($A4:$A$7,"Sim")&gt;0)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2"/>
      <c r="B74" s="303" t="s">
        <v>26</v>
      </c>
      <c r="C74" s="304">
        <f>SUM(C2:C73)</f>
        <v>0</v>
      </c>
      <c r="D74" s="303"/>
      <c r="E74" s="304">
        <f>SUM(E2:E73)</f>
        <v>0</v>
      </c>
      <c r="F74" s="304">
        <f>SUM(F2:F73)</f>
        <v>0</v>
      </c>
      <c r="G74" s="305"/>
    </row>
  </sheetData>
  <conditionalFormatting sqref="A2:G73">
    <cfRule type="expression" dxfId="108" priority="1" stopIfTrue="1">
      <formula>AND($C2&lt;&gt;"",$G2="")</formula>
    </cfRule>
    <cfRule type="expression" dxfId="107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106" priority="2">
      <formula>$U2="TOTAL"</formula>
    </cfRule>
  </conditionalFormatting>
  <conditionalFormatting sqref="E2:E201">
    <cfRule type="expression" dxfId="105" priority="3" stopIfTrue="1">
      <formula>AND($A2&lt;&gt;"",ISNUMBER($BI2),$BI2&gt;1)</formula>
    </cfRule>
    <cfRule type="expression" dxfId="104" priority="3">
      <formula>AND($A2&lt;&gt;"",ISNUMBER(E2),E2&gt;0)</formula>
    </cfRule>
    <cfRule type="expression" dxfId="103" priority="4">
      <formula>AND($A2&lt;&gt;"",E2=0)</formula>
    </cfRule>
    <cfRule type="expression" dxfId="102" priority="5">
      <formula>AND($A2&lt;&gt;"",E2="",OR(NOT(ISNUMBER($BI2)),$BI2&lt;=1))</formula>
    </cfRule>
  </conditionalFormatting>
  <conditionalFormatting sqref="G2:G201">
    <cfRule type="expression" dxfId="101" priority="6" stopIfTrue="1">
      <formula>AND($A2&lt;&gt;"",ISNUMBER($BI2),$BI2&gt;2)</formula>
    </cfRule>
    <cfRule type="expression" dxfId="100" priority="7">
      <formula>AND($A2&lt;&gt;"",ISNUMBER(G2),G2&gt;0)</formula>
    </cfRule>
    <cfRule type="expression" dxfId="99" priority="8">
      <formula>AND($A2&lt;&gt;"",G2=0)</formula>
    </cfRule>
    <cfRule type="expression" dxfId="98" priority="9">
      <formula>AND($A2&lt;&gt;"",G2="",OR(NOT(ISNUMBER($BI2)),$BI2&lt;=2))</formula>
    </cfRule>
  </conditionalFormatting>
  <conditionalFormatting sqref="I2:I201">
    <cfRule type="expression" dxfId="97" priority="10" stopIfTrue="1">
      <formula>AND($A2&lt;&gt;"",ISNUMBER($BI2),$BI2&gt;3)</formula>
    </cfRule>
    <cfRule type="expression" dxfId="96" priority="11">
      <formula>AND($A2&lt;&gt;"",ISNUMBER(I2),I2&gt;0)</formula>
    </cfRule>
    <cfRule type="expression" dxfId="95" priority="12">
      <formula>AND($A2&lt;&gt;"",I2=0)</formula>
    </cfRule>
    <cfRule type="expression" dxfId="94" priority="13">
      <formula>AND($A2&lt;&gt;"",I2="",OR(NOT(ISNUMBER($BI2)),$BI2&lt;=3))</formula>
    </cfRule>
  </conditionalFormatting>
  <conditionalFormatting sqref="K2:K201">
    <cfRule type="expression" dxfId="93" priority="14" stopIfTrue="1">
      <formula>AND($A2&lt;&gt;"",ISNUMBER($BI2),$BI2&gt;4)</formula>
    </cfRule>
    <cfRule type="expression" dxfId="92" priority="15">
      <formula>AND($A2&lt;&gt;"",ISNUMBER(K2),K2&gt;0)</formula>
    </cfRule>
    <cfRule type="expression" dxfId="91" priority="16">
      <formula>AND($A2&lt;&gt;"",K2=0)</formula>
    </cfRule>
    <cfRule type="expression" dxfId="90" priority="17">
      <formula>AND($A2&lt;&gt;"",K2="",OR(NOT(ISNUMBER($BI2)),$BI2&lt;=4))</formula>
    </cfRule>
  </conditionalFormatting>
  <conditionalFormatting sqref="A2:AC200">
    <cfRule type="expression" dxfId="0" priority="19" stopIfTrue="1">
      <formula>AND(LEN(TRIM($A2))=4,LEFT(TRIM($A2),1)="N",ISNUMBER(--MID(TRIM($A2),2,3)),ISERROR(FIND(".",$A2)),ISERROR(FIND(",",$A2)),ISERROR(FIND("-",$A2)),ISERROR(FIND("+",$A2)),ISERROR(SEARCH("E",$A2,2)),ISERROR(FIND(" ",TRIM($A2))))</formula>
    </cfRule>
  </conditionalFormatting>
  <dataValidations count="3">
    <dataValidation allowBlank="1" showInputMessage="1" showErrorMessage="1" promptTitle="ITEM NOVO POR ADITIVO" prompt="Cadastre o item aqui PRIMEIRO (ex.: N001), com quantidade-base original = 0 e o VU de inclusão. A quantidade do item nasce na aba aditivos._x000a_N001 = código do item | 0 = quantidade-base original._x000a_Item do contrato: código normal." sqref="A2:A200" xr:uid="{B4BC3679-8EF3-45E6-9FAD-F0C57884B5E1}"/>
    <dataValidation allowBlank="1" showInputMessage="1" showErrorMessage="1" promptTitle="QUANTIDADE-BASE ORIGINAL" prompt="Item do contrato: quantidade original contratada._x000a_Item novo por aditivo: 0 (com N001, N002... o 0 aparece sozinho). Não some aqui a quantidade do aditivo: ela é lançada na aba aditivos." sqref="B2:B200" xr:uid="{29184614-1DDC-4AAD-8F0A-04820D1C70DC}"/>
    <dataValidation allowBlank="1" showInputMessage="1" showErrorMessage="1" promptTitle="VALOR UNITÁRIO ORIGINAL/BASE" prompt="Item do contrato: VU original do contrato._x000a_Item novo por aditivo: VU do item no momento em que foi incluído no contrato." sqref="C2:C200" xr:uid="{27541C0E-D1B8-4DD0-A9CE-5C576517167B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6.26953125" customWidth="1"/>
    <col min="25" max="25" width="26.7265625" customWidth="1"/>
    <col min="26" max="26" width="16.6328125" customWidth="1"/>
    <col min="27" max="27" width="26.7265625" customWidth="1"/>
    <col min="28" max="28" width="34.1796875" customWidth="1"/>
    <col min="29" max="29" width="16.6328125" customWidth="1"/>
    <col min="30" max="30" width="21.54296875" customWidth="1"/>
    <col min="31" max="31" width="33" customWidth="1"/>
    <col min="32" max="32" width="21.54296875" customWidth="1"/>
    <col min="33" max="33" width="42.6328125" customWidth="1"/>
  </cols>
  <sheetData>
    <row r="1" spans="1:33" ht="30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463</v>
      </c>
      <c r="W1" s="232"/>
      <c r="X1" s="477" t="s">
        <v>547</v>
      </c>
      <c r="Y1" s="477" t="s">
        <v>548</v>
      </c>
      <c r="Z1" s="478" t="s">
        <v>549</v>
      </c>
      <c r="AA1" s="478" t="s">
        <v>550</v>
      </c>
      <c r="AB1" s="477" t="s">
        <v>551</v>
      </c>
      <c r="AC1" s="477" t="s">
        <v>552</v>
      </c>
      <c r="AD1" s="477" t="s">
        <v>553</v>
      </c>
      <c r="AE1" s="477" t="s">
        <v>554</v>
      </c>
      <c r="AF1" s="477" t="s">
        <v>555</v>
      </c>
      <c r="AG1" s="477" t="s">
        <v>556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214"/>
      <c r="X2" s="474" t="s">
        <v>21</v>
      </c>
      <c r="Y2" s="479" t="str">
        <f>IF(COUNT($E$2:$E$200)=0,"",IF(OR(NOT(ISNUMBER(parametros!$F2)),NOT(ISNUMBER($AD2)),$AD2=0),"",ROUND(SUMPRODUCT($E$2:$E$200,$C$2:$C$200)*parametros!$F2/$AD2,2)))</f>
        <v/>
      </c>
      <c r="Z2" s="475"/>
      <c r="AA2" s="480"/>
      <c r="AB2" s="479" t="str">
        <f>IF($AG2&lt;&gt;"AJUSTE APLICADO","",IF($Z2="Valor pago",ROUND($AA2,2),ROUND($Y2-$AA2,2)))</f>
        <v/>
      </c>
      <c r="AC2" s="479" t="str">
        <f>IF($AG2&lt;&gt;"AJUSTE APLICADO","",ROUND($Y2-$AB2,2))</f>
        <v/>
      </c>
      <c r="AD2" s="481">
        <f>IF(ISNUMBER(parametros!$D11),parametros!$D11,"")</f>
        <v>1</v>
      </c>
      <c r="AE2" s="479" t="str">
        <f>IF($AG2&lt;&gt;"AJUSTE APLICADO","",ROUND($AB2*$AD2,2))</f>
        <v/>
      </c>
      <c r="AF2" s="479" t="str">
        <f>IF($AG2&lt;&gt;"AJUSTE APLICADO","",ROUND($AE2-$AB2,2))</f>
        <v/>
      </c>
      <c r="AG2" s="476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214"/>
      <c r="X3" s="474" t="s">
        <v>22</v>
      </c>
      <c r="Y3" s="479" t="str">
        <f>IF(COUNT($G$2:$G$200)=0,"",IF(OR(NOT(ISNUMBER(parametros!$F3)),NOT(ISNUMBER($AD3)),$AD3=0),"",ROUND(SUMPRODUCT($G$2:$G$200,$C$2:$C$200)*parametros!$F3/$AD3,2)))</f>
        <v/>
      </c>
      <c r="Z3" s="475"/>
      <c r="AA3" s="480"/>
      <c r="AB3" s="479" t="str">
        <f>IF($AG3&lt;&gt;"AJUSTE APLICADO","",IF($Z3="Valor pago",ROUND($AA3,2),ROUND($Y3-$AA3,2)))</f>
        <v/>
      </c>
      <c r="AC3" s="479" t="str">
        <f>IF($AG3&lt;&gt;"AJUSTE APLICADO","",ROUND($Y3-$AB3,2))</f>
        <v/>
      </c>
      <c r="AD3" s="481" t="str">
        <f>IF(ISNUMBER(parametros!$D12),parametros!$D12,"")</f>
        <v/>
      </c>
      <c r="AE3" s="479" t="str">
        <f>IF($AG3&lt;&gt;"AJUSTE APLICADO","",ROUND($AB3*$AD3,2))</f>
        <v/>
      </c>
      <c r="AF3" s="479" t="str">
        <f>IF($AG3&lt;&gt;"AJUSTE APLICADO","",ROUND($AE3-$AB3,2))</f>
        <v/>
      </c>
      <c r="AG3" s="476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214"/>
      <c r="X4" s="474" t="s">
        <v>23</v>
      </c>
      <c r="Y4" s="479" t="str">
        <f>IF(COUNT($I$2:$I$200)=0,"",IF(OR(NOT(ISNUMBER(parametros!$F4)),NOT(ISNUMBER($AD4)),$AD4=0),"",ROUND(SUMPRODUCT($I$2:$I$200,$C$2:$C$200)*parametros!$F4/$AD4,2)))</f>
        <v/>
      </c>
      <c r="Z4" s="475"/>
      <c r="AA4" s="480"/>
      <c r="AB4" s="479" t="str">
        <f>IF($AG4&lt;&gt;"AJUSTE APLICADO","",IF($Z4="Valor pago",ROUND($AA4,2),ROUND($Y4-$AA4,2)))</f>
        <v/>
      </c>
      <c r="AC4" s="479" t="str">
        <f>IF($AG4&lt;&gt;"AJUSTE APLICADO","",ROUND($Y4-$AB4,2))</f>
        <v/>
      </c>
      <c r="AD4" s="481" t="str">
        <f>IF(ISNUMBER(parametros!$D13),parametros!$D13,"")</f>
        <v/>
      </c>
      <c r="AE4" s="479" t="str">
        <f>IF($AG4&lt;&gt;"AJUSTE APLICADO","",ROUND($AB4*$AD4,2))</f>
        <v/>
      </c>
      <c r="AF4" s="479" t="str">
        <f>IF($AG4&lt;&gt;"AJUSTE APLICADO","",ROUND($AE4-$AB4,2))</f>
        <v/>
      </c>
      <c r="AG4" s="476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214"/>
      <c r="X5" s="474" t="s">
        <v>24</v>
      </c>
      <c r="Y5" s="479" t="str">
        <f>IF(COUNT($K$2:$K$200)=0,"",IF(OR(NOT(ISNUMBER(parametros!$F5)),NOT(ISNUMBER($AD5)),$AD5=0),"",ROUND(SUMPRODUCT($K$2:$K$200,$C$2:$C$200)*parametros!$F5/$AD5,2)))</f>
        <v/>
      </c>
      <c r="Z5" s="475"/>
      <c r="AA5" s="480"/>
      <c r="AB5" s="479" t="str">
        <f>IF($AG5&lt;&gt;"AJUSTE APLICADO","",IF($Z5="Valor pago",ROUND($AA5,2),ROUND($Y5-$AA5,2)))</f>
        <v/>
      </c>
      <c r="AC5" s="479" t="str">
        <f>IF($AG5&lt;&gt;"AJUSTE APLICADO","",ROUND($Y5-$AB5,2))</f>
        <v/>
      </c>
      <c r="AD5" s="481" t="str">
        <f>IF(ISNUMBER(parametros!$D14),parametros!$D14,"")</f>
        <v/>
      </c>
      <c r="AE5" s="479" t="str">
        <f>IF($AG5&lt;&gt;"AJUSTE APLICADO","",ROUND($AB5*$AD5,2))</f>
        <v/>
      </c>
      <c r="AF5" s="479" t="str">
        <f>IF($AG5&lt;&gt;"AJUSTE APLICADO","",ROUND($AE5-$AB5,2))</f>
        <v/>
      </c>
      <c r="AG5" s="476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214"/>
      <c r="X6" s="474" t="s">
        <v>25</v>
      </c>
      <c r="Y6" s="479" t="str">
        <f>IF(COUNT($M$2:$M$200)=0,"",IF(OR(NOT(ISNUMBER(parametros!$F6)),NOT(ISNUMBER($AD6)),$AD6=0),"",ROUND(SUMPRODUCT($M$2:$M$200,$C$2:$C$200)*parametros!$F6/$AD6,2)))</f>
        <v/>
      </c>
      <c r="Z6" s="475"/>
      <c r="AA6" s="480"/>
      <c r="AB6" s="479" t="str">
        <f>IF($AG6&lt;&gt;"AJUSTE APLICADO","",IF($Z6="Valor pago",ROUND($AA6,2),ROUND($Y6-$AA6,2)))</f>
        <v/>
      </c>
      <c r="AC6" s="479" t="str">
        <f>IF($AG6&lt;&gt;"AJUSTE APLICADO","",ROUND($Y6-$AB6,2))</f>
        <v/>
      </c>
      <c r="AD6" s="481" t="str">
        <f>IF(ISNUMBER(parametros!$D15),parametros!$D15,"")</f>
        <v/>
      </c>
      <c r="AE6" s="479" t="str">
        <f>IF($AG6&lt;&gt;"AJUSTE APLICADO","",ROUND($AB6*$AD6,2))</f>
        <v/>
      </c>
      <c r="AF6" s="479" t="str">
        <f>IF($AG6&lt;&gt;"AJUSTE APLICADO","",ROUND($AE6-$AB6,2))</f>
        <v/>
      </c>
      <c r="AG6" s="476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ht="20" customHeight="1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214"/>
      <c r="X8" s="489" t="s">
        <v>739</v>
      </c>
      <c r="Y8" s="489"/>
      <c r="Z8" s="489"/>
      <c r="AA8" s="489"/>
      <c r="AB8" s="489"/>
      <c r="AC8" s="489"/>
      <c r="AD8" s="489"/>
      <c r="AE8" s="489"/>
      <c r="AF8" s="489"/>
      <c r="AG8" s="489"/>
    </row>
    <row r="9" spans="1:33" ht="33" customHeight="1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214"/>
      <c r="X9" s="488" t="s">
        <v>738</v>
      </c>
      <c r="Y9" s="488"/>
      <c r="Z9" s="488"/>
      <c r="AA9" s="488"/>
      <c r="AB9" s="488"/>
      <c r="AC9" s="488"/>
      <c r="AD9" s="488"/>
      <c r="AE9" s="488"/>
      <c r="AF9" s="488"/>
      <c r="AG9" s="488"/>
    </row>
    <row r="10" spans="1:33" ht="18.5" customHeight="1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214"/>
      <c r="X10" s="488" t="s">
        <v>557</v>
      </c>
      <c r="Y10" s="488"/>
      <c r="Z10" s="488"/>
      <c r="AA10" s="488"/>
      <c r="AB10" s="488"/>
      <c r="AC10" s="488"/>
      <c r="AD10" s="488"/>
      <c r="AE10" s="488"/>
      <c r="AF10" s="488"/>
      <c r="AG10" s="488"/>
    </row>
    <row r="11" spans="1:33" ht="33" customHeight="1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214"/>
      <c r="X11" s="488" t="s">
        <v>558</v>
      </c>
      <c r="Y11" s="488"/>
      <c r="Z11" s="488"/>
      <c r="AA11" s="488"/>
      <c r="AB11" s="488"/>
      <c r="AC11" s="488"/>
      <c r="AD11" s="488"/>
      <c r="AE11" s="488"/>
      <c r="AF11" s="488"/>
      <c r="AG11" s="488"/>
    </row>
    <row r="12" spans="1:33" ht="33" customHeight="1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214"/>
      <c r="X12" s="488" t="s">
        <v>559</v>
      </c>
      <c r="Y12" s="488"/>
      <c r="Z12" s="488"/>
      <c r="AA12" s="488"/>
      <c r="AB12" s="488"/>
      <c r="AC12" s="488"/>
      <c r="AD12" s="488"/>
      <c r="AE12" s="488"/>
      <c r="AF12" s="488"/>
      <c r="AG12" s="488"/>
    </row>
    <row r="13" spans="1:33" ht="18.5" customHeight="1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214"/>
      <c r="X13" s="488" t="s">
        <v>560</v>
      </c>
      <c r="Y13" s="488"/>
      <c r="Z13" s="488"/>
      <c r="AA13" s="488"/>
      <c r="AB13" s="488"/>
      <c r="AC13" s="488"/>
      <c r="AD13" s="488"/>
      <c r="AE13" s="488"/>
      <c r="AF13" s="488"/>
      <c r="AG13" s="488"/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mergeCells count="6">
    <mergeCell ref="X13:AG13"/>
    <mergeCell ref="X8:AG8"/>
    <mergeCell ref="X9:AG9"/>
    <mergeCell ref="X10:AG10"/>
    <mergeCell ref="X11:AG11"/>
    <mergeCell ref="X12:AG12"/>
  </mergeCells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490" t="s">
        <v>469</v>
      </c>
      <c r="N1" s="491"/>
      <c r="O1" s="491"/>
      <c r="P1" s="491"/>
      <c r="Q1" s="491"/>
      <c r="R1" s="491"/>
      <c r="S1" s="491"/>
      <c r="T1" s="492"/>
      <c r="U1" s="216" t="s">
        <v>127</v>
      </c>
      <c r="V1" s="213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49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48" t="s">
        <v>32</v>
      </c>
      <c r="N2" s="348" t="s">
        <v>470</v>
      </c>
      <c r="O2" s="348" t="s">
        <v>471</v>
      </c>
      <c r="P2" s="348" t="s">
        <v>472</v>
      </c>
      <c r="Q2" s="348" t="s">
        <v>473</v>
      </c>
      <c r="R2" s="348" t="s">
        <v>525</v>
      </c>
      <c r="S2" s="366" t="s">
        <v>474</v>
      </c>
      <c r="T2" s="348" t="s">
        <v>475</v>
      </c>
      <c r="U2" s="350" t="str">
        <f t="shared" ref="U2:U65" si="4">IF(OR($D2="",$H2=""),"",ROUND($D2+$H2,2))</f>
        <v/>
      </c>
      <c r="V2" s="215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49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2" t="s">
        <v>21</v>
      </c>
      <c r="N3" s="353">
        <f>COUNTIF($C$2:$C$5001,M3)</f>
        <v>0</v>
      </c>
      <c r="O3" s="354">
        <f>SUMIF($C$2:$C$5001,M3,$D$2:$D$5001)</f>
        <v>0</v>
      </c>
      <c r="P3" s="354">
        <f>SUMIF($C$2:$C$5001,M3,$F$2:$F$5001)</f>
        <v>0</v>
      </c>
      <c r="Q3" s="354">
        <f>SUMIF($C$2:$C$5001,M3,$H$2:$H$5001)</f>
        <v>0</v>
      </c>
      <c r="R3" s="354">
        <f>SUMIF($C$2:$C$5001,M3,$I$2:$I$5001)</f>
        <v>0</v>
      </c>
      <c r="S3" s="354">
        <f>SUMIF($C$2:$C$5001,M3,$J$2:$J$5001)</f>
        <v>0</v>
      </c>
      <c r="T3" s="353">
        <f>COUNTIFS($C$2:$C$5001,M3,$K$2:$K$5001,"&lt;&gt;OK",$K$2:$K$5001,"&lt;&gt;")</f>
        <v>0</v>
      </c>
      <c r="U3" s="351" t="str">
        <f t="shared" si="4"/>
        <v/>
      </c>
      <c r="V3" s="215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49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2" t="s">
        <v>22</v>
      </c>
      <c r="N4" s="353">
        <f>COUNTIF($C$2:$C$5001,M4)</f>
        <v>0</v>
      </c>
      <c r="O4" s="354">
        <f>SUMIF($C$2:$C$5001,M4,$D$2:$D$5001)</f>
        <v>0</v>
      </c>
      <c r="P4" s="354">
        <f>SUMIF($C$2:$C$5001,M4,$F$2:$F$5001)</f>
        <v>0</v>
      </c>
      <c r="Q4" s="354">
        <f>SUMIF($C$2:$C$5001,M4,$H$2:$H$5001)</f>
        <v>0</v>
      </c>
      <c r="R4" s="354">
        <f>SUMIF($C$2:$C$5001,M4,$I$2:$I$5001)</f>
        <v>0</v>
      </c>
      <c r="S4" s="354">
        <f>SUMIF($C$2:$C$5001,M4,$J$2:$J$5001)</f>
        <v>0</v>
      </c>
      <c r="T4" s="353">
        <f>COUNTIFS($C$2:$C$5001,M4,$K$2:$K$5001,"&lt;&gt;OK",$K$2:$K$5001,"&lt;&gt;")</f>
        <v>0</v>
      </c>
      <c r="U4" s="351" t="str">
        <f t="shared" si="4"/>
        <v/>
      </c>
      <c r="V4" s="215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49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2" t="s">
        <v>23</v>
      </c>
      <c r="N5" s="353">
        <f>COUNTIF($C$2:$C$5001,M5)</f>
        <v>0</v>
      </c>
      <c r="O5" s="354">
        <f>SUMIF($C$2:$C$5001,M5,$D$2:$D$5001)</f>
        <v>0</v>
      </c>
      <c r="P5" s="354">
        <f>SUMIF($C$2:$C$5001,M5,$F$2:$F$5001)</f>
        <v>0</v>
      </c>
      <c r="Q5" s="354">
        <f>SUMIF($C$2:$C$5001,M5,$H$2:$H$5001)</f>
        <v>0</v>
      </c>
      <c r="R5" s="354">
        <f>SUMIF($C$2:$C$5001,M5,$I$2:$I$5001)</f>
        <v>0</v>
      </c>
      <c r="S5" s="354">
        <f>SUMIF($C$2:$C$5001,M5,$J$2:$J$5001)</f>
        <v>0</v>
      </c>
      <c r="T5" s="353">
        <f>COUNTIFS($C$2:$C$5001,M5,$K$2:$K$5001,"&lt;&gt;OK",$K$2:$K$5001,"&lt;&gt;")</f>
        <v>0</v>
      </c>
      <c r="U5" s="351" t="str">
        <f t="shared" si="4"/>
        <v/>
      </c>
      <c r="V5" s="215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49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2" t="s">
        <v>24</v>
      </c>
      <c r="N6" s="353">
        <f>COUNTIF($C$2:$C$5001,M6)</f>
        <v>0</v>
      </c>
      <c r="O6" s="354">
        <f>SUMIF($C$2:$C$5001,M6,$D$2:$D$5001)</f>
        <v>0</v>
      </c>
      <c r="P6" s="354">
        <f>SUMIF($C$2:$C$5001,M6,$F$2:$F$5001)</f>
        <v>0</v>
      </c>
      <c r="Q6" s="354">
        <f>SUMIF($C$2:$C$5001,M6,$H$2:$H$5001)</f>
        <v>0</v>
      </c>
      <c r="R6" s="354">
        <f>SUMIF($C$2:$C$5001,M6,$I$2:$I$5001)</f>
        <v>0</v>
      </c>
      <c r="S6" s="354">
        <f>SUMIF($C$2:$C$5001,M6,$J$2:$J$5001)</f>
        <v>0</v>
      </c>
      <c r="T6" s="353">
        <f>COUNTIFS($C$2:$C$5001,M6,$K$2:$K$5001,"&lt;&gt;OK",$K$2:$K$5001,"&lt;&gt;")</f>
        <v>0</v>
      </c>
      <c r="U6" s="351" t="str">
        <f t="shared" si="4"/>
        <v/>
      </c>
      <c r="V6" s="215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49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2" t="s">
        <v>25</v>
      </c>
      <c r="N7" s="353">
        <f>COUNTIF($C$2:$C$5001,M7)</f>
        <v>0</v>
      </c>
      <c r="O7" s="354">
        <f>SUMIF($C$2:$C$5001,M7,$D$2:$D$5001)</f>
        <v>0</v>
      </c>
      <c r="P7" s="354">
        <f>SUMIF($C$2:$C$5001,M7,$F$2:$F$5001)</f>
        <v>0</v>
      </c>
      <c r="Q7" s="354">
        <f>SUMIF($C$2:$C$5001,M7,$H$2:$H$5001)</f>
        <v>0</v>
      </c>
      <c r="R7" s="354">
        <f>SUMIF($C$2:$C$5001,M7,$I$2:$I$5001)</f>
        <v>0</v>
      </c>
      <c r="S7" s="354">
        <f>SUMIF($C$2:$C$5001,M7,$J$2:$J$5001)</f>
        <v>0</v>
      </c>
      <c r="T7" s="353">
        <f>COUNTIFS($C$2:$C$5001,M7,$K$2:$K$5001,"&lt;&gt;OK",$K$2:$K$5001,"&lt;&gt;")</f>
        <v>0</v>
      </c>
      <c r="U7" s="351" t="str">
        <f t="shared" si="4"/>
        <v/>
      </c>
      <c r="V7" s="215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49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5" t="s">
        <v>519</v>
      </c>
      <c r="N8" s="376">
        <f>COUNTIF($A$2:$A$5001,"&lt;&gt;")-SUM(N3:N7)</f>
        <v>0</v>
      </c>
      <c r="O8" s="377">
        <f>SUM($D$2:$D$5001)-SUM(O3:O7)</f>
        <v>0</v>
      </c>
      <c r="P8" s="377">
        <f>SUM($F$2:$F$5001)-SUM(P3:P7)</f>
        <v>0</v>
      </c>
      <c r="Q8" s="377">
        <f>SUM($H$2:$H$5001)-SUM(Q3:Q7)</f>
        <v>0</v>
      </c>
      <c r="R8" s="377">
        <f>SUM($I$2:$I$5001)-SUM(R3:R7)</f>
        <v>0</v>
      </c>
      <c r="S8" s="377">
        <f>SUM($J$2:$J$5001)-SUM(S3:S7)</f>
        <v>0</v>
      </c>
      <c r="T8" s="376">
        <f>COUNTIFS($A$2:$A$5001,"&lt;&gt;",$K$2:$K$5001,"&lt;&gt;OK",$K$2:$K$5001,"&lt;&gt;")-SUM(T3:T7)</f>
        <v>0</v>
      </c>
      <c r="U8" s="351" t="str">
        <f t="shared" si="4"/>
        <v/>
      </c>
      <c r="V8" s="215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49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78" t="s">
        <v>26</v>
      </c>
      <c r="N9" s="379">
        <f t="shared" ref="N9:T9" si="5">SUM(N3:N8)</f>
        <v>0</v>
      </c>
      <c r="O9" s="380">
        <f t="shared" si="5"/>
        <v>0</v>
      </c>
      <c r="P9" s="380">
        <f t="shared" si="5"/>
        <v>0</v>
      </c>
      <c r="Q9" s="380">
        <f t="shared" si="5"/>
        <v>0</v>
      </c>
      <c r="R9" s="380">
        <f t="shared" si="5"/>
        <v>0</v>
      </c>
      <c r="S9" s="385">
        <f t="shared" si="5"/>
        <v>0</v>
      </c>
      <c r="T9" s="381">
        <f t="shared" si="5"/>
        <v>0</v>
      </c>
      <c r="U9" s="351" t="str">
        <f t="shared" si="4"/>
        <v/>
      </c>
      <c r="V9" s="215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493" t="s">
        <v>476</v>
      </c>
      <c r="N10" s="491"/>
      <c r="O10" s="491"/>
      <c r="P10" s="491"/>
      <c r="Q10" s="491"/>
      <c r="R10" s="491"/>
      <c r="S10" s="491"/>
      <c r="T10" s="494"/>
      <c r="U10" s="217" t="str">
        <f t="shared" si="4"/>
        <v/>
      </c>
      <c r="V10" s="215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49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48" t="s">
        <v>291</v>
      </c>
      <c r="N11" s="348" t="s">
        <v>477</v>
      </c>
      <c r="O11" s="348" t="s">
        <v>517</v>
      </c>
      <c r="P11" s="348" t="s">
        <v>518</v>
      </c>
      <c r="Q11" s="348" t="s">
        <v>478</v>
      </c>
      <c r="R11" s="348" t="s">
        <v>526</v>
      </c>
      <c r="S11" s="366" t="s">
        <v>479</v>
      </c>
      <c r="T11" s="348" t="s">
        <v>480</v>
      </c>
      <c r="U11" s="351" t="str">
        <f t="shared" si="4"/>
        <v/>
      </c>
      <c r="V11" s="215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49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5" t="s">
        <v>21</v>
      </c>
      <c r="N12" s="355">
        <f>IF(MEMORIA_RESULTADOS!$T$31="",COUNTIFS($C$2:$C$5001,$M12,$G$2:$G$5001,"Sim"),COUNTIFS($C$2:$C$5001,$M12,$G$2:$G$5001,"Sim",$B$2:$B$5001,"&lt;="&amp;MEMORIA_RESULTADOS!$T$31))</f>
        <v>0</v>
      </c>
      <c r="O12" s="356">
        <f>IF(MEMORIA_RESULTADOS!$T$31="",SUMIFS($D$2:$D$5001,$C$2:$C$5001,$M12,$G$2:$G$5001,"Sim"),SUMIFS($D$2:$D$5001,$C$2:$C$5001,$M12,$G$2:$G$5001,"Sim",$B$2:$B$5001,"&lt;="&amp;MEMORIA_RESULTADOS!$T$31))</f>
        <v>0</v>
      </c>
      <c r="P12" s="356">
        <f>IF(MEMORIA_RESULTADOS!$T$31="",SUMIFS($U$2:$U$5001,$C$2:$C$5001,$M12,$G$2:$G$5001,"Sim"),SUMIFS($U$2:$U$5001,$C$2:$C$5001,$M12,$G$2:$G$5001,"Sim",$B$2:$B$5001,"&lt;="&amp;MEMORIA_RESULTADOS!$T$31))</f>
        <v>0</v>
      </c>
      <c r="Q12" s="356">
        <f>IF(MEMORIA_RESULTADOS!$T$31="",SUMIFS($H$2:$H$5001,$C$2:$C$5001,$M12,$G$2:$G$5001,"Sim"),SUMIFS($H$2:$H$5001,$C$2:$C$5001,$M12,$G$2:$G$5001,"Sim",$B$2:$B$5001,"&lt;="&amp;MEMORIA_RESULTADOS!$T$31))</f>
        <v>0</v>
      </c>
      <c r="R12" s="356">
        <f>IF(MEMORIA_RESULTADOS!$T$31="",SUMIFS($I$2:$I$5001,$C$2:$C$5001,$M12),SUMIFS($I$2:$I$5001,$C$2:$C$5001,$M12,$B$2:$B$5001,"&lt;="&amp;MEMORIA_RESULTADOS!$T$31))</f>
        <v>0</v>
      </c>
      <c r="S12" s="356">
        <f>IF(MEMORIA_RESULTADOS!$T$31="",SUMIFS($J$2:$J$5001,$C$2:$C$5001,$M12),SUMIFS($J$2:$J$5001,$C$2:$C$5001,$M12,$B$2:$B$5001,"&lt;="&amp;MEMORIA_RESULTADOS!$T$31))</f>
        <v>0</v>
      </c>
      <c r="T12" s="356">
        <f>IF(MEMORIA_RESULTADOS!$T$31="",0,SUMIFS($D$2:$D$5001,$C$2:$C$5001,$M12,$B$2:$B$5001,"&gt;"&amp;MEMORIA_RESULTADOS!$T$31))</f>
        <v>0</v>
      </c>
      <c r="U12" s="351" t="str">
        <f t="shared" si="4"/>
        <v/>
      </c>
      <c r="V12" s="215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49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5" t="s">
        <v>22</v>
      </c>
      <c r="N13" s="355">
        <f>IF(MEMORIA_RESULTADOS!$T$31="",COUNTIFS($C$2:$C$5001,$M13,$G$2:$G$5001,"Sim"),COUNTIFS($C$2:$C$5001,$M13,$G$2:$G$5001,"Sim",$B$2:$B$5001,"&lt;="&amp;MEMORIA_RESULTADOS!$T$31))</f>
        <v>0</v>
      </c>
      <c r="O13" s="356">
        <f>IF(MEMORIA_RESULTADOS!$T$31="",SUMIFS($D$2:$D$5001,$C$2:$C$5001,$M13,$G$2:$G$5001,"Sim"),SUMIFS($D$2:$D$5001,$C$2:$C$5001,$M13,$G$2:$G$5001,"Sim",$B$2:$B$5001,"&lt;="&amp;MEMORIA_RESULTADOS!$T$31))</f>
        <v>0</v>
      </c>
      <c r="P13" s="356">
        <f>IF(MEMORIA_RESULTADOS!$T$31="",SUMIFS($U$2:$U$5001,$C$2:$C$5001,$M13,$G$2:$G$5001,"Sim"),SUMIFS($U$2:$U$5001,$C$2:$C$5001,$M13,$G$2:$G$5001,"Sim",$B$2:$B$5001,"&lt;="&amp;MEMORIA_RESULTADOS!$T$31))</f>
        <v>0</v>
      </c>
      <c r="Q13" s="356">
        <f>IF(MEMORIA_RESULTADOS!$T$31="",SUMIFS($H$2:$H$5001,$C$2:$C$5001,$M13,$G$2:$G$5001,"Sim"),SUMIFS($H$2:$H$5001,$C$2:$C$5001,$M13,$G$2:$G$5001,"Sim",$B$2:$B$5001,"&lt;="&amp;MEMORIA_RESULTADOS!$T$31))</f>
        <v>0</v>
      </c>
      <c r="R13" s="356">
        <f>IF(MEMORIA_RESULTADOS!$T$31="",SUMIFS($I$2:$I$5001,$C$2:$C$5001,$M13),SUMIFS($I$2:$I$5001,$C$2:$C$5001,$M13,$B$2:$B$5001,"&lt;="&amp;MEMORIA_RESULTADOS!$T$31))</f>
        <v>0</v>
      </c>
      <c r="S13" s="356">
        <f>IF(MEMORIA_RESULTADOS!$T$31="",SUMIFS($J$2:$J$5001,$C$2:$C$5001,$M13),SUMIFS($J$2:$J$5001,$C$2:$C$5001,$M13,$B$2:$B$5001,"&lt;="&amp;MEMORIA_RESULTADOS!$T$31))</f>
        <v>0</v>
      </c>
      <c r="T13" s="356">
        <f>IF(MEMORIA_RESULTADOS!$T$31="",0,SUMIFS($D$2:$D$5001,$C$2:$C$5001,$M13,$B$2:$B$5001,"&gt;"&amp;MEMORIA_RESULTADOS!$T$31))</f>
        <v>0</v>
      </c>
      <c r="U13" s="351" t="str">
        <f t="shared" si="4"/>
        <v/>
      </c>
      <c r="V13" s="215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49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5" t="s">
        <v>23</v>
      </c>
      <c r="N14" s="355">
        <f>IF(MEMORIA_RESULTADOS!$T$31="",COUNTIFS($C$2:$C$5001,$M14,$G$2:$G$5001,"Sim"),COUNTIFS($C$2:$C$5001,$M14,$G$2:$G$5001,"Sim",$B$2:$B$5001,"&lt;="&amp;MEMORIA_RESULTADOS!$T$31))</f>
        <v>0</v>
      </c>
      <c r="O14" s="356">
        <f>IF(MEMORIA_RESULTADOS!$T$31="",SUMIFS($D$2:$D$5001,$C$2:$C$5001,$M14,$G$2:$G$5001,"Sim"),SUMIFS($D$2:$D$5001,$C$2:$C$5001,$M14,$G$2:$G$5001,"Sim",$B$2:$B$5001,"&lt;="&amp;MEMORIA_RESULTADOS!$T$31))</f>
        <v>0</v>
      </c>
      <c r="P14" s="356">
        <f>IF(MEMORIA_RESULTADOS!$T$31="",SUMIFS($U$2:$U$5001,$C$2:$C$5001,$M14,$G$2:$G$5001,"Sim"),SUMIFS($U$2:$U$5001,$C$2:$C$5001,$M14,$G$2:$G$5001,"Sim",$B$2:$B$5001,"&lt;="&amp;MEMORIA_RESULTADOS!$T$31))</f>
        <v>0</v>
      </c>
      <c r="Q14" s="356">
        <f>IF(MEMORIA_RESULTADOS!$T$31="",SUMIFS($H$2:$H$5001,$C$2:$C$5001,$M14,$G$2:$G$5001,"Sim"),SUMIFS($H$2:$H$5001,$C$2:$C$5001,$M14,$G$2:$G$5001,"Sim",$B$2:$B$5001,"&lt;="&amp;MEMORIA_RESULTADOS!$T$31))</f>
        <v>0</v>
      </c>
      <c r="R14" s="356">
        <f>IF(MEMORIA_RESULTADOS!$T$31="",SUMIFS($I$2:$I$5001,$C$2:$C$5001,$M14),SUMIFS($I$2:$I$5001,$C$2:$C$5001,$M14,$B$2:$B$5001,"&lt;="&amp;MEMORIA_RESULTADOS!$T$31))</f>
        <v>0</v>
      </c>
      <c r="S14" s="356">
        <f>IF(MEMORIA_RESULTADOS!$T$31="",SUMIFS($J$2:$J$5001,$C$2:$C$5001,$M14),SUMIFS($J$2:$J$5001,$C$2:$C$5001,$M14,$B$2:$B$5001,"&lt;="&amp;MEMORIA_RESULTADOS!$T$31))</f>
        <v>0</v>
      </c>
      <c r="T14" s="356">
        <f>IF(MEMORIA_RESULTADOS!$T$31="",0,SUMIFS($D$2:$D$5001,$C$2:$C$5001,$M14,$B$2:$B$5001,"&gt;"&amp;MEMORIA_RESULTADOS!$T$31))</f>
        <v>0</v>
      </c>
      <c r="U14" s="351" t="str">
        <f t="shared" si="4"/>
        <v/>
      </c>
      <c r="V14" s="215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49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5" t="s">
        <v>24</v>
      </c>
      <c r="N15" s="355">
        <f>IF(MEMORIA_RESULTADOS!$T$31="",COUNTIFS($C$2:$C$5001,$M15,$G$2:$G$5001,"Sim"),COUNTIFS($C$2:$C$5001,$M15,$G$2:$G$5001,"Sim",$B$2:$B$5001,"&lt;="&amp;MEMORIA_RESULTADOS!$T$31))</f>
        <v>0</v>
      </c>
      <c r="O15" s="356">
        <f>IF(MEMORIA_RESULTADOS!$T$31="",SUMIFS($D$2:$D$5001,$C$2:$C$5001,$M15,$G$2:$G$5001,"Sim"),SUMIFS($D$2:$D$5001,$C$2:$C$5001,$M15,$G$2:$G$5001,"Sim",$B$2:$B$5001,"&lt;="&amp;MEMORIA_RESULTADOS!$T$31))</f>
        <v>0</v>
      </c>
      <c r="P15" s="356">
        <f>IF(MEMORIA_RESULTADOS!$T$31="",SUMIFS($U$2:$U$5001,$C$2:$C$5001,$M15,$G$2:$G$5001,"Sim"),SUMIFS($U$2:$U$5001,$C$2:$C$5001,$M15,$G$2:$G$5001,"Sim",$B$2:$B$5001,"&lt;="&amp;MEMORIA_RESULTADOS!$T$31))</f>
        <v>0</v>
      </c>
      <c r="Q15" s="356">
        <f>IF(MEMORIA_RESULTADOS!$T$31="",SUMIFS($H$2:$H$5001,$C$2:$C$5001,$M15,$G$2:$G$5001,"Sim"),SUMIFS($H$2:$H$5001,$C$2:$C$5001,$M15,$G$2:$G$5001,"Sim",$B$2:$B$5001,"&lt;="&amp;MEMORIA_RESULTADOS!$T$31))</f>
        <v>0</v>
      </c>
      <c r="R15" s="356">
        <f>IF(MEMORIA_RESULTADOS!$T$31="",SUMIFS($I$2:$I$5001,$C$2:$C$5001,$M15),SUMIFS($I$2:$I$5001,$C$2:$C$5001,$M15,$B$2:$B$5001,"&lt;="&amp;MEMORIA_RESULTADOS!$T$31))</f>
        <v>0</v>
      </c>
      <c r="S15" s="356">
        <f>IF(MEMORIA_RESULTADOS!$T$31="",SUMIFS($J$2:$J$5001,$C$2:$C$5001,$M15),SUMIFS($J$2:$J$5001,$C$2:$C$5001,$M15,$B$2:$B$5001,"&lt;="&amp;MEMORIA_RESULTADOS!$T$31))</f>
        <v>0</v>
      </c>
      <c r="T15" s="356">
        <f>IF(MEMORIA_RESULTADOS!$T$31="",0,SUMIFS($D$2:$D$5001,$C$2:$C$5001,$M15,$B$2:$B$5001,"&gt;"&amp;MEMORIA_RESULTADOS!$T$31))</f>
        <v>0</v>
      </c>
      <c r="U15" s="351" t="str">
        <f t="shared" si="4"/>
        <v/>
      </c>
      <c r="V15" s="215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49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5" t="s">
        <v>25</v>
      </c>
      <c r="N16" s="355">
        <f>IF(MEMORIA_RESULTADOS!$T$31="",COUNTIFS($C$2:$C$5001,$M16,$G$2:$G$5001,"Sim"),COUNTIFS($C$2:$C$5001,$M16,$G$2:$G$5001,"Sim",$B$2:$B$5001,"&lt;="&amp;MEMORIA_RESULTADOS!$T$31))</f>
        <v>0</v>
      </c>
      <c r="O16" s="356">
        <f>IF(MEMORIA_RESULTADOS!$T$31="",SUMIFS($D$2:$D$5001,$C$2:$C$5001,$M16,$G$2:$G$5001,"Sim"),SUMIFS($D$2:$D$5001,$C$2:$C$5001,$M16,$G$2:$G$5001,"Sim",$B$2:$B$5001,"&lt;="&amp;MEMORIA_RESULTADOS!$T$31))</f>
        <v>0</v>
      </c>
      <c r="P16" s="356">
        <f>IF(MEMORIA_RESULTADOS!$T$31="",SUMIFS($U$2:$U$5001,$C$2:$C$5001,$M16,$G$2:$G$5001,"Sim"),SUMIFS($U$2:$U$5001,$C$2:$C$5001,$M16,$G$2:$G$5001,"Sim",$B$2:$B$5001,"&lt;="&amp;MEMORIA_RESULTADOS!$T$31))</f>
        <v>0</v>
      </c>
      <c r="Q16" s="356">
        <f>IF(MEMORIA_RESULTADOS!$T$31="",SUMIFS($H$2:$H$5001,$C$2:$C$5001,$M16,$G$2:$G$5001,"Sim"),SUMIFS($H$2:$H$5001,$C$2:$C$5001,$M16,$G$2:$G$5001,"Sim",$B$2:$B$5001,"&lt;="&amp;MEMORIA_RESULTADOS!$T$31))</f>
        <v>0</v>
      </c>
      <c r="R16" s="356">
        <f>IF(MEMORIA_RESULTADOS!$T$31="",SUMIFS($I$2:$I$5001,$C$2:$C$5001,$M16),SUMIFS($I$2:$I$5001,$C$2:$C$5001,$M16,$B$2:$B$5001,"&lt;="&amp;MEMORIA_RESULTADOS!$T$31))</f>
        <v>0</v>
      </c>
      <c r="S16" s="356">
        <f>IF(MEMORIA_RESULTADOS!$T$31="",SUMIFS($J$2:$J$5001,$C$2:$C$5001,$M16),SUMIFS($J$2:$J$5001,$C$2:$C$5001,$M16,$B$2:$B$5001,"&lt;="&amp;MEMORIA_RESULTADOS!$T$31))</f>
        <v>0</v>
      </c>
      <c r="T16" s="356">
        <f>IF(MEMORIA_RESULTADOS!$T$31="",0,SUMIFS($D$2:$D$5001,$C$2:$C$5001,$M16,$B$2:$B$5001,"&gt;"&amp;MEMORIA_RESULTADOS!$T$31))</f>
        <v>0</v>
      </c>
      <c r="U16" s="351" t="str">
        <f t="shared" si="4"/>
        <v/>
      </c>
      <c r="V16" s="215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49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2" t="s">
        <v>519</v>
      </c>
      <c r="N17" s="367">
        <f>IF(MEMORIA_RESULTADOS!$T$31="",COUNTIF($G$2:$G$5001,"Sim")-SUM(N12:N16),COUNTIFS($G$2:$G$5001,"Sim",$B$2:$B$5001,"&lt;="&amp;MEMORIA_RESULTADOS!$T$31)-SUM(N12:N16))</f>
        <v>0</v>
      </c>
      <c r="O17" s="368">
        <f>IF(MEMORIA_RESULTADOS!$T$31="",SUMIFS($D$2:$D$5001,$G$2:$G$5001,"Sim")-SUM(O12:O16),SUMIFS($D$2:$D$5001,$G$2:$G$5001,"Sim",$B$2:$B$5001,"&lt;="&amp;MEMORIA_RESULTADOS!$T$31)-SUM(O12:O16))</f>
        <v>0</v>
      </c>
      <c r="P17" s="368">
        <f>IF(MEMORIA_RESULTADOS!$T$31="",SUMIFS($U$2:$U$5001,$G$2:$G$5001,"Sim")-SUM(P12:P16),SUMIFS($U$2:$U$5001,$G$2:$G$5001,"Sim",$B$2:$B$5001,"&lt;="&amp;MEMORIA_RESULTADOS!$T$31)-SUM(P12:P16))</f>
        <v>0</v>
      </c>
      <c r="Q17" s="368">
        <f>IF(MEMORIA_RESULTADOS!$T$31="",SUMIFS($H$2:$H$5001,$G$2:$G$5001,"Sim")-SUM(Q12:Q16),SUMIFS($H$2:$H$5001,$G$2:$G$5001,"Sim",$B$2:$B$5001,"&lt;="&amp;MEMORIA_RESULTADOS!$T$31)-SUM(Q12:Q16))</f>
        <v>0</v>
      </c>
      <c r="R17" s="368">
        <f>IF(MEMORIA_RESULTADOS!$T$31="",SUM($I$2:$I$5001)-SUM(R12:R16),SUMIFS($I$2:$I$5001,$B$2:$B$5001,"&lt;="&amp;MEMORIA_RESULTADOS!$T$31)-SUM(R12:R16))</f>
        <v>0</v>
      </c>
      <c r="S17" s="368">
        <f>IF(MEMORIA_RESULTADOS!$T$31="",SUM($J$2:$J$5001)-SUM(S12:S16),SUMIFS($J$2:$J$5001,$B$2:$B$5001,"&lt;="&amp;MEMORIA_RESULTADOS!$T$31)-SUM(S12:S16))</f>
        <v>0</v>
      </c>
      <c r="T17" s="368">
        <f>IF(MEMORIA_RESULTADOS!$T$31="",0,SUMIFS($D$2:$D$5001,$B$2:$B$5001,"&gt;"&amp;MEMORIA_RESULTADOS!$T$31)-SUM(T12:T16))</f>
        <v>0</v>
      </c>
      <c r="U17" s="351" t="str">
        <f t="shared" si="4"/>
        <v/>
      </c>
      <c r="V17" s="215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49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3" t="s">
        <v>26</v>
      </c>
      <c r="N18" s="383">
        <f t="shared" ref="N18:T18" si="6">SUM(N12:N17)</f>
        <v>0</v>
      </c>
      <c r="O18" s="384">
        <f t="shared" si="6"/>
        <v>0</v>
      </c>
      <c r="P18" s="384">
        <f t="shared" si="6"/>
        <v>0</v>
      </c>
      <c r="Q18" s="384">
        <f t="shared" si="6"/>
        <v>0</v>
      </c>
      <c r="R18" s="384">
        <f t="shared" si="6"/>
        <v>0</v>
      </c>
      <c r="S18" s="386">
        <f t="shared" si="6"/>
        <v>0</v>
      </c>
      <c r="T18" s="384">
        <f t="shared" si="6"/>
        <v>0</v>
      </c>
      <c r="U18" s="351" t="str">
        <f t="shared" si="4"/>
        <v/>
      </c>
      <c r="V18" s="215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49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501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501"/>
      <c r="O19" s="501"/>
      <c r="P19" s="501"/>
      <c r="Q19" s="501"/>
      <c r="R19" s="501"/>
      <c r="S19" s="502">
        <f>ROUND(N($Q$18)+N(MEMORIA_RESULTADOS!$T$39),2)</f>
        <v>0</v>
      </c>
      <c r="T19" s="502"/>
      <c r="U19" s="351" t="str">
        <f t="shared" si="4"/>
        <v/>
      </c>
      <c r="V19" s="215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495" t="s">
        <v>481</v>
      </c>
      <c r="N20" s="496"/>
      <c r="O20" s="496"/>
      <c r="P20" s="496"/>
      <c r="Q20" s="496"/>
      <c r="R20" s="496"/>
      <c r="S20" s="496"/>
      <c r="T20" s="497"/>
      <c r="U20" s="217" t="str">
        <f t="shared" si="4"/>
        <v/>
      </c>
      <c r="V20" s="215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98" t="s">
        <v>482</v>
      </c>
      <c r="N21" s="499"/>
      <c r="O21" s="499"/>
      <c r="P21" s="499"/>
      <c r="Q21" s="499"/>
      <c r="R21" s="499"/>
      <c r="S21" s="499"/>
      <c r="T21" s="500"/>
      <c r="U21" s="217" t="str">
        <f t="shared" si="4"/>
        <v/>
      </c>
      <c r="V21" s="215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98" t="s">
        <v>520</v>
      </c>
      <c r="N22" s="499"/>
      <c r="O22" s="499"/>
      <c r="P22" s="499"/>
      <c r="Q22" s="499"/>
      <c r="R22" s="499"/>
      <c r="S22" s="499"/>
      <c r="T22" s="500"/>
      <c r="U22" s="217" t="str">
        <f t="shared" si="4"/>
        <v/>
      </c>
      <c r="V22" s="215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98" t="s">
        <v>483</v>
      </c>
      <c r="N23" s="499"/>
      <c r="O23" s="499"/>
      <c r="P23" s="499"/>
      <c r="Q23" s="499"/>
      <c r="R23" s="499"/>
      <c r="S23" s="499"/>
      <c r="T23" s="500"/>
      <c r="U23" s="217" t="str">
        <f t="shared" si="4"/>
        <v/>
      </c>
      <c r="V23" s="215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98" t="s">
        <v>484</v>
      </c>
      <c r="N24" s="499"/>
      <c r="O24" s="499"/>
      <c r="P24" s="499"/>
      <c r="Q24" s="499"/>
      <c r="R24" s="499"/>
      <c r="S24" s="499"/>
      <c r="T24" s="500"/>
      <c r="U24" s="217" t="str">
        <f t="shared" si="4"/>
        <v/>
      </c>
      <c r="V24" s="215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98" t="s">
        <v>485</v>
      </c>
      <c r="N25" s="499"/>
      <c r="O25" s="499"/>
      <c r="P25" s="499"/>
      <c r="Q25" s="499"/>
      <c r="R25" s="499"/>
      <c r="S25" s="499"/>
      <c r="T25" s="500"/>
      <c r="U25" s="217" t="str">
        <f t="shared" si="4"/>
        <v/>
      </c>
      <c r="V25" s="215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98" t="s">
        <v>486</v>
      </c>
      <c r="N26" s="499"/>
      <c r="O26" s="499"/>
      <c r="P26" s="499"/>
      <c r="Q26" s="499"/>
      <c r="R26" s="499"/>
      <c r="S26" s="499"/>
      <c r="T26" s="500"/>
      <c r="U26" s="217" t="str">
        <f t="shared" si="4"/>
        <v/>
      </c>
      <c r="V26" s="215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98" t="s">
        <v>521</v>
      </c>
      <c r="N27" s="499"/>
      <c r="O27" s="499"/>
      <c r="P27" s="499"/>
      <c r="Q27" s="499"/>
      <c r="R27" s="499"/>
      <c r="S27" s="499"/>
      <c r="T27" s="500"/>
      <c r="U27" s="217" t="str">
        <f t="shared" si="4"/>
        <v/>
      </c>
      <c r="V27" s="215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98" t="s">
        <v>522</v>
      </c>
      <c r="N28" s="499"/>
      <c r="O28" s="499"/>
      <c r="P28" s="499"/>
      <c r="Q28" s="499"/>
      <c r="R28" s="499"/>
      <c r="S28" s="499"/>
      <c r="T28" s="500"/>
      <c r="U28" s="217" t="str">
        <f t="shared" si="4"/>
        <v/>
      </c>
      <c r="V28" s="215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98" t="s">
        <v>487</v>
      </c>
      <c r="N29" s="499"/>
      <c r="O29" s="499"/>
      <c r="P29" s="499"/>
      <c r="Q29" s="499"/>
      <c r="R29" s="499"/>
      <c r="S29" s="499"/>
      <c r="T29" s="500"/>
      <c r="U29" s="217" t="str">
        <f t="shared" si="4"/>
        <v/>
      </c>
      <c r="V29" s="215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4"/>
      <c r="U30" s="217" t="str">
        <f t="shared" si="4"/>
        <v/>
      </c>
      <c r="V30" s="215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4"/>
      <c r="U31" s="217" t="str">
        <f t="shared" si="4"/>
        <v/>
      </c>
      <c r="V31" s="215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4"/>
      <c r="U32" s="217" t="str">
        <f t="shared" si="4"/>
        <v/>
      </c>
      <c r="V32" s="215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4"/>
      <c r="U33" s="217" t="str">
        <f t="shared" si="4"/>
        <v/>
      </c>
      <c r="V33" s="215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4"/>
      <c r="U34" s="217" t="str">
        <f t="shared" si="4"/>
        <v/>
      </c>
      <c r="V34" s="215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4"/>
      <c r="U35" s="217" t="str">
        <f t="shared" si="4"/>
        <v/>
      </c>
      <c r="V35" s="215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4"/>
      <c r="U36" s="217" t="str">
        <f t="shared" si="4"/>
        <v/>
      </c>
      <c r="V36" s="215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4"/>
      <c r="U37" s="217" t="str">
        <f t="shared" si="4"/>
        <v/>
      </c>
      <c r="V37" s="215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4"/>
      <c r="U38" s="217" t="str">
        <f t="shared" si="4"/>
        <v/>
      </c>
      <c r="V38" s="215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4"/>
      <c r="U39" s="217" t="str">
        <f t="shared" si="4"/>
        <v/>
      </c>
      <c r="V39" s="215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4"/>
      <c r="U40" s="217" t="str">
        <f t="shared" si="4"/>
        <v/>
      </c>
      <c r="V40" s="215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4"/>
      <c r="U41" s="217" t="str">
        <f t="shared" si="4"/>
        <v/>
      </c>
      <c r="V41" s="215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4"/>
      <c r="U42" s="217" t="str">
        <f t="shared" si="4"/>
        <v/>
      </c>
      <c r="V42" s="215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4"/>
      <c r="U43" s="217" t="str">
        <f t="shared" si="4"/>
        <v/>
      </c>
      <c r="V43" s="215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4"/>
      <c r="U44" s="217" t="str">
        <f t="shared" si="4"/>
        <v/>
      </c>
      <c r="V44" s="215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4"/>
      <c r="U45" s="217" t="str">
        <f t="shared" si="4"/>
        <v/>
      </c>
      <c r="V45" s="215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4"/>
      <c r="U46" s="217" t="str">
        <f t="shared" si="4"/>
        <v/>
      </c>
      <c r="V46" s="215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4"/>
      <c r="U47" s="217" t="str">
        <f t="shared" si="4"/>
        <v/>
      </c>
      <c r="V47" s="215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4"/>
      <c r="U48" s="217" t="str">
        <f t="shared" si="4"/>
        <v/>
      </c>
      <c r="V48" s="215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4"/>
      <c r="U49" s="217" t="str">
        <f t="shared" si="4"/>
        <v/>
      </c>
      <c r="V49" s="215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4"/>
      <c r="U50" s="217" t="str">
        <f t="shared" si="4"/>
        <v/>
      </c>
      <c r="V50" s="215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4"/>
      <c r="U51" s="217" t="str">
        <f t="shared" si="4"/>
        <v/>
      </c>
      <c r="V51" s="215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4"/>
      <c r="U52" s="217" t="str">
        <f t="shared" si="4"/>
        <v/>
      </c>
      <c r="V52" s="215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4"/>
      <c r="U53" s="217" t="str">
        <f t="shared" si="4"/>
        <v/>
      </c>
      <c r="V53" s="215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4"/>
      <c r="U54" s="217" t="str">
        <f t="shared" si="4"/>
        <v/>
      </c>
      <c r="V54" s="215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4"/>
      <c r="U55" s="217" t="str">
        <f t="shared" si="4"/>
        <v/>
      </c>
      <c r="V55" s="215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4"/>
      <c r="U56" s="217" t="str">
        <f t="shared" si="4"/>
        <v/>
      </c>
      <c r="V56" s="215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4"/>
      <c r="U57" s="217" t="str">
        <f t="shared" si="4"/>
        <v/>
      </c>
      <c r="V57" s="215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4"/>
      <c r="U58" s="217" t="str">
        <f t="shared" si="4"/>
        <v/>
      </c>
      <c r="V58" s="215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4"/>
      <c r="U59" s="217" t="str">
        <f t="shared" si="4"/>
        <v/>
      </c>
      <c r="V59" s="215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4"/>
      <c r="U60" s="217" t="str">
        <f t="shared" si="4"/>
        <v/>
      </c>
      <c r="V60" s="215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4"/>
      <c r="U61" s="217" t="str">
        <f t="shared" si="4"/>
        <v/>
      </c>
      <c r="V61" s="215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4"/>
      <c r="U62" s="217" t="str">
        <f t="shared" si="4"/>
        <v/>
      </c>
      <c r="V62" s="215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4"/>
      <c r="U63" s="217" t="str">
        <f t="shared" si="4"/>
        <v/>
      </c>
      <c r="V63" s="215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4"/>
      <c r="U64" s="217" t="str">
        <f t="shared" si="4"/>
        <v/>
      </c>
      <c r="V64" s="215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4"/>
      <c r="U65" s="217" t="str">
        <f t="shared" si="4"/>
        <v/>
      </c>
      <c r="V65" s="215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4"/>
      <c r="U66" s="217" t="str">
        <f t="shared" ref="U66:U129" si="11">IF(OR($D66="",$H66=""),"",ROUND($D66+$H66,2))</f>
        <v/>
      </c>
      <c r="V66" s="215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4"/>
      <c r="U67" s="217" t="str">
        <f t="shared" si="11"/>
        <v/>
      </c>
      <c r="V67" s="215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4"/>
      <c r="U68" s="217" t="str">
        <f t="shared" si="11"/>
        <v/>
      </c>
      <c r="V68" s="215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4"/>
      <c r="U69" s="217" t="str">
        <f t="shared" si="11"/>
        <v/>
      </c>
      <c r="V69" s="215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4"/>
      <c r="U70" s="217" t="str">
        <f t="shared" si="11"/>
        <v/>
      </c>
      <c r="V70" s="215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4"/>
      <c r="U71" s="217" t="str">
        <f t="shared" si="11"/>
        <v/>
      </c>
      <c r="V71" s="215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4"/>
      <c r="U72" s="217" t="str">
        <f t="shared" si="11"/>
        <v/>
      </c>
      <c r="V72" s="215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4"/>
      <c r="U73" s="217" t="str">
        <f t="shared" si="11"/>
        <v/>
      </c>
      <c r="V73" s="215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4"/>
      <c r="U74" s="217" t="str">
        <f t="shared" si="11"/>
        <v/>
      </c>
      <c r="V74" s="215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4"/>
      <c r="U75" s="217" t="str">
        <f t="shared" si="11"/>
        <v/>
      </c>
      <c r="V75" s="215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4"/>
      <c r="U76" s="217" t="str">
        <f t="shared" si="11"/>
        <v/>
      </c>
      <c r="V76" s="215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4"/>
      <c r="U77" s="217" t="str">
        <f t="shared" si="11"/>
        <v/>
      </c>
      <c r="V77" s="215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4"/>
      <c r="U78" s="217" t="str">
        <f t="shared" si="11"/>
        <v/>
      </c>
      <c r="V78" s="215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4"/>
      <c r="U79" s="217" t="str">
        <f t="shared" si="11"/>
        <v/>
      </c>
      <c r="V79" s="215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4"/>
      <c r="U80" s="217" t="str">
        <f t="shared" si="11"/>
        <v/>
      </c>
      <c r="V80" s="215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4"/>
      <c r="U81" s="217" t="str">
        <f t="shared" si="11"/>
        <v/>
      </c>
      <c r="V81" s="215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4"/>
      <c r="U82" s="217" t="str">
        <f t="shared" si="11"/>
        <v/>
      </c>
      <c r="V82" s="215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4"/>
      <c r="U83" s="217" t="str">
        <f t="shared" si="11"/>
        <v/>
      </c>
      <c r="V83" s="215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4"/>
      <c r="U84" s="217" t="str">
        <f t="shared" si="11"/>
        <v/>
      </c>
      <c r="V84" s="215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4"/>
      <c r="U85" s="217" t="str">
        <f t="shared" si="11"/>
        <v/>
      </c>
      <c r="V85" s="215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4"/>
      <c r="U86" s="217" t="str">
        <f t="shared" si="11"/>
        <v/>
      </c>
      <c r="V86" s="215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4"/>
      <c r="U87" s="217" t="str">
        <f t="shared" si="11"/>
        <v/>
      </c>
      <c r="V87" s="215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4"/>
      <c r="U88" s="217" t="str">
        <f t="shared" si="11"/>
        <v/>
      </c>
      <c r="V88" s="215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4"/>
      <c r="U89" s="217" t="str">
        <f t="shared" si="11"/>
        <v/>
      </c>
      <c r="V89" s="215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4"/>
      <c r="U90" s="217" t="str">
        <f t="shared" si="11"/>
        <v/>
      </c>
      <c r="V90" s="215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4"/>
      <c r="U91" s="217" t="str">
        <f t="shared" si="11"/>
        <v/>
      </c>
      <c r="V91" s="215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4"/>
      <c r="U92" s="217" t="str">
        <f t="shared" si="11"/>
        <v/>
      </c>
      <c r="V92" s="215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4"/>
      <c r="U93" s="217" t="str">
        <f t="shared" si="11"/>
        <v/>
      </c>
      <c r="V93" s="215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4"/>
      <c r="U94" s="217" t="str">
        <f t="shared" si="11"/>
        <v/>
      </c>
      <c r="V94" s="215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4"/>
      <c r="U95" s="217" t="str">
        <f t="shared" si="11"/>
        <v/>
      </c>
      <c r="V95" s="215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4"/>
      <c r="U96" s="217" t="str">
        <f t="shared" si="11"/>
        <v/>
      </c>
      <c r="V96" s="215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4"/>
      <c r="U97" s="217" t="str">
        <f t="shared" si="11"/>
        <v/>
      </c>
      <c r="V97" s="215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4"/>
      <c r="U98" s="217" t="str">
        <f t="shared" si="11"/>
        <v/>
      </c>
      <c r="V98" s="215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4"/>
      <c r="U99" s="217" t="str">
        <f t="shared" si="11"/>
        <v/>
      </c>
      <c r="V99" s="215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4"/>
      <c r="U100" s="217" t="str">
        <f t="shared" si="11"/>
        <v/>
      </c>
      <c r="V100" s="215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7" t="str">
        <f t="shared" si="11"/>
        <v/>
      </c>
      <c r="V101" s="215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7" t="str">
        <f t="shared" si="11"/>
        <v/>
      </c>
      <c r="V102" s="215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7" t="str">
        <f t="shared" si="11"/>
        <v/>
      </c>
      <c r="V103" s="215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7" t="str">
        <f t="shared" si="11"/>
        <v/>
      </c>
      <c r="V104" s="215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7" t="str">
        <f t="shared" si="11"/>
        <v/>
      </c>
      <c r="V105" s="215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7" t="str">
        <f t="shared" si="11"/>
        <v/>
      </c>
      <c r="V106" s="215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7" t="str">
        <f t="shared" si="11"/>
        <v/>
      </c>
      <c r="V107" s="215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7" t="str">
        <f t="shared" si="11"/>
        <v/>
      </c>
      <c r="V108" s="215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7" t="str">
        <f t="shared" si="11"/>
        <v/>
      </c>
      <c r="V109" s="215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7" t="str">
        <f t="shared" si="11"/>
        <v/>
      </c>
      <c r="V110" s="215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7" t="str">
        <f t="shared" si="11"/>
        <v/>
      </c>
      <c r="V111" s="215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7" t="str">
        <f t="shared" si="11"/>
        <v/>
      </c>
      <c r="V112" s="215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7" t="str">
        <f t="shared" si="11"/>
        <v/>
      </c>
      <c r="V113" s="215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7" t="str">
        <f t="shared" si="11"/>
        <v/>
      </c>
      <c r="V114" s="215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7" t="str">
        <f t="shared" si="11"/>
        <v/>
      </c>
      <c r="V115" s="215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7" t="str">
        <f t="shared" si="11"/>
        <v/>
      </c>
      <c r="V116" s="215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7" t="str">
        <f t="shared" si="11"/>
        <v/>
      </c>
      <c r="V117" s="215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7" t="str">
        <f t="shared" si="11"/>
        <v/>
      </c>
      <c r="V118" s="215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7" t="str">
        <f t="shared" si="11"/>
        <v/>
      </c>
      <c r="V119" s="215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7" t="str">
        <f t="shared" si="11"/>
        <v/>
      </c>
      <c r="V120" s="215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7" t="str">
        <f t="shared" si="11"/>
        <v/>
      </c>
      <c r="V121" s="215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7" t="str">
        <f t="shared" si="11"/>
        <v/>
      </c>
      <c r="V122" s="215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7" t="str">
        <f t="shared" si="11"/>
        <v/>
      </c>
      <c r="V123" s="215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7" t="str">
        <f t="shared" si="11"/>
        <v/>
      </c>
      <c r="V124" s="215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7" t="str">
        <f t="shared" si="11"/>
        <v/>
      </c>
      <c r="V125" s="215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7" t="str">
        <f t="shared" si="11"/>
        <v/>
      </c>
      <c r="V126" s="215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7" t="str">
        <f t="shared" si="11"/>
        <v/>
      </c>
      <c r="V127" s="215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7" t="str">
        <f t="shared" si="11"/>
        <v/>
      </c>
      <c r="V128" s="215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7" t="str">
        <f t="shared" si="11"/>
        <v/>
      </c>
      <c r="V129" s="215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7" t="str">
        <f t="shared" ref="U130:U193" si="16">IF(OR($D130="",$H130=""),"",ROUND($D130+$H130,2))</f>
        <v/>
      </c>
      <c r="V130" s="215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7" t="str">
        <f t="shared" si="16"/>
        <v/>
      </c>
      <c r="V131" s="215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7" t="str">
        <f t="shared" si="16"/>
        <v/>
      </c>
      <c r="V132" s="215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7" t="str">
        <f t="shared" si="16"/>
        <v/>
      </c>
      <c r="V133" s="215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7" t="str">
        <f t="shared" si="16"/>
        <v/>
      </c>
      <c r="V134" s="215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7" t="str">
        <f t="shared" si="16"/>
        <v/>
      </c>
      <c r="V135" s="215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7" t="str">
        <f t="shared" si="16"/>
        <v/>
      </c>
      <c r="V136" s="215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7" t="str">
        <f t="shared" si="16"/>
        <v/>
      </c>
      <c r="V137" s="215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7" t="str">
        <f t="shared" si="16"/>
        <v/>
      </c>
      <c r="V138" s="215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7" t="str">
        <f t="shared" si="16"/>
        <v/>
      </c>
      <c r="V139" s="215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7" t="str">
        <f t="shared" si="16"/>
        <v/>
      </c>
      <c r="V140" s="215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7" t="str">
        <f t="shared" si="16"/>
        <v/>
      </c>
      <c r="V141" s="215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7" t="str">
        <f t="shared" si="16"/>
        <v/>
      </c>
      <c r="V142" s="215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7" t="str">
        <f t="shared" si="16"/>
        <v/>
      </c>
      <c r="V143" s="215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7" t="str">
        <f t="shared" si="16"/>
        <v/>
      </c>
      <c r="V144" s="215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7" t="str">
        <f t="shared" si="16"/>
        <v/>
      </c>
      <c r="V145" s="215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7" t="str">
        <f t="shared" si="16"/>
        <v/>
      </c>
      <c r="V146" s="215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7" t="str">
        <f t="shared" si="16"/>
        <v/>
      </c>
      <c r="V147" s="215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7" t="str">
        <f t="shared" si="16"/>
        <v/>
      </c>
      <c r="V148" s="215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7" t="str">
        <f t="shared" si="16"/>
        <v/>
      </c>
      <c r="V149" s="215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7" t="str">
        <f t="shared" si="16"/>
        <v/>
      </c>
      <c r="V150" s="215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7" t="str">
        <f t="shared" si="16"/>
        <v/>
      </c>
      <c r="V151" s="215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7" t="str">
        <f t="shared" si="16"/>
        <v/>
      </c>
      <c r="V152" s="215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7" t="str">
        <f t="shared" si="16"/>
        <v/>
      </c>
      <c r="V153" s="215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7" t="str">
        <f t="shared" si="16"/>
        <v/>
      </c>
      <c r="V154" s="215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7" t="str">
        <f t="shared" si="16"/>
        <v/>
      </c>
      <c r="V155" s="215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7" t="str">
        <f t="shared" si="16"/>
        <v/>
      </c>
      <c r="V156" s="215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7" t="str">
        <f t="shared" si="16"/>
        <v/>
      </c>
      <c r="V157" s="215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7" t="str">
        <f t="shared" si="16"/>
        <v/>
      </c>
      <c r="V158" s="215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7" t="str">
        <f t="shared" si="16"/>
        <v/>
      </c>
      <c r="V159" s="215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7" t="str">
        <f t="shared" si="16"/>
        <v/>
      </c>
      <c r="V160" s="215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7" t="str">
        <f t="shared" si="16"/>
        <v/>
      </c>
      <c r="V161" s="215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7" t="str">
        <f t="shared" si="16"/>
        <v/>
      </c>
      <c r="V162" s="215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7" t="str">
        <f t="shared" si="16"/>
        <v/>
      </c>
      <c r="V163" s="215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7" t="str">
        <f t="shared" si="16"/>
        <v/>
      </c>
      <c r="V164" s="215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7" t="str">
        <f t="shared" si="16"/>
        <v/>
      </c>
      <c r="V165" s="215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7" t="str">
        <f t="shared" si="16"/>
        <v/>
      </c>
      <c r="V166" s="215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7" t="str">
        <f t="shared" si="16"/>
        <v/>
      </c>
      <c r="V167" s="215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7" t="str">
        <f t="shared" si="16"/>
        <v/>
      </c>
      <c r="V168" s="215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7" t="str">
        <f t="shared" si="16"/>
        <v/>
      </c>
      <c r="V169" s="215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7" t="str">
        <f t="shared" si="16"/>
        <v/>
      </c>
      <c r="V170" s="215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7" t="str">
        <f t="shared" si="16"/>
        <v/>
      </c>
      <c r="V171" s="215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7" t="str">
        <f t="shared" si="16"/>
        <v/>
      </c>
      <c r="V172" s="215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7" t="str">
        <f t="shared" si="16"/>
        <v/>
      </c>
      <c r="V173" s="215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7" t="str">
        <f t="shared" si="16"/>
        <v/>
      </c>
      <c r="V174" s="215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7" t="str">
        <f t="shared" si="16"/>
        <v/>
      </c>
      <c r="V175" s="215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7" t="str">
        <f t="shared" si="16"/>
        <v/>
      </c>
      <c r="V176" s="215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7" t="str">
        <f t="shared" si="16"/>
        <v/>
      </c>
      <c r="V177" s="215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7" t="str">
        <f t="shared" si="16"/>
        <v/>
      </c>
      <c r="V178" s="215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7" t="str">
        <f t="shared" si="16"/>
        <v/>
      </c>
      <c r="V179" s="215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7" t="str">
        <f t="shared" si="16"/>
        <v/>
      </c>
      <c r="V180" s="215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7" t="str">
        <f t="shared" si="16"/>
        <v/>
      </c>
      <c r="V181" s="215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7" t="str">
        <f t="shared" si="16"/>
        <v/>
      </c>
      <c r="V182" s="215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7" t="str">
        <f t="shared" si="16"/>
        <v/>
      </c>
      <c r="V183" s="215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7" t="str">
        <f t="shared" si="16"/>
        <v/>
      </c>
      <c r="V184" s="215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7" t="str">
        <f t="shared" si="16"/>
        <v/>
      </c>
      <c r="V185" s="215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7" t="str">
        <f t="shared" si="16"/>
        <v/>
      </c>
      <c r="V186" s="215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7" t="str">
        <f t="shared" si="16"/>
        <v/>
      </c>
      <c r="V187" s="215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7" t="str">
        <f t="shared" si="16"/>
        <v/>
      </c>
      <c r="V188" s="215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7" t="str">
        <f t="shared" si="16"/>
        <v/>
      </c>
      <c r="V189" s="215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7" t="str">
        <f t="shared" si="16"/>
        <v/>
      </c>
      <c r="V190" s="215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7" t="str">
        <f t="shared" si="16"/>
        <v/>
      </c>
      <c r="V191" s="215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7" t="str">
        <f t="shared" si="16"/>
        <v/>
      </c>
      <c r="V192" s="215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7" t="str">
        <f t="shared" si="16"/>
        <v/>
      </c>
      <c r="V193" s="215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7" t="str">
        <f t="shared" ref="U194:U257" si="21">IF(OR($D194="",$H194=""),"",ROUND($D194+$H194,2))</f>
        <v/>
      </c>
      <c r="V194" s="215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7" t="str">
        <f t="shared" si="21"/>
        <v/>
      </c>
      <c r="V195" s="215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7" t="str">
        <f t="shared" si="21"/>
        <v/>
      </c>
      <c r="V196" s="215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7" t="str">
        <f t="shared" si="21"/>
        <v/>
      </c>
      <c r="V197" s="215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7" t="str">
        <f t="shared" si="21"/>
        <v/>
      </c>
      <c r="V198" s="215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7" t="str">
        <f t="shared" si="21"/>
        <v/>
      </c>
      <c r="V199" s="215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7" t="str">
        <f t="shared" si="21"/>
        <v/>
      </c>
      <c r="V200" s="215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7" t="str">
        <f t="shared" si="21"/>
        <v/>
      </c>
      <c r="V201" s="215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7" t="str">
        <f t="shared" si="21"/>
        <v/>
      </c>
      <c r="V202" s="215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7" t="str">
        <f t="shared" si="21"/>
        <v/>
      </c>
      <c r="V203" s="215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7" t="str">
        <f t="shared" si="21"/>
        <v/>
      </c>
      <c r="V204" s="215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7" t="str">
        <f t="shared" si="21"/>
        <v/>
      </c>
      <c r="V205" s="215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7" t="str">
        <f t="shared" si="21"/>
        <v/>
      </c>
      <c r="V206" s="215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7" t="str">
        <f t="shared" si="21"/>
        <v/>
      </c>
      <c r="V207" s="215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7" t="str">
        <f t="shared" si="21"/>
        <v/>
      </c>
      <c r="V208" s="215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7" t="str">
        <f t="shared" si="21"/>
        <v/>
      </c>
      <c r="V209" s="215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7" t="str">
        <f t="shared" si="21"/>
        <v/>
      </c>
      <c r="V210" s="215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7" t="str">
        <f t="shared" si="21"/>
        <v/>
      </c>
      <c r="V211" s="215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7" t="str">
        <f t="shared" si="21"/>
        <v/>
      </c>
      <c r="V212" s="215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7" t="str">
        <f t="shared" si="21"/>
        <v/>
      </c>
      <c r="V213" s="215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7" t="str">
        <f t="shared" si="21"/>
        <v/>
      </c>
      <c r="V214" s="215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7" t="str">
        <f t="shared" si="21"/>
        <v/>
      </c>
      <c r="V215" s="215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7" t="str">
        <f t="shared" si="21"/>
        <v/>
      </c>
      <c r="V216" s="215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7" t="str">
        <f t="shared" si="21"/>
        <v/>
      </c>
      <c r="V217" s="215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7" t="str">
        <f t="shared" si="21"/>
        <v/>
      </c>
      <c r="V218" s="215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7" t="str">
        <f t="shared" si="21"/>
        <v/>
      </c>
      <c r="V219" s="215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7" t="str">
        <f t="shared" si="21"/>
        <v/>
      </c>
      <c r="V220" s="215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7" t="str">
        <f t="shared" si="21"/>
        <v/>
      </c>
      <c r="V221" s="215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7" t="str">
        <f t="shared" si="21"/>
        <v/>
      </c>
      <c r="V222" s="215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7" t="str">
        <f t="shared" si="21"/>
        <v/>
      </c>
      <c r="V223" s="215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7" t="str">
        <f t="shared" si="21"/>
        <v/>
      </c>
      <c r="V224" s="215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7" t="str">
        <f t="shared" si="21"/>
        <v/>
      </c>
      <c r="V225" s="215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7" t="str">
        <f t="shared" si="21"/>
        <v/>
      </c>
      <c r="V226" s="215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7" t="str">
        <f t="shared" si="21"/>
        <v/>
      </c>
      <c r="V227" s="215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7" t="str">
        <f t="shared" si="21"/>
        <v/>
      </c>
      <c r="V228" s="215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7" t="str">
        <f t="shared" si="21"/>
        <v/>
      </c>
      <c r="V229" s="215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7" t="str">
        <f t="shared" si="21"/>
        <v/>
      </c>
      <c r="V230" s="215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7" t="str">
        <f t="shared" si="21"/>
        <v/>
      </c>
      <c r="V231" s="215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7" t="str">
        <f t="shared" si="21"/>
        <v/>
      </c>
      <c r="V232" s="215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7" t="str">
        <f t="shared" si="21"/>
        <v/>
      </c>
      <c r="V233" s="215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7" t="str">
        <f t="shared" si="21"/>
        <v/>
      </c>
      <c r="V234" s="215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7" t="str">
        <f t="shared" si="21"/>
        <v/>
      </c>
      <c r="V235" s="215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7" t="str">
        <f t="shared" si="21"/>
        <v/>
      </c>
      <c r="V236" s="215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7" t="str">
        <f t="shared" si="21"/>
        <v/>
      </c>
      <c r="V237" s="215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7" t="str">
        <f t="shared" si="21"/>
        <v/>
      </c>
      <c r="V238" s="215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7" t="str">
        <f t="shared" si="21"/>
        <v/>
      </c>
      <c r="V239" s="215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7" t="str">
        <f t="shared" si="21"/>
        <v/>
      </c>
      <c r="V240" s="215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7" t="str">
        <f t="shared" si="21"/>
        <v/>
      </c>
      <c r="V241" s="215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7" t="str">
        <f t="shared" si="21"/>
        <v/>
      </c>
      <c r="V242" s="215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7" t="str">
        <f t="shared" si="21"/>
        <v/>
      </c>
      <c r="V243" s="215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7" t="str">
        <f t="shared" si="21"/>
        <v/>
      </c>
      <c r="V244" s="215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7" t="str">
        <f t="shared" si="21"/>
        <v/>
      </c>
      <c r="V245" s="215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7" t="str">
        <f t="shared" si="21"/>
        <v/>
      </c>
      <c r="V246" s="215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7" t="str">
        <f t="shared" si="21"/>
        <v/>
      </c>
      <c r="V247" s="215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7" t="str">
        <f t="shared" si="21"/>
        <v/>
      </c>
      <c r="V248" s="215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7" t="str">
        <f t="shared" si="21"/>
        <v/>
      </c>
      <c r="V249" s="215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7" t="str">
        <f t="shared" si="21"/>
        <v/>
      </c>
      <c r="V250" s="215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7" t="str">
        <f t="shared" si="21"/>
        <v/>
      </c>
      <c r="V251" s="215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7" t="str">
        <f t="shared" si="21"/>
        <v/>
      </c>
      <c r="V252" s="215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7" t="str">
        <f t="shared" si="21"/>
        <v/>
      </c>
      <c r="V253" s="215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7" t="str">
        <f t="shared" si="21"/>
        <v/>
      </c>
      <c r="V254" s="215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7" t="str">
        <f t="shared" si="21"/>
        <v/>
      </c>
      <c r="V255" s="215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7" t="str">
        <f t="shared" si="21"/>
        <v/>
      </c>
      <c r="V256" s="215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7" t="str">
        <f t="shared" si="21"/>
        <v/>
      </c>
      <c r="V257" s="215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7" t="str">
        <f t="shared" ref="U258:U321" si="26">IF(OR($D258="",$H258=""),"",ROUND($D258+$H258,2))</f>
        <v/>
      </c>
      <c r="V258" s="215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7" t="str">
        <f t="shared" si="26"/>
        <v/>
      </c>
      <c r="V259" s="215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7" t="str">
        <f t="shared" si="26"/>
        <v/>
      </c>
      <c r="V260" s="215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7" t="str">
        <f t="shared" si="26"/>
        <v/>
      </c>
      <c r="V261" s="215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7" t="str">
        <f t="shared" si="26"/>
        <v/>
      </c>
      <c r="V262" s="215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7" t="str">
        <f t="shared" si="26"/>
        <v/>
      </c>
      <c r="V263" s="215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7" t="str">
        <f t="shared" si="26"/>
        <v/>
      </c>
      <c r="V264" s="215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7" t="str">
        <f t="shared" si="26"/>
        <v/>
      </c>
      <c r="V265" s="215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7" t="str">
        <f t="shared" si="26"/>
        <v/>
      </c>
      <c r="V266" s="215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7" t="str">
        <f t="shared" si="26"/>
        <v/>
      </c>
      <c r="V267" s="215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7" t="str">
        <f t="shared" si="26"/>
        <v/>
      </c>
      <c r="V268" s="215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7" t="str">
        <f t="shared" si="26"/>
        <v/>
      </c>
      <c r="V269" s="215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7" t="str">
        <f t="shared" si="26"/>
        <v/>
      </c>
      <c r="V270" s="215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7" t="str">
        <f t="shared" si="26"/>
        <v/>
      </c>
      <c r="V271" s="215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7" t="str">
        <f t="shared" si="26"/>
        <v/>
      </c>
      <c r="V272" s="215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7" t="str">
        <f t="shared" si="26"/>
        <v/>
      </c>
      <c r="V273" s="215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7" t="str">
        <f t="shared" si="26"/>
        <v/>
      </c>
      <c r="V274" s="215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7" t="str">
        <f t="shared" si="26"/>
        <v/>
      </c>
      <c r="V275" s="215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7" t="str">
        <f t="shared" si="26"/>
        <v/>
      </c>
      <c r="V276" s="215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7" t="str">
        <f t="shared" si="26"/>
        <v/>
      </c>
      <c r="V277" s="215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7" t="str">
        <f t="shared" si="26"/>
        <v/>
      </c>
      <c r="V278" s="215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7" t="str">
        <f t="shared" si="26"/>
        <v/>
      </c>
      <c r="V279" s="215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7" t="str">
        <f t="shared" si="26"/>
        <v/>
      </c>
      <c r="V280" s="215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7" t="str">
        <f t="shared" si="26"/>
        <v/>
      </c>
      <c r="V281" s="215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7" t="str">
        <f t="shared" si="26"/>
        <v/>
      </c>
      <c r="V282" s="215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7" t="str">
        <f t="shared" si="26"/>
        <v/>
      </c>
      <c r="V283" s="215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7" t="str">
        <f t="shared" si="26"/>
        <v/>
      </c>
      <c r="V284" s="215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7" t="str">
        <f t="shared" si="26"/>
        <v/>
      </c>
      <c r="V285" s="215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7" t="str">
        <f t="shared" si="26"/>
        <v/>
      </c>
      <c r="V286" s="215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7" t="str">
        <f t="shared" si="26"/>
        <v/>
      </c>
      <c r="V287" s="215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7" t="str">
        <f t="shared" si="26"/>
        <v/>
      </c>
      <c r="V288" s="215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7" t="str">
        <f t="shared" si="26"/>
        <v/>
      </c>
      <c r="V289" s="215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7" t="str">
        <f t="shared" si="26"/>
        <v/>
      </c>
      <c r="V290" s="215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7" t="str">
        <f t="shared" si="26"/>
        <v/>
      </c>
      <c r="V291" s="215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7" t="str">
        <f t="shared" si="26"/>
        <v/>
      </c>
      <c r="V292" s="215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7" t="str">
        <f t="shared" si="26"/>
        <v/>
      </c>
      <c r="V293" s="215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7" t="str">
        <f t="shared" si="26"/>
        <v/>
      </c>
      <c r="V294" s="215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7" t="str">
        <f t="shared" si="26"/>
        <v/>
      </c>
      <c r="V295" s="215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7" t="str">
        <f t="shared" si="26"/>
        <v/>
      </c>
      <c r="V296" s="215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7" t="str">
        <f t="shared" si="26"/>
        <v/>
      </c>
      <c r="V297" s="215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7" t="str">
        <f t="shared" si="26"/>
        <v/>
      </c>
      <c r="V298" s="215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7" t="str">
        <f t="shared" si="26"/>
        <v/>
      </c>
      <c r="V299" s="215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7" t="str">
        <f t="shared" si="26"/>
        <v/>
      </c>
      <c r="V300" s="215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7" t="str">
        <f t="shared" si="26"/>
        <v/>
      </c>
      <c r="V301" s="215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7" t="str">
        <f t="shared" si="26"/>
        <v/>
      </c>
      <c r="V302" s="215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7" t="str">
        <f t="shared" si="26"/>
        <v/>
      </c>
      <c r="V303" s="215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7" t="str">
        <f t="shared" si="26"/>
        <v/>
      </c>
      <c r="V304" s="215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7" t="str">
        <f t="shared" si="26"/>
        <v/>
      </c>
      <c r="V305" s="215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7" t="str">
        <f t="shared" si="26"/>
        <v/>
      </c>
      <c r="V306" s="215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7" t="str">
        <f t="shared" si="26"/>
        <v/>
      </c>
      <c r="V307" s="215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7" t="str">
        <f t="shared" si="26"/>
        <v/>
      </c>
      <c r="V308" s="215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7" t="str">
        <f t="shared" si="26"/>
        <v/>
      </c>
      <c r="V309" s="215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7" t="str">
        <f t="shared" si="26"/>
        <v/>
      </c>
      <c r="V310" s="215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7" t="str">
        <f t="shared" si="26"/>
        <v/>
      </c>
      <c r="V311" s="215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7" t="str">
        <f t="shared" si="26"/>
        <v/>
      </c>
      <c r="V312" s="215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7" t="str">
        <f t="shared" si="26"/>
        <v/>
      </c>
      <c r="V313" s="215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7" t="str">
        <f t="shared" si="26"/>
        <v/>
      </c>
      <c r="V314" s="215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7" t="str">
        <f t="shared" si="26"/>
        <v/>
      </c>
      <c r="V315" s="215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7" t="str">
        <f t="shared" si="26"/>
        <v/>
      </c>
      <c r="V316" s="215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7" t="str">
        <f t="shared" si="26"/>
        <v/>
      </c>
      <c r="V317" s="215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7" t="str">
        <f t="shared" si="26"/>
        <v/>
      </c>
      <c r="V318" s="215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7" t="str">
        <f t="shared" si="26"/>
        <v/>
      </c>
      <c r="V319" s="215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7" t="str">
        <f t="shared" si="26"/>
        <v/>
      </c>
      <c r="V320" s="215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7" t="str">
        <f t="shared" si="26"/>
        <v/>
      </c>
      <c r="V321" s="215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7" t="str">
        <f t="shared" ref="U322:U385" si="31">IF(OR($D322="",$H322=""),"",ROUND($D322+$H322,2))</f>
        <v/>
      </c>
      <c r="V322" s="215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7" t="str">
        <f t="shared" si="31"/>
        <v/>
      </c>
      <c r="V323" s="215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7" t="str">
        <f t="shared" si="31"/>
        <v/>
      </c>
      <c r="V324" s="215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7" t="str">
        <f t="shared" si="31"/>
        <v/>
      </c>
      <c r="V325" s="215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7" t="str">
        <f t="shared" si="31"/>
        <v/>
      </c>
      <c r="V326" s="215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7" t="str">
        <f t="shared" si="31"/>
        <v/>
      </c>
      <c r="V327" s="215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7" t="str">
        <f t="shared" si="31"/>
        <v/>
      </c>
      <c r="V328" s="215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7" t="str">
        <f t="shared" si="31"/>
        <v/>
      </c>
      <c r="V329" s="215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7" t="str">
        <f t="shared" si="31"/>
        <v/>
      </c>
      <c r="V330" s="215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7" t="str">
        <f t="shared" si="31"/>
        <v/>
      </c>
      <c r="V331" s="215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7" t="str">
        <f t="shared" si="31"/>
        <v/>
      </c>
      <c r="V332" s="215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7" t="str">
        <f t="shared" si="31"/>
        <v/>
      </c>
      <c r="V333" s="215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7" t="str">
        <f t="shared" si="31"/>
        <v/>
      </c>
      <c r="V334" s="215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7" t="str">
        <f t="shared" si="31"/>
        <v/>
      </c>
      <c r="V335" s="215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7" t="str">
        <f t="shared" si="31"/>
        <v/>
      </c>
      <c r="V336" s="215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7" t="str">
        <f t="shared" si="31"/>
        <v/>
      </c>
      <c r="V337" s="215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7" t="str">
        <f t="shared" si="31"/>
        <v/>
      </c>
      <c r="V338" s="215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7" t="str">
        <f t="shared" si="31"/>
        <v/>
      </c>
      <c r="V339" s="215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7" t="str">
        <f t="shared" si="31"/>
        <v/>
      </c>
      <c r="V340" s="215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7" t="str">
        <f t="shared" si="31"/>
        <v/>
      </c>
      <c r="V341" s="215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7" t="str">
        <f t="shared" si="31"/>
        <v/>
      </c>
      <c r="V342" s="215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7" t="str">
        <f t="shared" si="31"/>
        <v/>
      </c>
      <c r="V343" s="215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7" t="str">
        <f t="shared" si="31"/>
        <v/>
      </c>
      <c r="V344" s="215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7" t="str">
        <f t="shared" si="31"/>
        <v/>
      </c>
      <c r="V345" s="215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7" t="str">
        <f t="shared" si="31"/>
        <v/>
      </c>
      <c r="V346" s="215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7" t="str">
        <f t="shared" si="31"/>
        <v/>
      </c>
      <c r="V347" s="215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7" t="str">
        <f t="shared" si="31"/>
        <v/>
      </c>
      <c r="V348" s="215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7" t="str">
        <f t="shared" si="31"/>
        <v/>
      </c>
      <c r="V349" s="215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7" t="str">
        <f t="shared" si="31"/>
        <v/>
      </c>
      <c r="V350" s="215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7" t="str">
        <f t="shared" si="31"/>
        <v/>
      </c>
      <c r="V351" s="215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7" t="str">
        <f t="shared" si="31"/>
        <v/>
      </c>
      <c r="V352" s="215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7" t="str">
        <f t="shared" si="31"/>
        <v/>
      </c>
      <c r="V353" s="215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7" t="str">
        <f t="shared" si="31"/>
        <v/>
      </c>
      <c r="V354" s="215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7" t="str">
        <f t="shared" si="31"/>
        <v/>
      </c>
      <c r="V355" s="215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7" t="str">
        <f t="shared" si="31"/>
        <v/>
      </c>
      <c r="V356" s="215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7" t="str">
        <f t="shared" si="31"/>
        <v/>
      </c>
      <c r="V357" s="215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7" t="str">
        <f t="shared" si="31"/>
        <v/>
      </c>
      <c r="V358" s="215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7" t="str">
        <f t="shared" si="31"/>
        <v/>
      </c>
      <c r="V359" s="215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7" t="str">
        <f t="shared" si="31"/>
        <v/>
      </c>
      <c r="V360" s="215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7" t="str">
        <f t="shared" si="31"/>
        <v/>
      </c>
      <c r="V361" s="215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7" t="str">
        <f t="shared" si="31"/>
        <v/>
      </c>
      <c r="V362" s="215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7" t="str">
        <f t="shared" si="31"/>
        <v/>
      </c>
      <c r="V363" s="215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7" t="str">
        <f t="shared" si="31"/>
        <v/>
      </c>
      <c r="V364" s="215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7" t="str">
        <f t="shared" si="31"/>
        <v/>
      </c>
      <c r="V365" s="215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7" t="str">
        <f t="shared" si="31"/>
        <v/>
      </c>
      <c r="V366" s="215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7" t="str">
        <f t="shared" si="31"/>
        <v/>
      </c>
      <c r="V367" s="215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7" t="str">
        <f t="shared" si="31"/>
        <v/>
      </c>
      <c r="V368" s="215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7" t="str">
        <f t="shared" si="31"/>
        <v/>
      </c>
      <c r="V369" s="215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7" t="str">
        <f t="shared" si="31"/>
        <v/>
      </c>
      <c r="V370" s="215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7" t="str">
        <f t="shared" si="31"/>
        <v/>
      </c>
      <c r="V371" s="215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7" t="str">
        <f t="shared" si="31"/>
        <v/>
      </c>
      <c r="V372" s="215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7" t="str">
        <f t="shared" si="31"/>
        <v/>
      </c>
      <c r="V373" s="215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7" t="str">
        <f t="shared" si="31"/>
        <v/>
      </c>
      <c r="V374" s="215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7" t="str">
        <f t="shared" si="31"/>
        <v/>
      </c>
      <c r="V375" s="215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7" t="str">
        <f t="shared" si="31"/>
        <v/>
      </c>
      <c r="V376" s="215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7" t="str">
        <f t="shared" si="31"/>
        <v/>
      </c>
      <c r="V377" s="215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7" t="str">
        <f t="shared" si="31"/>
        <v/>
      </c>
      <c r="V378" s="215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7" t="str">
        <f t="shared" si="31"/>
        <v/>
      </c>
      <c r="V379" s="215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7" t="str">
        <f t="shared" si="31"/>
        <v/>
      </c>
      <c r="V380" s="215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7" t="str">
        <f t="shared" si="31"/>
        <v/>
      </c>
      <c r="V381" s="215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7" t="str">
        <f t="shared" si="31"/>
        <v/>
      </c>
      <c r="V382" s="215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7" t="str">
        <f t="shared" si="31"/>
        <v/>
      </c>
      <c r="V383" s="215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7" t="str">
        <f t="shared" si="31"/>
        <v/>
      </c>
      <c r="V384" s="215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7" t="str">
        <f t="shared" si="31"/>
        <v/>
      </c>
      <c r="V385" s="215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7" t="str">
        <f t="shared" ref="U386:U449" si="36">IF(OR($D386="",$H386=""),"",ROUND($D386+$H386,2))</f>
        <v/>
      </c>
      <c r="V386" s="215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7" t="str">
        <f t="shared" si="36"/>
        <v/>
      </c>
      <c r="V387" s="215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7" t="str">
        <f t="shared" si="36"/>
        <v/>
      </c>
      <c r="V388" s="215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7" t="str">
        <f t="shared" si="36"/>
        <v/>
      </c>
      <c r="V389" s="215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7" t="str">
        <f t="shared" si="36"/>
        <v/>
      </c>
      <c r="V390" s="215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7" t="str">
        <f t="shared" si="36"/>
        <v/>
      </c>
      <c r="V391" s="215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7" t="str">
        <f t="shared" si="36"/>
        <v/>
      </c>
      <c r="V392" s="215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7" t="str">
        <f t="shared" si="36"/>
        <v/>
      </c>
      <c r="V393" s="215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7" t="str">
        <f t="shared" si="36"/>
        <v/>
      </c>
      <c r="V394" s="215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7" t="str">
        <f t="shared" si="36"/>
        <v/>
      </c>
      <c r="V395" s="215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7" t="str">
        <f t="shared" si="36"/>
        <v/>
      </c>
      <c r="V396" s="215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7" t="str">
        <f t="shared" si="36"/>
        <v/>
      </c>
      <c r="V397" s="215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7" t="str">
        <f t="shared" si="36"/>
        <v/>
      </c>
      <c r="V398" s="215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7" t="str">
        <f t="shared" si="36"/>
        <v/>
      </c>
      <c r="V399" s="215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7" t="str">
        <f t="shared" si="36"/>
        <v/>
      </c>
      <c r="V400" s="215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7" t="str">
        <f t="shared" si="36"/>
        <v/>
      </c>
      <c r="V401" s="215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7" t="str">
        <f t="shared" si="36"/>
        <v/>
      </c>
      <c r="V402" s="215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7" t="str">
        <f t="shared" si="36"/>
        <v/>
      </c>
      <c r="V403" s="215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7" t="str">
        <f t="shared" si="36"/>
        <v/>
      </c>
      <c r="V404" s="215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7" t="str">
        <f t="shared" si="36"/>
        <v/>
      </c>
      <c r="V405" s="215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7" t="str">
        <f t="shared" si="36"/>
        <v/>
      </c>
      <c r="V406" s="215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7" t="str">
        <f t="shared" si="36"/>
        <v/>
      </c>
      <c r="V407" s="215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7" t="str">
        <f t="shared" si="36"/>
        <v/>
      </c>
      <c r="V408" s="215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7" t="str">
        <f t="shared" si="36"/>
        <v/>
      </c>
      <c r="V409" s="215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7" t="str">
        <f t="shared" si="36"/>
        <v/>
      </c>
      <c r="V410" s="215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7" t="str">
        <f t="shared" si="36"/>
        <v/>
      </c>
      <c r="V411" s="215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7" t="str">
        <f t="shared" si="36"/>
        <v/>
      </c>
      <c r="V412" s="215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7" t="str">
        <f t="shared" si="36"/>
        <v/>
      </c>
      <c r="V413" s="215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7" t="str">
        <f t="shared" si="36"/>
        <v/>
      </c>
      <c r="V414" s="215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7" t="str">
        <f t="shared" si="36"/>
        <v/>
      </c>
      <c r="V415" s="215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7" t="str">
        <f t="shared" si="36"/>
        <v/>
      </c>
      <c r="V416" s="215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7" t="str">
        <f t="shared" si="36"/>
        <v/>
      </c>
      <c r="V417" s="215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7" t="str">
        <f t="shared" si="36"/>
        <v/>
      </c>
      <c r="V418" s="215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7" t="str">
        <f t="shared" si="36"/>
        <v/>
      </c>
      <c r="V419" s="215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7" t="str">
        <f t="shared" si="36"/>
        <v/>
      </c>
      <c r="V420" s="215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7" t="str">
        <f t="shared" si="36"/>
        <v/>
      </c>
      <c r="V421" s="215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7" t="str">
        <f t="shared" si="36"/>
        <v/>
      </c>
      <c r="V422" s="215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7" t="str">
        <f t="shared" si="36"/>
        <v/>
      </c>
      <c r="V423" s="215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7" t="str">
        <f t="shared" si="36"/>
        <v/>
      </c>
      <c r="V424" s="215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7" t="str">
        <f t="shared" si="36"/>
        <v/>
      </c>
      <c r="V425" s="215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7" t="str">
        <f t="shared" si="36"/>
        <v/>
      </c>
      <c r="V426" s="215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7" t="str">
        <f t="shared" si="36"/>
        <v/>
      </c>
      <c r="V427" s="215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7" t="str">
        <f t="shared" si="36"/>
        <v/>
      </c>
      <c r="V428" s="215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7" t="str">
        <f t="shared" si="36"/>
        <v/>
      </c>
      <c r="V429" s="215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7" t="str">
        <f t="shared" si="36"/>
        <v/>
      </c>
      <c r="V430" s="215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7" t="str">
        <f t="shared" si="36"/>
        <v/>
      </c>
      <c r="V431" s="215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7" t="str">
        <f t="shared" si="36"/>
        <v/>
      </c>
      <c r="V432" s="215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7" t="str">
        <f t="shared" si="36"/>
        <v/>
      </c>
      <c r="V433" s="215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7" t="str">
        <f t="shared" si="36"/>
        <v/>
      </c>
      <c r="V434" s="215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7" t="str">
        <f t="shared" si="36"/>
        <v/>
      </c>
      <c r="V435" s="215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7" t="str">
        <f t="shared" si="36"/>
        <v/>
      </c>
      <c r="V436" s="215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7" t="str">
        <f t="shared" si="36"/>
        <v/>
      </c>
      <c r="V437" s="215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7" t="str">
        <f t="shared" si="36"/>
        <v/>
      </c>
      <c r="V438" s="215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7" t="str">
        <f t="shared" si="36"/>
        <v/>
      </c>
      <c r="V439" s="215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7" t="str">
        <f t="shared" si="36"/>
        <v/>
      </c>
      <c r="V440" s="215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7" t="str">
        <f t="shared" si="36"/>
        <v/>
      </c>
      <c r="V441" s="215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7" t="str">
        <f t="shared" si="36"/>
        <v/>
      </c>
      <c r="V442" s="215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7" t="str">
        <f t="shared" si="36"/>
        <v/>
      </c>
      <c r="V443" s="215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7" t="str">
        <f t="shared" si="36"/>
        <v/>
      </c>
      <c r="V444" s="215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7" t="str">
        <f t="shared" si="36"/>
        <v/>
      </c>
      <c r="V445" s="215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7" t="str">
        <f t="shared" si="36"/>
        <v/>
      </c>
      <c r="V446" s="215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7" t="str">
        <f t="shared" si="36"/>
        <v/>
      </c>
      <c r="V447" s="215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7" t="str">
        <f t="shared" si="36"/>
        <v/>
      </c>
      <c r="V448" s="215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7" t="str">
        <f t="shared" si="36"/>
        <v/>
      </c>
      <c r="V449" s="215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7" t="str">
        <f t="shared" ref="U450:U513" si="41">IF(OR($D450="",$H450=""),"",ROUND($D450+$H450,2))</f>
        <v/>
      </c>
      <c r="V450" s="215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7" t="str">
        <f t="shared" si="41"/>
        <v/>
      </c>
      <c r="V451" s="215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7" t="str">
        <f t="shared" si="41"/>
        <v/>
      </c>
      <c r="V452" s="215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7" t="str">
        <f t="shared" si="41"/>
        <v/>
      </c>
      <c r="V453" s="215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7" t="str">
        <f t="shared" si="41"/>
        <v/>
      </c>
      <c r="V454" s="215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7" t="str">
        <f t="shared" si="41"/>
        <v/>
      </c>
      <c r="V455" s="215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7" t="str">
        <f t="shared" si="41"/>
        <v/>
      </c>
      <c r="V456" s="215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7" t="str">
        <f t="shared" si="41"/>
        <v/>
      </c>
      <c r="V457" s="215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7" t="str">
        <f t="shared" si="41"/>
        <v/>
      </c>
      <c r="V458" s="215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7" t="str">
        <f t="shared" si="41"/>
        <v/>
      </c>
      <c r="V459" s="215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7" t="str">
        <f t="shared" si="41"/>
        <v/>
      </c>
      <c r="V460" s="215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7" t="str">
        <f t="shared" si="41"/>
        <v/>
      </c>
      <c r="V461" s="215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7" t="str">
        <f t="shared" si="41"/>
        <v/>
      </c>
      <c r="V462" s="215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7" t="str">
        <f t="shared" si="41"/>
        <v/>
      </c>
      <c r="V463" s="215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7" t="str">
        <f t="shared" si="41"/>
        <v/>
      </c>
      <c r="V464" s="215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7" t="str">
        <f t="shared" si="41"/>
        <v/>
      </c>
      <c r="V465" s="215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7" t="str">
        <f t="shared" si="41"/>
        <v/>
      </c>
      <c r="V466" s="215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7" t="str">
        <f t="shared" si="41"/>
        <v/>
      </c>
      <c r="V467" s="215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7" t="str">
        <f t="shared" si="41"/>
        <v/>
      </c>
      <c r="V468" s="215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7" t="str">
        <f t="shared" si="41"/>
        <v/>
      </c>
      <c r="V469" s="215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7" t="str">
        <f t="shared" si="41"/>
        <v/>
      </c>
      <c r="V470" s="215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7" t="str">
        <f t="shared" si="41"/>
        <v/>
      </c>
      <c r="V471" s="215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7" t="str">
        <f t="shared" si="41"/>
        <v/>
      </c>
      <c r="V472" s="215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7" t="str">
        <f t="shared" si="41"/>
        <v/>
      </c>
      <c r="V473" s="215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7" t="str">
        <f t="shared" si="41"/>
        <v/>
      </c>
      <c r="V474" s="215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7" t="str">
        <f t="shared" si="41"/>
        <v/>
      </c>
      <c r="V475" s="215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7" t="str">
        <f t="shared" si="41"/>
        <v/>
      </c>
      <c r="V476" s="215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7" t="str">
        <f t="shared" si="41"/>
        <v/>
      </c>
      <c r="V477" s="215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7" t="str">
        <f t="shared" si="41"/>
        <v/>
      </c>
      <c r="V478" s="215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7" t="str">
        <f t="shared" si="41"/>
        <v/>
      </c>
      <c r="V479" s="215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7" t="str">
        <f t="shared" si="41"/>
        <v/>
      </c>
      <c r="V480" s="215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7" t="str">
        <f t="shared" si="41"/>
        <v/>
      </c>
      <c r="V481" s="215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7" t="str">
        <f t="shared" si="41"/>
        <v/>
      </c>
      <c r="V482" s="215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7" t="str">
        <f t="shared" si="41"/>
        <v/>
      </c>
      <c r="V483" s="215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7" t="str">
        <f t="shared" si="41"/>
        <v/>
      </c>
      <c r="V484" s="215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7" t="str">
        <f t="shared" si="41"/>
        <v/>
      </c>
      <c r="V485" s="215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7" t="str">
        <f t="shared" si="41"/>
        <v/>
      </c>
      <c r="V486" s="215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7" t="str">
        <f t="shared" si="41"/>
        <v/>
      </c>
      <c r="V487" s="215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7" t="str">
        <f t="shared" si="41"/>
        <v/>
      </c>
      <c r="V488" s="215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7" t="str">
        <f t="shared" si="41"/>
        <v/>
      </c>
      <c r="V489" s="215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7" t="str">
        <f t="shared" si="41"/>
        <v/>
      </c>
      <c r="V490" s="215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7" t="str">
        <f t="shared" si="41"/>
        <v/>
      </c>
      <c r="V491" s="215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7" t="str">
        <f t="shared" si="41"/>
        <v/>
      </c>
      <c r="V492" s="215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7" t="str">
        <f t="shared" si="41"/>
        <v/>
      </c>
      <c r="V493" s="215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7" t="str">
        <f t="shared" si="41"/>
        <v/>
      </c>
      <c r="V494" s="215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7" t="str">
        <f t="shared" si="41"/>
        <v/>
      </c>
      <c r="V495" s="215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7" t="str">
        <f t="shared" si="41"/>
        <v/>
      </c>
      <c r="V496" s="215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7" t="str">
        <f t="shared" si="41"/>
        <v/>
      </c>
      <c r="V497" s="215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7" t="str">
        <f t="shared" si="41"/>
        <v/>
      </c>
      <c r="V498" s="215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7" t="str">
        <f t="shared" si="41"/>
        <v/>
      </c>
      <c r="V499" s="215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7" t="str">
        <f t="shared" si="41"/>
        <v/>
      </c>
      <c r="V500" s="215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7" t="str">
        <f t="shared" si="41"/>
        <v/>
      </c>
      <c r="V501" s="215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7" t="str">
        <f t="shared" si="41"/>
        <v/>
      </c>
      <c r="V502" s="215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7" t="str">
        <f t="shared" si="41"/>
        <v/>
      </c>
      <c r="V503" s="215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7" t="str">
        <f t="shared" si="41"/>
        <v/>
      </c>
      <c r="V504" s="215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7" t="str">
        <f t="shared" si="41"/>
        <v/>
      </c>
      <c r="V505" s="215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7" t="str">
        <f t="shared" si="41"/>
        <v/>
      </c>
      <c r="V506" s="215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7" t="str">
        <f t="shared" si="41"/>
        <v/>
      </c>
      <c r="V507" s="215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7" t="str">
        <f t="shared" si="41"/>
        <v/>
      </c>
      <c r="V508" s="215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7" t="str">
        <f t="shared" si="41"/>
        <v/>
      </c>
      <c r="V509" s="215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7" t="str">
        <f t="shared" si="41"/>
        <v/>
      </c>
      <c r="V510" s="215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7" t="str">
        <f t="shared" si="41"/>
        <v/>
      </c>
      <c r="V511" s="215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7" t="str">
        <f t="shared" si="41"/>
        <v/>
      </c>
      <c r="V512" s="215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7" t="str">
        <f t="shared" si="41"/>
        <v/>
      </c>
      <c r="V513" s="215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7" t="str">
        <f t="shared" ref="U514:U577" si="46">IF(OR($D514="",$H514=""),"",ROUND($D514+$H514,2))</f>
        <v/>
      </c>
      <c r="V514" s="215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7" t="str">
        <f t="shared" si="46"/>
        <v/>
      </c>
      <c r="V515" s="215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7" t="str">
        <f t="shared" si="46"/>
        <v/>
      </c>
      <c r="V516" s="215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7" t="str">
        <f t="shared" si="46"/>
        <v/>
      </c>
      <c r="V517" s="215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7" t="str">
        <f t="shared" si="46"/>
        <v/>
      </c>
      <c r="V518" s="215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7" t="str">
        <f t="shared" si="46"/>
        <v/>
      </c>
      <c r="V519" s="215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7" t="str">
        <f t="shared" si="46"/>
        <v/>
      </c>
      <c r="V520" s="215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7" t="str">
        <f t="shared" si="46"/>
        <v/>
      </c>
      <c r="V521" s="215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7" t="str">
        <f t="shared" si="46"/>
        <v/>
      </c>
      <c r="V522" s="215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7" t="str">
        <f t="shared" si="46"/>
        <v/>
      </c>
      <c r="V523" s="215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7" t="str">
        <f t="shared" si="46"/>
        <v/>
      </c>
      <c r="V524" s="215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7" t="str">
        <f t="shared" si="46"/>
        <v/>
      </c>
      <c r="V525" s="215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7" t="str">
        <f t="shared" si="46"/>
        <v/>
      </c>
      <c r="V526" s="215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7" t="str">
        <f t="shared" si="46"/>
        <v/>
      </c>
      <c r="V527" s="215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7" t="str">
        <f t="shared" si="46"/>
        <v/>
      </c>
      <c r="V528" s="215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7" t="str">
        <f t="shared" si="46"/>
        <v/>
      </c>
      <c r="V529" s="215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7" t="str">
        <f t="shared" si="46"/>
        <v/>
      </c>
      <c r="V530" s="215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7" t="str">
        <f t="shared" si="46"/>
        <v/>
      </c>
      <c r="V531" s="215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7" t="str">
        <f t="shared" si="46"/>
        <v/>
      </c>
      <c r="V532" s="215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7" t="str">
        <f t="shared" si="46"/>
        <v/>
      </c>
      <c r="V533" s="215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7" t="str">
        <f t="shared" si="46"/>
        <v/>
      </c>
      <c r="V534" s="215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7" t="str">
        <f t="shared" si="46"/>
        <v/>
      </c>
      <c r="V535" s="215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7" t="str">
        <f t="shared" si="46"/>
        <v/>
      </c>
      <c r="V536" s="215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7" t="str">
        <f t="shared" si="46"/>
        <v/>
      </c>
      <c r="V537" s="215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7" t="str">
        <f t="shared" si="46"/>
        <v/>
      </c>
      <c r="V538" s="215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7" t="str">
        <f t="shared" si="46"/>
        <v/>
      </c>
      <c r="V539" s="215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7" t="str">
        <f t="shared" si="46"/>
        <v/>
      </c>
      <c r="V540" s="215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7" t="str">
        <f t="shared" si="46"/>
        <v/>
      </c>
      <c r="V541" s="215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7" t="str">
        <f t="shared" si="46"/>
        <v/>
      </c>
      <c r="V542" s="215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7" t="str">
        <f t="shared" si="46"/>
        <v/>
      </c>
      <c r="V543" s="215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7" t="str">
        <f t="shared" si="46"/>
        <v/>
      </c>
      <c r="V544" s="215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7" t="str">
        <f t="shared" si="46"/>
        <v/>
      </c>
      <c r="V545" s="215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7" t="str">
        <f t="shared" si="46"/>
        <v/>
      </c>
      <c r="V546" s="215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7" t="str">
        <f t="shared" si="46"/>
        <v/>
      </c>
      <c r="V547" s="215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7" t="str">
        <f t="shared" si="46"/>
        <v/>
      </c>
      <c r="V548" s="215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7" t="str">
        <f t="shared" si="46"/>
        <v/>
      </c>
      <c r="V549" s="215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7" t="str">
        <f t="shared" si="46"/>
        <v/>
      </c>
      <c r="V550" s="215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7" t="str">
        <f t="shared" si="46"/>
        <v/>
      </c>
      <c r="V551" s="215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7" t="str">
        <f t="shared" si="46"/>
        <v/>
      </c>
      <c r="V552" s="215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7" t="str">
        <f t="shared" si="46"/>
        <v/>
      </c>
      <c r="V553" s="215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7" t="str">
        <f t="shared" si="46"/>
        <v/>
      </c>
      <c r="V554" s="215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7" t="str">
        <f t="shared" si="46"/>
        <v/>
      </c>
      <c r="V555" s="215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7" t="str">
        <f t="shared" si="46"/>
        <v/>
      </c>
      <c r="V556" s="215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7" t="str">
        <f t="shared" si="46"/>
        <v/>
      </c>
      <c r="V557" s="215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7" t="str">
        <f t="shared" si="46"/>
        <v/>
      </c>
      <c r="V558" s="215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7" t="str">
        <f t="shared" si="46"/>
        <v/>
      </c>
      <c r="V559" s="215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7" t="str">
        <f t="shared" si="46"/>
        <v/>
      </c>
      <c r="V560" s="215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7" t="str">
        <f t="shared" si="46"/>
        <v/>
      </c>
      <c r="V561" s="215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7" t="str">
        <f t="shared" si="46"/>
        <v/>
      </c>
      <c r="V562" s="215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7" t="str">
        <f t="shared" si="46"/>
        <v/>
      </c>
      <c r="V563" s="215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7" t="str">
        <f t="shared" si="46"/>
        <v/>
      </c>
      <c r="V564" s="215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7" t="str">
        <f t="shared" si="46"/>
        <v/>
      </c>
      <c r="V565" s="215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7" t="str">
        <f t="shared" si="46"/>
        <v/>
      </c>
      <c r="V566" s="215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7" t="str">
        <f t="shared" si="46"/>
        <v/>
      </c>
      <c r="V567" s="215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7" t="str">
        <f t="shared" si="46"/>
        <v/>
      </c>
      <c r="V568" s="215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7" t="str">
        <f t="shared" si="46"/>
        <v/>
      </c>
      <c r="V569" s="215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7" t="str">
        <f t="shared" si="46"/>
        <v/>
      </c>
      <c r="V570" s="215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7" t="str">
        <f t="shared" si="46"/>
        <v/>
      </c>
      <c r="V571" s="215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7" t="str">
        <f t="shared" si="46"/>
        <v/>
      </c>
      <c r="V572" s="215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7" t="str">
        <f t="shared" si="46"/>
        <v/>
      </c>
      <c r="V573" s="215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7" t="str">
        <f t="shared" si="46"/>
        <v/>
      </c>
      <c r="V574" s="215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7" t="str">
        <f t="shared" si="46"/>
        <v/>
      </c>
      <c r="V575" s="215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7" t="str">
        <f t="shared" si="46"/>
        <v/>
      </c>
      <c r="V576" s="215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7" t="str">
        <f t="shared" si="46"/>
        <v/>
      </c>
      <c r="V577" s="215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7" t="str">
        <f t="shared" ref="U578:U641" si="51">IF(OR($D578="",$H578=""),"",ROUND($D578+$H578,2))</f>
        <v/>
      </c>
      <c r="V578" s="215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7" t="str">
        <f t="shared" si="51"/>
        <v/>
      </c>
      <c r="V579" s="215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7" t="str">
        <f t="shared" si="51"/>
        <v/>
      </c>
      <c r="V580" s="215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7" t="str">
        <f t="shared" si="51"/>
        <v/>
      </c>
      <c r="V581" s="215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7" t="str">
        <f t="shared" si="51"/>
        <v/>
      </c>
      <c r="V582" s="215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7" t="str">
        <f t="shared" si="51"/>
        <v/>
      </c>
      <c r="V583" s="215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7" t="str">
        <f t="shared" si="51"/>
        <v/>
      </c>
      <c r="V584" s="215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7" t="str">
        <f t="shared" si="51"/>
        <v/>
      </c>
      <c r="V585" s="215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7" t="str">
        <f t="shared" si="51"/>
        <v/>
      </c>
      <c r="V586" s="215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7" t="str">
        <f t="shared" si="51"/>
        <v/>
      </c>
      <c r="V587" s="215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7" t="str">
        <f t="shared" si="51"/>
        <v/>
      </c>
      <c r="V588" s="215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7" t="str">
        <f t="shared" si="51"/>
        <v/>
      </c>
      <c r="V589" s="215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7" t="str">
        <f t="shared" si="51"/>
        <v/>
      </c>
      <c r="V590" s="215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7" t="str">
        <f t="shared" si="51"/>
        <v/>
      </c>
      <c r="V591" s="215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7" t="str">
        <f t="shared" si="51"/>
        <v/>
      </c>
      <c r="V592" s="215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7" t="str">
        <f t="shared" si="51"/>
        <v/>
      </c>
      <c r="V593" s="215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7" t="str">
        <f t="shared" si="51"/>
        <v/>
      </c>
      <c r="V594" s="215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7" t="str">
        <f t="shared" si="51"/>
        <v/>
      </c>
      <c r="V595" s="215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7" t="str">
        <f t="shared" si="51"/>
        <v/>
      </c>
      <c r="V596" s="215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7" t="str">
        <f t="shared" si="51"/>
        <v/>
      </c>
      <c r="V597" s="215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7" t="str">
        <f t="shared" si="51"/>
        <v/>
      </c>
      <c r="V598" s="215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7" t="str">
        <f t="shared" si="51"/>
        <v/>
      </c>
      <c r="V599" s="215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7" t="str">
        <f t="shared" si="51"/>
        <v/>
      </c>
      <c r="V600" s="215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7" t="str">
        <f t="shared" si="51"/>
        <v/>
      </c>
      <c r="V601" s="215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7" t="str">
        <f t="shared" si="51"/>
        <v/>
      </c>
      <c r="V602" s="215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7" t="str">
        <f t="shared" si="51"/>
        <v/>
      </c>
      <c r="V603" s="215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7" t="str">
        <f t="shared" si="51"/>
        <v/>
      </c>
      <c r="V604" s="215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7" t="str">
        <f t="shared" si="51"/>
        <v/>
      </c>
      <c r="V605" s="215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7" t="str">
        <f t="shared" si="51"/>
        <v/>
      </c>
      <c r="V606" s="215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7" t="str">
        <f t="shared" si="51"/>
        <v/>
      </c>
      <c r="V607" s="215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7" t="str">
        <f t="shared" si="51"/>
        <v/>
      </c>
      <c r="V608" s="215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7" t="str">
        <f t="shared" si="51"/>
        <v/>
      </c>
      <c r="V609" s="215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7" t="str">
        <f t="shared" si="51"/>
        <v/>
      </c>
      <c r="V610" s="215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7" t="str">
        <f t="shared" si="51"/>
        <v/>
      </c>
      <c r="V611" s="215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7" t="str">
        <f t="shared" si="51"/>
        <v/>
      </c>
      <c r="V612" s="215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7" t="str">
        <f t="shared" si="51"/>
        <v/>
      </c>
      <c r="V613" s="215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7" t="str">
        <f t="shared" si="51"/>
        <v/>
      </c>
      <c r="V614" s="215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7" t="str">
        <f t="shared" si="51"/>
        <v/>
      </c>
      <c r="V615" s="215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7" t="str">
        <f t="shared" si="51"/>
        <v/>
      </c>
      <c r="V616" s="215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7" t="str">
        <f t="shared" si="51"/>
        <v/>
      </c>
      <c r="V617" s="215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7" t="str">
        <f t="shared" si="51"/>
        <v/>
      </c>
      <c r="V618" s="215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7" t="str">
        <f t="shared" si="51"/>
        <v/>
      </c>
      <c r="V619" s="215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7" t="str">
        <f t="shared" si="51"/>
        <v/>
      </c>
      <c r="V620" s="215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7" t="str">
        <f t="shared" si="51"/>
        <v/>
      </c>
      <c r="V621" s="215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7" t="str">
        <f t="shared" si="51"/>
        <v/>
      </c>
      <c r="V622" s="215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7" t="str">
        <f t="shared" si="51"/>
        <v/>
      </c>
      <c r="V623" s="215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7" t="str">
        <f t="shared" si="51"/>
        <v/>
      </c>
      <c r="V624" s="215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7" t="str">
        <f t="shared" si="51"/>
        <v/>
      </c>
      <c r="V625" s="215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7" t="str">
        <f t="shared" si="51"/>
        <v/>
      </c>
      <c r="V626" s="215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7" t="str">
        <f t="shared" si="51"/>
        <v/>
      </c>
      <c r="V627" s="215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7" t="str">
        <f t="shared" si="51"/>
        <v/>
      </c>
      <c r="V628" s="215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7" t="str">
        <f t="shared" si="51"/>
        <v/>
      </c>
      <c r="V629" s="215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7" t="str">
        <f t="shared" si="51"/>
        <v/>
      </c>
      <c r="V630" s="215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7" t="str">
        <f t="shared" si="51"/>
        <v/>
      </c>
      <c r="V631" s="215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7" t="str">
        <f t="shared" si="51"/>
        <v/>
      </c>
      <c r="V632" s="215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7" t="str">
        <f t="shared" si="51"/>
        <v/>
      </c>
      <c r="V633" s="215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7" t="str">
        <f t="shared" si="51"/>
        <v/>
      </c>
      <c r="V634" s="215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7" t="str">
        <f t="shared" si="51"/>
        <v/>
      </c>
      <c r="V635" s="215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7" t="str">
        <f t="shared" si="51"/>
        <v/>
      </c>
      <c r="V636" s="215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7" t="str">
        <f t="shared" si="51"/>
        <v/>
      </c>
      <c r="V637" s="215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7" t="str">
        <f t="shared" si="51"/>
        <v/>
      </c>
      <c r="V638" s="215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7" t="str">
        <f t="shared" si="51"/>
        <v/>
      </c>
      <c r="V639" s="215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7" t="str">
        <f t="shared" si="51"/>
        <v/>
      </c>
      <c r="V640" s="215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7" t="str">
        <f t="shared" si="51"/>
        <v/>
      </c>
      <c r="V641" s="215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7" t="str">
        <f t="shared" ref="U642:U705" si="56">IF(OR($D642="",$H642=""),"",ROUND($D642+$H642,2))</f>
        <v/>
      </c>
      <c r="V642" s="215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7" t="str">
        <f t="shared" si="56"/>
        <v/>
      </c>
      <c r="V643" s="215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7" t="str">
        <f t="shared" si="56"/>
        <v/>
      </c>
      <c r="V644" s="215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7" t="str">
        <f t="shared" si="56"/>
        <v/>
      </c>
      <c r="V645" s="215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7" t="str">
        <f t="shared" si="56"/>
        <v/>
      </c>
      <c r="V646" s="215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7" t="str">
        <f t="shared" si="56"/>
        <v/>
      </c>
      <c r="V647" s="215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7" t="str">
        <f t="shared" si="56"/>
        <v/>
      </c>
      <c r="V648" s="215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7" t="str">
        <f t="shared" si="56"/>
        <v/>
      </c>
      <c r="V649" s="215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7" t="str">
        <f t="shared" si="56"/>
        <v/>
      </c>
      <c r="V650" s="215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7" t="str">
        <f t="shared" si="56"/>
        <v/>
      </c>
      <c r="V651" s="215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7" t="str">
        <f t="shared" si="56"/>
        <v/>
      </c>
      <c r="V652" s="215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7" t="str">
        <f t="shared" si="56"/>
        <v/>
      </c>
      <c r="V653" s="215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7" t="str">
        <f t="shared" si="56"/>
        <v/>
      </c>
      <c r="V654" s="215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7" t="str">
        <f t="shared" si="56"/>
        <v/>
      </c>
      <c r="V655" s="215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7" t="str">
        <f t="shared" si="56"/>
        <v/>
      </c>
      <c r="V656" s="215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7" t="str">
        <f t="shared" si="56"/>
        <v/>
      </c>
      <c r="V657" s="215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7" t="str">
        <f t="shared" si="56"/>
        <v/>
      </c>
      <c r="V658" s="215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7" t="str">
        <f t="shared" si="56"/>
        <v/>
      </c>
      <c r="V659" s="215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7" t="str">
        <f t="shared" si="56"/>
        <v/>
      </c>
      <c r="V660" s="215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7" t="str">
        <f t="shared" si="56"/>
        <v/>
      </c>
      <c r="V661" s="215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7" t="str">
        <f t="shared" si="56"/>
        <v/>
      </c>
      <c r="V662" s="215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7" t="str">
        <f t="shared" si="56"/>
        <v/>
      </c>
      <c r="V663" s="215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7" t="str">
        <f t="shared" si="56"/>
        <v/>
      </c>
      <c r="V664" s="215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7" t="str">
        <f t="shared" si="56"/>
        <v/>
      </c>
      <c r="V665" s="215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7" t="str">
        <f t="shared" si="56"/>
        <v/>
      </c>
      <c r="V666" s="215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7" t="str">
        <f t="shared" si="56"/>
        <v/>
      </c>
      <c r="V667" s="215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7" t="str">
        <f t="shared" si="56"/>
        <v/>
      </c>
      <c r="V668" s="215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7" t="str">
        <f t="shared" si="56"/>
        <v/>
      </c>
      <c r="V669" s="215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7" t="str">
        <f t="shared" si="56"/>
        <v/>
      </c>
      <c r="V670" s="215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7" t="str">
        <f t="shared" si="56"/>
        <v/>
      </c>
      <c r="V671" s="215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7" t="str">
        <f t="shared" si="56"/>
        <v/>
      </c>
      <c r="V672" s="215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7" t="str">
        <f t="shared" si="56"/>
        <v/>
      </c>
      <c r="V673" s="215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7" t="str">
        <f t="shared" si="56"/>
        <v/>
      </c>
      <c r="V674" s="215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7" t="str">
        <f t="shared" si="56"/>
        <v/>
      </c>
      <c r="V675" s="215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7" t="str">
        <f t="shared" si="56"/>
        <v/>
      </c>
      <c r="V676" s="215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7" t="str">
        <f t="shared" si="56"/>
        <v/>
      </c>
      <c r="V677" s="215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7" t="str">
        <f t="shared" si="56"/>
        <v/>
      </c>
      <c r="V678" s="215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7" t="str">
        <f t="shared" si="56"/>
        <v/>
      </c>
      <c r="V679" s="215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7" t="str">
        <f t="shared" si="56"/>
        <v/>
      </c>
      <c r="V680" s="215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7" t="str">
        <f t="shared" si="56"/>
        <v/>
      </c>
      <c r="V681" s="215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7" t="str">
        <f t="shared" si="56"/>
        <v/>
      </c>
      <c r="V682" s="215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7" t="str">
        <f t="shared" si="56"/>
        <v/>
      </c>
      <c r="V683" s="215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7" t="str">
        <f t="shared" si="56"/>
        <v/>
      </c>
      <c r="V684" s="215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7" t="str">
        <f t="shared" si="56"/>
        <v/>
      </c>
      <c r="V685" s="215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7" t="str">
        <f t="shared" si="56"/>
        <v/>
      </c>
      <c r="V686" s="215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7" t="str">
        <f t="shared" si="56"/>
        <v/>
      </c>
      <c r="V687" s="215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7" t="str">
        <f t="shared" si="56"/>
        <v/>
      </c>
      <c r="V688" s="215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7" t="str">
        <f t="shared" si="56"/>
        <v/>
      </c>
      <c r="V689" s="215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7" t="str">
        <f t="shared" si="56"/>
        <v/>
      </c>
      <c r="V690" s="215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7" t="str">
        <f t="shared" si="56"/>
        <v/>
      </c>
      <c r="V691" s="215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7" t="str">
        <f t="shared" si="56"/>
        <v/>
      </c>
      <c r="V692" s="215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7" t="str">
        <f t="shared" si="56"/>
        <v/>
      </c>
      <c r="V693" s="215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7" t="str">
        <f t="shared" si="56"/>
        <v/>
      </c>
      <c r="V694" s="215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7" t="str">
        <f t="shared" si="56"/>
        <v/>
      </c>
      <c r="V695" s="215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7" t="str">
        <f t="shared" si="56"/>
        <v/>
      </c>
      <c r="V696" s="215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7" t="str">
        <f t="shared" si="56"/>
        <v/>
      </c>
      <c r="V697" s="215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7" t="str">
        <f t="shared" si="56"/>
        <v/>
      </c>
      <c r="V698" s="215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7" t="str">
        <f t="shared" si="56"/>
        <v/>
      </c>
      <c r="V699" s="215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7" t="str">
        <f t="shared" si="56"/>
        <v/>
      </c>
      <c r="V700" s="215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7" t="str">
        <f t="shared" si="56"/>
        <v/>
      </c>
      <c r="V701" s="215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7" t="str">
        <f t="shared" si="56"/>
        <v/>
      </c>
      <c r="V702" s="215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7" t="str">
        <f t="shared" si="56"/>
        <v/>
      </c>
      <c r="V703" s="215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7" t="str">
        <f t="shared" si="56"/>
        <v/>
      </c>
      <c r="V704" s="215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7" t="str">
        <f t="shared" si="56"/>
        <v/>
      </c>
      <c r="V705" s="215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7" t="str">
        <f t="shared" ref="U706:U769" si="61">IF(OR($D706="",$H706=""),"",ROUND($D706+$H706,2))</f>
        <v/>
      </c>
      <c r="V706" s="215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7" t="str">
        <f t="shared" si="61"/>
        <v/>
      </c>
      <c r="V707" s="215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7" t="str">
        <f t="shared" si="61"/>
        <v/>
      </c>
      <c r="V708" s="215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7" t="str">
        <f t="shared" si="61"/>
        <v/>
      </c>
      <c r="V709" s="215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7" t="str">
        <f t="shared" si="61"/>
        <v/>
      </c>
      <c r="V710" s="215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7" t="str">
        <f t="shared" si="61"/>
        <v/>
      </c>
      <c r="V711" s="215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7" t="str">
        <f t="shared" si="61"/>
        <v/>
      </c>
      <c r="V712" s="215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7" t="str">
        <f t="shared" si="61"/>
        <v/>
      </c>
      <c r="V713" s="215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7" t="str">
        <f t="shared" si="61"/>
        <v/>
      </c>
      <c r="V714" s="215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7" t="str">
        <f t="shared" si="61"/>
        <v/>
      </c>
      <c r="V715" s="215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7" t="str">
        <f t="shared" si="61"/>
        <v/>
      </c>
      <c r="V716" s="215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7" t="str">
        <f t="shared" si="61"/>
        <v/>
      </c>
      <c r="V717" s="215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7" t="str">
        <f t="shared" si="61"/>
        <v/>
      </c>
      <c r="V718" s="215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7" t="str">
        <f t="shared" si="61"/>
        <v/>
      </c>
      <c r="V719" s="215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7" t="str">
        <f t="shared" si="61"/>
        <v/>
      </c>
      <c r="V720" s="215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7" t="str">
        <f t="shared" si="61"/>
        <v/>
      </c>
      <c r="V721" s="215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7" t="str">
        <f t="shared" si="61"/>
        <v/>
      </c>
      <c r="V722" s="215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7" t="str">
        <f t="shared" si="61"/>
        <v/>
      </c>
      <c r="V723" s="215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7" t="str">
        <f t="shared" si="61"/>
        <v/>
      </c>
      <c r="V724" s="215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7" t="str">
        <f t="shared" si="61"/>
        <v/>
      </c>
      <c r="V725" s="215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7" t="str">
        <f t="shared" si="61"/>
        <v/>
      </c>
      <c r="V726" s="215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7" t="str">
        <f t="shared" si="61"/>
        <v/>
      </c>
      <c r="V727" s="215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7" t="str">
        <f t="shared" si="61"/>
        <v/>
      </c>
      <c r="V728" s="215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7" t="str">
        <f t="shared" si="61"/>
        <v/>
      </c>
      <c r="V729" s="215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7" t="str">
        <f t="shared" si="61"/>
        <v/>
      </c>
      <c r="V730" s="215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7" t="str">
        <f t="shared" si="61"/>
        <v/>
      </c>
      <c r="V731" s="215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7" t="str">
        <f t="shared" si="61"/>
        <v/>
      </c>
      <c r="V732" s="215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7" t="str">
        <f t="shared" si="61"/>
        <v/>
      </c>
      <c r="V733" s="215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7" t="str">
        <f t="shared" si="61"/>
        <v/>
      </c>
      <c r="V734" s="215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7" t="str">
        <f t="shared" si="61"/>
        <v/>
      </c>
      <c r="V735" s="215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7" t="str">
        <f t="shared" si="61"/>
        <v/>
      </c>
      <c r="V736" s="215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7" t="str">
        <f t="shared" si="61"/>
        <v/>
      </c>
      <c r="V737" s="215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7" t="str">
        <f t="shared" si="61"/>
        <v/>
      </c>
      <c r="V738" s="215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7" t="str">
        <f t="shared" si="61"/>
        <v/>
      </c>
      <c r="V739" s="215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7" t="str">
        <f t="shared" si="61"/>
        <v/>
      </c>
      <c r="V740" s="215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7" t="str">
        <f t="shared" si="61"/>
        <v/>
      </c>
      <c r="V741" s="215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7" t="str">
        <f t="shared" si="61"/>
        <v/>
      </c>
      <c r="V742" s="215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7" t="str">
        <f t="shared" si="61"/>
        <v/>
      </c>
      <c r="V743" s="215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7" t="str">
        <f t="shared" si="61"/>
        <v/>
      </c>
      <c r="V744" s="215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7" t="str">
        <f t="shared" si="61"/>
        <v/>
      </c>
      <c r="V745" s="215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7" t="str">
        <f t="shared" si="61"/>
        <v/>
      </c>
      <c r="V746" s="215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7" t="str">
        <f t="shared" si="61"/>
        <v/>
      </c>
      <c r="V747" s="215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7" t="str">
        <f t="shared" si="61"/>
        <v/>
      </c>
      <c r="V748" s="215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7" t="str">
        <f t="shared" si="61"/>
        <v/>
      </c>
      <c r="V749" s="215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7" t="str">
        <f t="shared" si="61"/>
        <v/>
      </c>
      <c r="V750" s="215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7" t="str">
        <f t="shared" si="61"/>
        <v/>
      </c>
      <c r="V751" s="215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7" t="str">
        <f t="shared" si="61"/>
        <v/>
      </c>
      <c r="V752" s="215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7" t="str">
        <f t="shared" si="61"/>
        <v/>
      </c>
      <c r="V753" s="215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7" t="str">
        <f t="shared" si="61"/>
        <v/>
      </c>
      <c r="V754" s="215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7" t="str">
        <f t="shared" si="61"/>
        <v/>
      </c>
      <c r="V755" s="215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7" t="str">
        <f t="shared" si="61"/>
        <v/>
      </c>
      <c r="V756" s="215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7" t="str">
        <f t="shared" si="61"/>
        <v/>
      </c>
      <c r="V757" s="215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7" t="str">
        <f t="shared" si="61"/>
        <v/>
      </c>
      <c r="V758" s="215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7" t="str">
        <f t="shared" si="61"/>
        <v/>
      </c>
      <c r="V759" s="215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7" t="str">
        <f t="shared" si="61"/>
        <v/>
      </c>
      <c r="V760" s="215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7" t="str">
        <f t="shared" si="61"/>
        <v/>
      </c>
      <c r="V761" s="215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7" t="str">
        <f t="shared" si="61"/>
        <v/>
      </c>
      <c r="V762" s="215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7" t="str">
        <f t="shared" si="61"/>
        <v/>
      </c>
      <c r="V763" s="215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7" t="str">
        <f t="shared" si="61"/>
        <v/>
      </c>
      <c r="V764" s="215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7" t="str">
        <f t="shared" si="61"/>
        <v/>
      </c>
      <c r="V765" s="215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7" t="str">
        <f t="shared" si="61"/>
        <v/>
      </c>
      <c r="V766" s="215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7" t="str">
        <f t="shared" si="61"/>
        <v/>
      </c>
      <c r="V767" s="215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7" t="str">
        <f t="shared" si="61"/>
        <v/>
      </c>
      <c r="V768" s="215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7" t="str">
        <f t="shared" si="61"/>
        <v/>
      </c>
      <c r="V769" s="215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7" t="str">
        <f t="shared" ref="U770:U833" si="66">IF(OR($D770="",$H770=""),"",ROUND($D770+$H770,2))</f>
        <v/>
      </c>
      <c r="V770" s="215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7" t="str">
        <f t="shared" si="66"/>
        <v/>
      </c>
      <c r="V771" s="215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7" t="str">
        <f t="shared" si="66"/>
        <v/>
      </c>
      <c r="V772" s="215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7" t="str">
        <f t="shared" si="66"/>
        <v/>
      </c>
      <c r="V773" s="215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7" t="str">
        <f t="shared" si="66"/>
        <v/>
      </c>
      <c r="V774" s="215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7" t="str">
        <f t="shared" si="66"/>
        <v/>
      </c>
      <c r="V775" s="215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7" t="str">
        <f t="shared" si="66"/>
        <v/>
      </c>
      <c r="V776" s="215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7" t="str">
        <f t="shared" si="66"/>
        <v/>
      </c>
      <c r="V777" s="215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7" t="str">
        <f t="shared" si="66"/>
        <v/>
      </c>
      <c r="V778" s="215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7" t="str">
        <f t="shared" si="66"/>
        <v/>
      </c>
      <c r="V779" s="215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7" t="str">
        <f t="shared" si="66"/>
        <v/>
      </c>
      <c r="V780" s="215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7" t="str">
        <f t="shared" si="66"/>
        <v/>
      </c>
      <c r="V781" s="215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7" t="str">
        <f t="shared" si="66"/>
        <v/>
      </c>
      <c r="V782" s="215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7" t="str">
        <f t="shared" si="66"/>
        <v/>
      </c>
      <c r="V783" s="215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7" t="str">
        <f t="shared" si="66"/>
        <v/>
      </c>
      <c r="V784" s="215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7" t="str">
        <f t="shared" si="66"/>
        <v/>
      </c>
      <c r="V785" s="215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7" t="str">
        <f t="shared" si="66"/>
        <v/>
      </c>
      <c r="V786" s="215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7" t="str">
        <f t="shared" si="66"/>
        <v/>
      </c>
      <c r="V787" s="215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7" t="str">
        <f t="shared" si="66"/>
        <v/>
      </c>
      <c r="V788" s="215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7" t="str">
        <f t="shared" si="66"/>
        <v/>
      </c>
      <c r="V789" s="215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7" t="str">
        <f t="shared" si="66"/>
        <v/>
      </c>
      <c r="V790" s="215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7" t="str">
        <f t="shared" si="66"/>
        <v/>
      </c>
      <c r="V791" s="215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7" t="str">
        <f t="shared" si="66"/>
        <v/>
      </c>
      <c r="V792" s="215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7" t="str">
        <f t="shared" si="66"/>
        <v/>
      </c>
      <c r="V793" s="215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7" t="str">
        <f t="shared" si="66"/>
        <v/>
      </c>
      <c r="V794" s="215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7" t="str">
        <f t="shared" si="66"/>
        <v/>
      </c>
      <c r="V795" s="215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7" t="str">
        <f t="shared" si="66"/>
        <v/>
      </c>
      <c r="V796" s="215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7" t="str">
        <f t="shared" si="66"/>
        <v/>
      </c>
      <c r="V797" s="215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7" t="str">
        <f t="shared" si="66"/>
        <v/>
      </c>
      <c r="V798" s="215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7" t="str">
        <f t="shared" si="66"/>
        <v/>
      </c>
      <c r="V799" s="215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7" t="str">
        <f t="shared" si="66"/>
        <v/>
      </c>
      <c r="V800" s="215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7" t="str">
        <f t="shared" si="66"/>
        <v/>
      </c>
      <c r="V801" s="215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7" t="str">
        <f t="shared" si="66"/>
        <v/>
      </c>
      <c r="V802" s="215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7" t="str">
        <f t="shared" si="66"/>
        <v/>
      </c>
      <c r="V803" s="215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7" t="str">
        <f t="shared" si="66"/>
        <v/>
      </c>
      <c r="V804" s="215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7" t="str">
        <f t="shared" si="66"/>
        <v/>
      </c>
      <c r="V805" s="215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7" t="str">
        <f t="shared" si="66"/>
        <v/>
      </c>
      <c r="V806" s="215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7" t="str">
        <f t="shared" si="66"/>
        <v/>
      </c>
      <c r="V807" s="215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7" t="str">
        <f t="shared" si="66"/>
        <v/>
      </c>
      <c r="V808" s="215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7" t="str">
        <f t="shared" si="66"/>
        <v/>
      </c>
      <c r="V809" s="215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7" t="str">
        <f t="shared" si="66"/>
        <v/>
      </c>
      <c r="V810" s="215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7" t="str">
        <f t="shared" si="66"/>
        <v/>
      </c>
      <c r="V811" s="215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7" t="str">
        <f t="shared" si="66"/>
        <v/>
      </c>
      <c r="V812" s="215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7" t="str">
        <f t="shared" si="66"/>
        <v/>
      </c>
      <c r="V813" s="215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7" t="str">
        <f t="shared" si="66"/>
        <v/>
      </c>
      <c r="V814" s="215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7" t="str">
        <f t="shared" si="66"/>
        <v/>
      </c>
      <c r="V815" s="215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7" t="str">
        <f t="shared" si="66"/>
        <v/>
      </c>
      <c r="V816" s="215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7" t="str">
        <f t="shared" si="66"/>
        <v/>
      </c>
      <c r="V817" s="215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7" t="str">
        <f t="shared" si="66"/>
        <v/>
      </c>
      <c r="V818" s="215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7" t="str">
        <f t="shared" si="66"/>
        <v/>
      </c>
      <c r="V819" s="215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7" t="str">
        <f t="shared" si="66"/>
        <v/>
      </c>
      <c r="V820" s="215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7" t="str">
        <f t="shared" si="66"/>
        <v/>
      </c>
      <c r="V821" s="215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7" t="str">
        <f t="shared" si="66"/>
        <v/>
      </c>
      <c r="V822" s="215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7" t="str">
        <f t="shared" si="66"/>
        <v/>
      </c>
      <c r="V823" s="215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7" t="str">
        <f t="shared" si="66"/>
        <v/>
      </c>
      <c r="V824" s="215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7" t="str">
        <f t="shared" si="66"/>
        <v/>
      </c>
      <c r="V825" s="215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7" t="str">
        <f t="shared" si="66"/>
        <v/>
      </c>
      <c r="V826" s="215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7" t="str">
        <f t="shared" si="66"/>
        <v/>
      </c>
      <c r="V827" s="215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7" t="str">
        <f t="shared" si="66"/>
        <v/>
      </c>
      <c r="V828" s="215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7" t="str">
        <f t="shared" si="66"/>
        <v/>
      </c>
      <c r="V829" s="215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7" t="str">
        <f t="shared" si="66"/>
        <v/>
      </c>
      <c r="V830" s="215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7" t="str">
        <f t="shared" si="66"/>
        <v/>
      </c>
      <c r="V831" s="215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7" t="str">
        <f t="shared" si="66"/>
        <v/>
      </c>
      <c r="V832" s="215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7" t="str">
        <f t="shared" si="66"/>
        <v/>
      </c>
      <c r="V833" s="215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7" t="str">
        <f t="shared" ref="U834:U897" si="71">IF(OR($D834="",$H834=""),"",ROUND($D834+$H834,2))</f>
        <v/>
      </c>
      <c r="V834" s="215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7" t="str">
        <f t="shared" si="71"/>
        <v/>
      </c>
      <c r="V835" s="215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7" t="str">
        <f t="shared" si="71"/>
        <v/>
      </c>
      <c r="V836" s="215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7" t="str">
        <f t="shared" si="71"/>
        <v/>
      </c>
      <c r="V837" s="215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7" t="str">
        <f t="shared" si="71"/>
        <v/>
      </c>
      <c r="V838" s="215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7" t="str">
        <f t="shared" si="71"/>
        <v/>
      </c>
      <c r="V839" s="215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7" t="str">
        <f t="shared" si="71"/>
        <v/>
      </c>
      <c r="V840" s="215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7" t="str">
        <f t="shared" si="71"/>
        <v/>
      </c>
      <c r="V841" s="215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7" t="str">
        <f t="shared" si="71"/>
        <v/>
      </c>
      <c r="V842" s="215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7" t="str">
        <f t="shared" si="71"/>
        <v/>
      </c>
      <c r="V843" s="215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7" t="str">
        <f t="shared" si="71"/>
        <v/>
      </c>
      <c r="V844" s="215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7" t="str">
        <f t="shared" si="71"/>
        <v/>
      </c>
      <c r="V845" s="215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7" t="str">
        <f t="shared" si="71"/>
        <v/>
      </c>
      <c r="V846" s="215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7" t="str">
        <f t="shared" si="71"/>
        <v/>
      </c>
      <c r="V847" s="215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7" t="str">
        <f t="shared" si="71"/>
        <v/>
      </c>
      <c r="V848" s="215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7" t="str">
        <f t="shared" si="71"/>
        <v/>
      </c>
      <c r="V849" s="215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7" t="str">
        <f t="shared" si="71"/>
        <v/>
      </c>
      <c r="V850" s="215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7" t="str">
        <f t="shared" si="71"/>
        <v/>
      </c>
      <c r="V851" s="215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7" t="str">
        <f t="shared" si="71"/>
        <v/>
      </c>
      <c r="V852" s="215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7" t="str">
        <f t="shared" si="71"/>
        <v/>
      </c>
      <c r="V853" s="215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7" t="str">
        <f t="shared" si="71"/>
        <v/>
      </c>
      <c r="V854" s="215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7" t="str">
        <f t="shared" si="71"/>
        <v/>
      </c>
      <c r="V855" s="215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7" t="str">
        <f t="shared" si="71"/>
        <v/>
      </c>
      <c r="V856" s="215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7" t="str">
        <f t="shared" si="71"/>
        <v/>
      </c>
      <c r="V857" s="215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7" t="str">
        <f t="shared" si="71"/>
        <v/>
      </c>
      <c r="V858" s="215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7" t="str">
        <f t="shared" si="71"/>
        <v/>
      </c>
      <c r="V859" s="215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7" t="str">
        <f t="shared" si="71"/>
        <v/>
      </c>
      <c r="V860" s="215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7" t="str">
        <f t="shared" si="71"/>
        <v/>
      </c>
      <c r="V861" s="215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7" t="str">
        <f t="shared" si="71"/>
        <v/>
      </c>
      <c r="V862" s="215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7" t="str">
        <f t="shared" si="71"/>
        <v/>
      </c>
      <c r="V863" s="215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7" t="str">
        <f t="shared" si="71"/>
        <v/>
      </c>
      <c r="V864" s="215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7" t="str">
        <f t="shared" si="71"/>
        <v/>
      </c>
      <c r="V865" s="215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7" t="str">
        <f t="shared" si="71"/>
        <v/>
      </c>
      <c r="V866" s="215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7" t="str">
        <f t="shared" si="71"/>
        <v/>
      </c>
      <c r="V867" s="215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7" t="str">
        <f t="shared" si="71"/>
        <v/>
      </c>
      <c r="V868" s="215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7" t="str">
        <f t="shared" si="71"/>
        <v/>
      </c>
      <c r="V869" s="215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7" t="str">
        <f t="shared" si="71"/>
        <v/>
      </c>
      <c r="V870" s="215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7" t="str">
        <f t="shared" si="71"/>
        <v/>
      </c>
      <c r="V871" s="215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7" t="str">
        <f t="shared" si="71"/>
        <v/>
      </c>
      <c r="V872" s="215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7" t="str">
        <f t="shared" si="71"/>
        <v/>
      </c>
      <c r="V873" s="215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7" t="str">
        <f t="shared" si="71"/>
        <v/>
      </c>
      <c r="V874" s="215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7" t="str">
        <f t="shared" si="71"/>
        <v/>
      </c>
      <c r="V875" s="215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7" t="str">
        <f t="shared" si="71"/>
        <v/>
      </c>
      <c r="V876" s="215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7" t="str">
        <f t="shared" si="71"/>
        <v/>
      </c>
      <c r="V877" s="215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7" t="str">
        <f t="shared" si="71"/>
        <v/>
      </c>
      <c r="V878" s="215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7" t="str">
        <f t="shared" si="71"/>
        <v/>
      </c>
      <c r="V879" s="215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7" t="str">
        <f t="shared" si="71"/>
        <v/>
      </c>
      <c r="V880" s="215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7" t="str">
        <f t="shared" si="71"/>
        <v/>
      </c>
      <c r="V881" s="215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7" t="str">
        <f t="shared" si="71"/>
        <v/>
      </c>
      <c r="V882" s="215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7" t="str">
        <f t="shared" si="71"/>
        <v/>
      </c>
      <c r="V883" s="215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7" t="str">
        <f t="shared" si="71"/>
        <v/>
      </c>
      <c r="V884" s="215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7" t="str">
        <f t="shared" si="71"/>
        <v/>
      </c>
      <c r="V885" s="215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7" t="str">
        <f t="shared" si="71"/>
        <v/>
      </c>
      <c r="V886" s="215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7" t="str">
        <f t="shared" si="71"/>
        <v/>
      </c>
      <c r="V887" s="215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7" t="str">
        <f t="shared" si="71"/>
        <v/>
      </c>
      <c r="V888" s="215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7" t="str">
        <f t="shared" si="71"/>
        <v/>
      </c>
      <c r="V889" s="215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7" t="str">
        <f t="shared" si="71"/>
        <v/>
      </c>
      <c r="V890" s="215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7" t="str">
        <f t="shared" si="71"/>
        <v/>
      </c>
      <c r="V891" s="215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7" t="str">
        <f t="shared" si="71"/>
        <v/>
      </c>
      <c r="V892" s="215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7" t="str">
        <f t="shared" si="71"/>
        <v/>
      </c>
      <c r="V893" s="215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7" t="str">
        <f t="shared" si="71"/>
        <v/>
      </c>
      <c r="V894" s="215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7" t="str">
        <f t="shared" si="71"/>
        <v/>
      </c>
      <c r="V895" s="215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7" t="str">
        <f t="shared" si="71"/>
        <v/>
      </c>
      <c r="V896" s="215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7" t="str">
        <f t="shared" si="71"/>
        <v/>
      </c>
      <c r="V897" s="215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7" t="str">
        <f t="shared" ref="U898:U961" si="76">IF(OR($D898="",$H898=""),"",ROUND($D898+$H898,2))</f>
        <v/>
      </c>
      <c r="V898" s="215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7" t="str">
        <f t="shared" si="76"/>
        <v/>
      </c>
      <c r="V899" s="215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7" t="str">
        <f t="shared" si="76"/>
        <v/>
      </c>
      <c r="V900" s="215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7" t="str">
        <f t="shared" si="76"/>
        <v/>
      </c>
      <c r="V901" s="215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7" t="str">
        <f t="shared" si="76"/>
        <v/>
      </c>
      <c r="V902" s="215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7" t="str">
        <f t="shared" si="76"/>
        <v/>
      </c>
      <c r="V903" s="215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7" t="str">
        <f t="shared" si="76"/>
        <v/>
      </c>
      <c r="V904" s="215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7" t="str">
        <f t="shared" si="76"/>
        <v/>
      </c>
      <c r="V905" s="215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7" t="str">
        <f t="shared" si="76"/>
        <v/>
      </c>
      <c r="V906" s="215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7" t="str">
        <f t="shared" si="76"/>
        <v/>
      </c>
      <c r="V907" s="215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7" t="str">
        <f t="shared" si="76"/>
        <v/>
      </c>
      <c r="V908" s="215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7" t="str">
        <f t="shared" si="76"/>
        <v/>
      </c>
      <c r="V909" s="215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7" t="str">
        <f t="shared" si="76"/>
        <v/>
      </c>
      <c r="V910" s="215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7" t="str">
        <f t="shared" si="76"/>
        <v/>
      </c>
      <c r="V911" s="215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7" t="str">
        <f t="shared" si="76"/>
        <v/>
      </c>
      <c r="V912" s="215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7" t="str">
        <f t="shared" si="76"/>
        <v/>
      </c>
      <c r="V913" s="215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7" t="str">
        <f t="shared" si="76"/>
        <v/>
      </c>
      <c r="V914" s="215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7" t="str">
        <f t="shared" si="76"/>
        <v/>
      </c>
      <c r="V915" s="215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7" t="str">
        <f t="shared" si="76"/>
        <v/>
      </c>
      <c r="V916" s="215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7" t="str">
        <f t="shared" si="76"/>
        <v/>
      </c>
      <c r="V917" s="215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7" t="str">
        <f t="shared" si="76"/>
        <v/>
      </c>
      <c r="V918" s="215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7" t="str">
        <f t="shared" si="76"/>
        <v/>
      </c>
      <c r="V919" s="215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7" t="str">
        <f t="shared" si="76"/>
        <v/>
      </c>
      <c r="V920" s="215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7" t="str">
        <f t="shared" si="76"/>
        <v/>
      </c>
      <c r="V921" s="215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7" t="str">
        <f t="shared" si="76"/>
        <v/>
      </c>
      <c r="V922" s="215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7" t="str">
        <f t="shared" si="76"/>
        <v/>
      </c>
      <c r="V923" s="215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7" t="str">
        <f t="shared" si="76"/>
        <v/>
      </c>
      <c r="V924" s="215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7" t="str">
        <f t="shared" si="76"/>
        <v/>
      </c>
      <c r="V925" s="215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7" t="str">
        <f t="shared" si="76"/>
        <v/>
      </c>
      <c r="V926" s="215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7" t="str">
        <f t="shared" si="76"/>
        <v/>
      </c>
      <c r="V927" s="215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7" t="str">
        <f t="shared" si="76"/>
        <v/>
      </c>
      <c r="V928" s="215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7" t="str">
        <f t="shared" si="76"/>
        <v/>
      </c>
      <c r="V929" s="215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7" t="str">
        <f t="shared" si="76"/>
        <v/>
      </c>
      <c r="V930" s="215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7" t="str">
        <f t="shared" si="76"/>
        <v/>
      </c>
      <c r="V931" s="215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7" t="str">
        <f t="shared" si="76"/>
        <v/>
      </c>
      <c r="V932" s="215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7" t="str">
        <f t="shared" si="76"/>
        <v/>
      </c>
      <c r="V933" s="215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7" t="str">
        <f t="shared" si="76"/>
        <v/>
      </c>
      <c r="V934" s="215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7" t="str">
        <f t="shared" si="76"/>
        <v/>
      </c>
      <c r="V935" s="215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7" t="str">
        <f t="shared" si="76"/>
        <v/>
      </c>
      <c r="V936" s="215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7" t="str">
        <f t="shared" si="76"/>
        <v/>
      </c>
      <c r="V937" s="215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7" t="str">
        <f t="shared" si="76"/>
        <v/>
      </c>
      <c r="V938" s="215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7" t="str">
        <f t="shared" si="76"/>
        <v/>
      </c>
      <c r="V939" s="215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7" t="str">
        <f t="shared" si="76"/>
        <v/>
      </c>
      <c r="V940" s="215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7" t="str">
        <f t="shared" si="76"/>
        <v/>
      </c>
      <c r="V941" s="215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7" t="str">
        <f t="shared" si="76"/>
        <v/>
      </c>
      <c r="V942" s="215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7" t="str">
        <f t="shared" si="76"/>
        <v/>
      </c>
      <c r="V943" s="215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7" t="str">
        <f t="shared" si="76"/>
        <v/>
      </c>
      <c r="V944" s="215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7" t="str">
        <f t="shared" si="76"/>
        <v/>
      </c>
      <c r="V945" s="215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7" t="str">
        <f t="shared" si="76"/>
        <v/>
      </c>
      <c r="V946" s="215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7" t="str">
        <f t="shared" si="76"/>
        <v/>
      </c>
      <c r="V947" s="215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7" t="str">
        <f t="shared" si="76"/>
        <v/>
      </c>
      <c r="V948" s="215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7" t="str">
        <f t="shared" si="76"/>
        <v/>
      </c>
      <c r="V949" s="215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7" t="str">
        <f t="shared" si="76"/>
        <v/>
      </c>
      <c r="V950" s="215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7" t="str">
        <f t="shared" si="76"/>
        <v/>
      </c>
      <c r="V951" s="215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7" t="str">
        <f t="shared" si="76"/>
        <v/>
      </c>
      <c r="V952" s="215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7" t="str">
        <f t="shared" si="76"/>
        <v/>
      </c>
      <c r="V953" s="215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7" t="str">
        <f t="shared" si="76"/>
        <v/>
      </c>
      <c r="V954" s="215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7" t="str">
        <f t="shared" si="76"/>
        <v/>
      </c>
      <c r="V955" s="215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7" t="str">
        <f t="shared" si="76"/>
        <v/>
      </c>
      <c r="V956" s="215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7" t="str">
        <f t="shared" si="76"/>
        <v/>
      </c>
      <c r="V957" s="215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7" t="str">
        <f t="shared" si="76"/>
        <v/>
      </c>
      <c r="V958" s="215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7" t="str">
        <f t="shared" si="76"/>
        <v/>
      </c>
      <c r="V959" s="215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7" t="str">
        <f t="shared" si="76"/>
        <v/>
      </c>
      <c r="V960" s="215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7" t="str">
        <f t="shared" si="76"/>
        <v/>
      </c>
      <c r="V961" s="215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7" t="str">
        <f t="shared" ref="U962:U1025" si="81">IF(OR($D962="",$H962=""),"",ROUND($D962+$H962,2))</f>
        <v/>
      </c>
      <c r="V962" s="215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7" t="str">
        <f t="shared" si="81"/>
        <v/>
      </c>
      <c r="V963" s="215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7" t="str">
        <f t="shared" si="81"/>
        <v/>
      </c>
      <c r="V964" s="215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7" t="str">
        <f t="shared" si="81"/>
        <v/>
      </c>
      <c r="V965" s="215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7" t="str">
        <f t="shared" si="81"/>
        <v/>
      </c>
      <c r="V966" s="215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7" t="str">
        <f t="shared" si="81"/>
        <v/>
      </c>
      <c r="V967" s="215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7" t="str">
        <f t="shared" si="81"/>
        <v/>
      </c>
      <c r="V968" s="215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7" t="str">
        <f t="shared" si="81"/>
        <v/>
      </c>
      <c r="V969" s="215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7" t="str">
        <f t="shared" si="81"/>
        <v/>
      </c>
      <c r="V970" s="215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7" t="str">
        <f t="shared" si="81"/>
        <v/>
      </c>
      <c r="V971" s="215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7" t="str">
        <f t="shared" si="81"/>
        <v/>
      </c>
      <c r="V972" s="215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7" t="str">
        <f t="shared" si="81"/>
        <v/>
      </c>
      <c r="V973" s="215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7" t="str">
        <f t="shared" si="81"/>
        <v/>
      </c>
      <c r="V974" s="215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7" t="str">
        <f t="shared" si="81"/>
        <v/>
      </c>
      <c r="V975" s="215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7" t="str">
        <f t="shared" si="81"/>
        <v/>
      </c>
      <c r="V976" s="215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7" t="str">
        <f t="shared" si="81"/>
        <v/>
      </c>
      <c r="V977" s="215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7" t="str">
        <f t="shared" si="81"/>
        <v/>
      </c>
      <c r="V978" s="215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7" t="str">
        <f t="shared" si="81"/>
        <v/>
      </c>
      <c r="V979" s="215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7" t="str">
        <f t="shared" si="81"/>
        <v/>
      </c>
      <c r="V980" s="215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7" t="str">
        <f t="shared" si="81"/>
        <v/>
      </c>
      <c r="V981" s="215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7" t="str">
        <f t="shared" si="81"/>
        <v/>
      </c>
      <c r="V982" s="215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7" t="str">
        <f t="shared" si="81"/>
        <v/>
      </c>
      <c r="V983" s="215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7" t="str">
        <f t="shared" si="81"/>
        <v/>
      </c>
      <c r="V984" s="215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7" t="str">
        <f t="shared" si="81"/>
        <v/>
      </c>
      <c r="V985" s="215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7" t="str">
        <f t="shared" si="81"/>
        <v/>
      </c>
      <c r="V986" s="215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7" t="str">
        <f t="shared" si="81"/>
        <v/>
      </c>
      <c r="V987" s="215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7" t="str">
        <f t="shared" si="81"/>
        <v/>
      </c>
      <c r="V988" s="215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7" t="str">
        <f t="shared" si="81"/>
        <v/>
      </c>
      <c r="V989" s="215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7" t="str">
        <f t="shared" si="81"/>
        <v/>
      </c>
      <c r="V990" s="215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7" t="str">
        <f t="shared" si="81"/>
        <v/>
      </c>
      <c r="V991" s="215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7" t="str">
        <f t="shared" si="81"/>
        <v/>
      </c>
      <c r="V992" s="215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7" t="str">
        <f t="shared" si="81"/>
        <v/>
      </c>
      <c r="V993" s="215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7" t="str">
        <f t="shared" si="81"/>
        <v/>
      </c>
      <c r="V994" s="215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7" t="str">
        <f t="shared" si="81"/>
        <v/>
      </c>
      <c r="V995" s="215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7" t="str">
        <f t="shared" si="81"/>
        <v/>
      </c>
      <c r="V996" s="215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7" t="str">
        <f t="shared" si="81"/>
        <v/>
      </c>
      <c r="V997" s="215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7" t="str">
        <f t="shared" si="81"/>
        <v/>
      </c>
      <c r="V998" s="215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7" t="str">
        <f t="shared" si="81"/>
        <v/>
      </c>
      <c r="V999" s="215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7" t="str">
        <f t="shared" si="81"/>
        <v/>
      </c>
      <c r="V1000" s="215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7" t="str">
        <f t="shared" si="81"/>
        <v/>
      </c>
      <c r="V1001" s="215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7" t="str">
        <f t="shared" si="81"/>
        <v/>
      </c>
      <c r="V1002" s="215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7" t="str">
        <f t="shared" si="81"/>
        <v/>
      </c>
      <c r="V1003" s="215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7" t="str">
        <f t="shared" si="81"/>
        <v/>
      </c>
      <c r="V1004" s="215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7" t="str">
        <f t="shared" si="81"/>
        <v/>
      </c>
      <c r="V1005" s="215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7" t="str">
        <f t="shared" si="81"/>
        <v/>
      </c>
      <c r="V1006" s="215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7" t="str">
        <f t="shared" si="81"/>
        <v/>
      </c>
      <c r="V1007" s="215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7" t="str">
        <f t="shared" si="81"/>
        <v/>
      </c>
      <c r="V1008" s="215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7" t="str">
        <f t="shared" si="81"/>
        <v/>
      </c>
      <c r="V1009" s="215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7" t="str">
        <f t="shared" si="81"/>
        <v/>
      </c>
      <c r="V1010" s="215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7" t="str">
        <f t="shared" si="81"/>
        <v/>
      </c>
      <c r="V1011" s="215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7" t="str">
        <f t="shared" si="81"/>
        <v/>
      </c>
      <c r="V1012" s="215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7" t="str">
        <f t="shared" si="81"/>
        <v/>
      </c>
      <c r="V1013" s="215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7" t="str">
        <f t="shared" si="81"/>
        <v/>
      </c>
      <c r="V1014" s="215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7" t="str">
        <f t="shared" si="81"/>
        <v/>
      </c>
      <c r="V1015" s="215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7" t="str">
        <f t="shared" si="81"/>
        <v/>
      </c>
      <c r="V1016" s="215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7" t="str">
        <f t="shared" si="81"/>
        <v/>
      </c>
      <c r="V1017" s="215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7" t="str">
        <f t="shared" si="81"/>
        <v/>
      </c>
      <c r="V1018" s="215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7" t="str">
        <f t="shared" si="81"/>
        <v/>
      </c>
      <c r="V1019" s="215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7" t="str">
        <f t="shared" si="81"/>
        <v/>
      </c>
      <c r="V1020" s="215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7" t="str">
        <f t="shared" si="81"/>
        <v/>
      </c>
      <c r="V1021" s="215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7" t="str">
        <f t="shared" si="81"/>
        <v/>
      </c>
      <c r="V1022" s="215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7" t="str">
        <f t="shared" si="81"/>
        <v/>
      </c>
      <c r="V1023" s="215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7" t="str">
        <f t="shared" si="81"/>
        <v/>
      </c>
      <c r="V1024" s="215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7" t="str">
        <f t="shared" si="81"/>
        <v/>
      </c>
      <c r="V1025" s="215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7" t="str">
        <f t="shared" ref="U1026:U1089" si="86">IF(OR($D1026="",$H1026=""),"",ROUND($D1026+$H1026,2))</f>
        <v/>
      </c>
      <c r="V1026" s="215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7" t="str">
        <f t="shared" si="86"/>
        <v/>
      </c>
      <c r="V1027" s="215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7" t="str">
        <f t="shared" si="86"/>
        <v/>
      </c>
      <c r="V1028" s="215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7" t="str">
        <f t="shared" si="86"/>
        <v/>
      </c>
      <c r="V1029" s="215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7" t="str">
        <f t="shared" si="86"/>
        <v/>
      </c>
      <c r="V1030" s="215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7" t="str">
        <f t="shared" si="86"/>
        <v/>
      </c>
      <c r="V1031" s="215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7" t="str">
        <f t="shared" si="86"/>
        <v/>
      </c>
      <c r="V1032" s="215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7" t="str">
        <f t="shared" si="86"/>
        <v/>
      </c>
      <c r="V1033" s="215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7" t="str">
        <f t="shared" si="86"/>
        <v/>
      </c>
      <c r="V1034" s="215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7" t="str">
        <f t="shared" si="86"/>
        <v/>
      </c>
      <c r="V1035" s="215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7" t="str">
        <f t="shared" si="86"/>
        <v/>
      </c>
      <c r="V1036" s="215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7" t="str">
        <f t="shared" si="86"/>
        <v/>
      </c>
      <c r="V1037" s="215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7" t="str">
        <f t="shared" si="86"/>
        <v/>
      </c>
      <c r="V1038" s="215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7" t="str">
        <f t="shared" si="86"/>
        <v/>
      </c>
      <c r="V1039" s="215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7" t="str">
        <f t="shared" si="86"/>
        <v/>
      </c>
      <c r="V1040" s="215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7" t="str">
        <f t="shared" si="86"/>
        <v/>
      </c>
      <c r="V1041" s="215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7" t="str">
        <f t="shared" si="86"/>
        <v/>
      </c>
      <c r="V1042" s="215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7" t="str">
        <f t="shared" si="86"/>
        <v/>
      </c>
      <c r="V1043" s="215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7" t="str">
        <f t="shared" si="86"/>
        <v/>
      </c>
      <c r="V1044" s="215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7" t="str">
        <f t="shared" si="86"/>
        <v/>
      </c>
      <c r="V1045" s="215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7" t="str">
        <f t="shared" si="86"/>
        <v/>
      </c>
      <c r="V1046" s="215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7" t="str">
        <f t="shared" si="86"/>
        <v/>
      </c>
      <c r="V1047" s="215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7" t="str">
        <f t="shared" si="86"/>
        <v/>
      </c>
      <c r="V1048" s="215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7" t="str">
        <f t="shared" si="86"/>
        <v/>
      </c>
      <c r="V1049" s="215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7" t="str">
        <f t="shared" si="86"/>
        <v/>
      </c>
      <c r="V1050" s="215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7" t="str">
        <f t="shared" si="86"/>
        <v/>
      </c>
      <c r="V1051" s="215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7" t="str">
        <f t="shared" si="86"/>
        <v/>
      </c>
      <c r="V1052" s="215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7" t="str">
        <f t="shared" si="86"/>
        <v/>
      </c>
      <c r="V1053" s="215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7" t="str">
        <f t="shared" si="86"/>
        <v/>
      </c>
      <c r="V1054" s="215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7" t="str">
        <f t="shared" si="86"/>
        <v/>
      </c>
      <c r="V1055" s="215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7" t="str">
        <f t="shared" si="86"/>
        <v/>
      </c>
      <c r="V1056" s="215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7" t="str">
        <f t="shared" si="86"/>
        <v/>
      </c>
      <c r="V1057" s="215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7" t="str">
        <f t="shared" si="86"/>
        <v/>
      </c>
      <c r="V1058" s="215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7" t="str">
        <f t="shared" si="86"/>
        <v/>
      </c>
      <c r="V1059" s="215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7" t="str">
        <f t="shared" si="86"/>
        <v/>
      </c>
      <c r="V1060" s="215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7" t="str">
        <f t="shared" si="86"/>
        <v/>
      </c>
      <c r="V1061" s="215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7" t="str">
        <f t="shared" si="86"/>
        <v/>
      </c>
      <c r="V1062" s="215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7" t="str">
        <f t="shared" si="86"/>
        <v/>
      </c>
      <c r="V1063" s="215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7" t="str">
        <f t="shared" si="86"/>
        <v/>
      </c>
      <c r="V1064" s="215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7" t="str">
        <f t="shared" si="86"/>
        <v/>
      </c>
      <c r="V1065" s="215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7" t="str">
        <f t="shared" si="86"/>
        <v/>
      </c>
      <c r="V1066" s="215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7" t="str">
        <f t="shared" si="86"/>
        <v/>
      </c>
      <c r="V1067" s="215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7" t="str">
        <f t="shared" si="86"/>
        <v/>
      </c>
      <c r="V1068" s="215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7" t="str">
        <f t="shared" si="86"/>
        <v/>
      </c>
      <c r="V1069" s="215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7" t="str">
        <f t="shared" si="86"/>
        <v/>
      </c>
      <c r="V1070" s="215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7" t="str">
        <f t="shared" si="86"/>
        <v/>
      </c>
      <c r="V1071" s="215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7" t="str">
        <f t="shared" si="86"/>
        <v/>
      </c>
      <c r="V1072" s="215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7" t="str">
        <f t="shared" si="86"/>
        <v/>
      </c>
      <c r="V1073" s="215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7" t="str">
        <f t="shared" si="86"/>
        <v/>
      </c>
      <c r="V1074" s="215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7" t="str">
        <f t="shared" si="86"/>
        <v/>
      </c>
      <c r="V1075" s="215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7" t="str">
        <f t="shared" si="86"/>
        <v/>
      </c>
      <c r="V1076" s="215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7" t="str">
        <f t="shared" si="86"/>
        <v/>
      </c>
      <c r="V1077" s="215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7" t="str">
        <f t="shared" si="86"/>
        <v/>
      </c>
      <c r="V1078" s="215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7" t="str">
        <f t="shared" si="86"/>
        <v/>
      </c>
      <c r="V1079" s="215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7" t="str">
        <f t="shared" si="86"/>
        <v/>
      </c>
      <c r="V1080" s="215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7" t="str">
        <f t="shared" si="86"/>
        <v/>
      </c>
      <c r="V1081" s="215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7" t="str">
        <f t="shared" si="86"/>
        <v/>
      </c>
      <c r="V1082" s="215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7" t="str">
        <f t="shared" si="86"/>
        <v/>
      </c>
      <c r="V1083" s="215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7" t="str">
        <f t="shared" si="86"/>
        <v/>
      </c>
      <c r="V1084" s="215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7" t="str">
        <f t="shared" si="86"/>
        <v/>
      </c>
      <c r="V1085" s="215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7" t="str">
        <f t="shared" si="86"/>
        <v/>
      </c>
      <c r="V1086" s="215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7" t="str">
        <f t="shared" si="86"/>
        <v/>
      </c>
      <c r="V1087" s="215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7" t="str">
        <f t="shared" si="86"/>
        <v/>
      </c>
      <c r="V1088" s="215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7" t="str">
        <f t="shared" si="86"/>
        <v/>
      </c>
      <c r="V1089" s="215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7" t="str">
        <f t="shared" ref="U1090:U1153" si="91">IF(OR($D1090="",$H1090=""),"",ROUND($D1090+$H1090,2))</f>
        <v/>
      </c>
      <c r="V1090" s="215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7" t="str">
        <f t="shared" si="91"/>
        <v/>
      </c>
      <c r="V1091" s="215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7" t="str">
        <f t="shared" si="91"/>
        <v/>
      </c>
      <c r="V1092" s="215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7" t="str">
        <f t="shared" si="91"/>
        <v/>
      </c>
      <c r="V1093" s="215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7" t="str">
        <f t="shared" si="91"/>
        <v/>
      </c>
      <c r="V1094" s="215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7" t="str">
        <f t="shared" si="91"/>
        <v/>
      </c>
      <c r="V1095" s="215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7" t="str">
        <f t="shared" si="91"/>
        <v/>
      </c>
      <c r="V1096" s="215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7" t="str">
        <f t="shared" si="91"/>
        <v/>
      </c>
      <c r="V1097" s="215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7" t="str">
        <f t="shared" si="91"/>
        <v/>
      </c>
      <c r="V1098" s="215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7" t="str">
        <f t="shared" si="91"/>
        <v/>
      </c>
      <c r="V1099" s="215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7" t="str">
        <f t="shared" si="91"/>
        <v/>
      </c>
      <c r="V1100" s="215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7" t="str">
        <f t="shared" si="91"/>
        <v/>
      </c>
      <c r="V1101" s="215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7" t="str">
        <f t="shared" si="91"/>
        <v/>
      </c>
      <c r="V1102" s="215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7" t="str">
        <f t="shared" si="91"/>
        <v/>
      </c>
      <c r="V1103" s="215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7" t="str">
        <f t="shared" si="91"/>
        <v/>
      </c>
      <c r="V1104" s="215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7" t="str">
        <f t="shared" si="91"/>
        <v/>
      </c>
      <c r="V1105" s="215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7" t="str">
        <f t="shared" si="91"/>
        <v/>
      </c>
      <c r="V1106" s="215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7" t="str">
        <f t="shared" si="91"/>
        <v/>
      </c>
      <c r="V1107" s="215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7" t="str">
        <f t="shared" si="91"/>
        <v/>
      </c>
      <c r="V1108" s="215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7" t="str">
        <f t="shared" si="91"/>
        <v/>
      </c>
      <c r="V1109" s="215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7" t="str">
        <f t="shared" si="91"/>
        <v/>
      </c>
      <c r="V1110" s="215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7" t="str">
        <f t="shared" si="91"/>
        <v/>
      </c>
      <c r="V1111" s="215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7" t="str">
        <f t="shared" si="91"/>
        <v/>
      </c>
      <c r="V1112" s="215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7" t="str">
        <f t="shared" si="91"/>
        <v/>
      </c>
      <c r="V1113" s="215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7" t="str">
        <f t="shared" si="91"/>
        <v/>
      </c>
      <c r="V1114" s="215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7" t="str">
        <f t="shared" si="91"/>
        <v/>
      </c>
      <c r="V1115" s="215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7" t="str">
        <f t="shared" si="91"/>
        <v/>
      </c>
      <c r="V1116" s="215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7" t="str">
        <f t="shared" si="91"/>
        <v/>
      </c>
      <c r="V1117" s="215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7" t="str">
        <f t="shared" si="91"/>
        <v/>
      </c>
      <c r="V1118" s="215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7" t="str">
        <f t="shared" si="91"/>
        <v/>
      </c>
      <c r="V1119" s="215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7" t="str">
        <f t="shared" si="91"/>
        <v/>
      </c>
      <c r="V1120" s="215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7" t="str">
        <f t="shared" si="91"/>
        <v/>
      </c>
      <c r="V1121" s="215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7" t="str">
        <f t="shared" si="91"/>
        <v/>
      </c>
      <c r="V1122" s="215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7" t="str">
        <f t="shared" si="91"/>
        <v/>
      </c>
      <c r="V1123" s="215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7" t="str">
        <f t="shared" si="91"/>
        <v/>
      </c>
      <c r="V1124" s="215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7" t="str">
        <f t="shared" si="91"/>
        <v/>
      </c>
      <c r="V1125" s="215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7" t="str">
        <f t="shared" si="91"/>
        <v/>
      </c>
      <c r="V1126" s="215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7" t="str">
        <f t="shared" si="91"/>
        <v/>
      </c>
      <c r="V1127" s="215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7" t="str">
        <f t="shared" si="91"/>
        <v/>
      </c>
      <c r="V1128" s="215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7" t="str">
        <f t="shared" si="91"/>
        <v/>
      </c>
      <c r="V1129" s="215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7" t="str">
        <f t="shared" si="91"/>
        <v/>
      </c>
      <c r="V1130" s="215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7" t="str">
        <f t="shared" si="91"/>
        <v/>
      </c>
      <c r="V1131" s="215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7" t="str">
        <f t="shared" si="91"/>
        <v/>
      </c>
      <c r="V1132" s="215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7" t="str">
        <f t="shared" si="91"/>
        <v/>
      </c>
      <c r="V1133" s="215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7" t="str">
        <f t="shared" si="91"/>
        <v/>
      </c>
      <c r="V1134" s="215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7" t="str">
        <f t="shared" si="91"/>
        <v/>
      </c>
      <c r="V1135" s="215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7" t="str">
        <f t="shared" si="91"/>
        <v/>
      </c>
      <c r="V1136" s="215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7" t="str">
        <f t="shared" si="91"/>
        <v/>
      </c>
      <c r="V1137" s="215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7" t="str">
        <f t="shared" si="91"/>
        <v/>
      </c>
      <c r="V1138" s="215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7" t="str">
        <f t="shared" si="91"/>
        <v/>
      </c>
      <c r="V1139" s="215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7" t="str">
        <f t="shared" si="91"/>
        <v/>
      </c>
      <c r="V1140" s="215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7" t="str">
        <f t="shared" si="91"/>
        <v/>
      </c>
      <c r="V1141" s="215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7" t="str">
        <f t="shared" si="91"/>
        <v/>
      </c>
      <c r="V1142" s="215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7" t="str">
        <f t="shared" si="91"/>
        <v/>
      </c>
      <c r="V1143" s="215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7" t="str">
        <f t="shared" si="91"/>
        <v/>
      </c>
      <c r="V1144" s="215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7" t="str">
        <f t="shared" si="91"/>
        <v/>
      </c>
      <c r="V1145" s="215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7" t="str">
        <f t="shared" si="91"/>
        <v/>
      </c>
      <c r="V1146" s="215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7" t="str">
        <f t="shared" si="91"/>
        <v/>
      </c>
      <c r="V1147" s="215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7" t="str">
        <f t="shared" si="91"/>
        <v/>
      </c>
      <c r="V1148" s="215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7" t="str">
        <f t="shared" si="91"/>
        <v/>
      </c>
      <c r="V1149" s="215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7" t="str">
        <f t="shared" si="91"/>
        <v/>
      </c>
      <c r="V1150" s="215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7" t="str">
        <f t="shared" si="91"/>
        <v/>
      </c>
      <c r="V1151" s="215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7" t="str">
        <f t="shared" si="91"/>
        <v/>
      </c>
      <c r="V1152" s="215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7" t="str">
        <f t="shared" si="91"/>
        <v/>
      </c>
      <c r="V1153" s="215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7" t="str">
        <f t="shared" ref="U1154:U1217" si="96">IF(OR($D1154="",$H1154=""),"",ROUND($D1154+$H1154,2))</f>
        <v/>
      </c>
      <c r="V1154" s="215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7" t="str">
        <f t="shared" si="96"/>
        <v/>
      </c>
      <c r="V1155" s="215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7" t="str">
        <f t="shared" si="96"/>
        <v/>
      </c>
      <c r="V1156" s="215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7" t="str">
        <f t="shared" si="96"/>
        <v/>
      </c>
      <c r="V1157" s="215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7" t="str">
        <f t="shared" si="96"/>
        <v/>
      </c>
      <c r="V1158" s="215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7" t="str">
        <f t="shared" si="96"/>
        <v/>
      </c>
      <c r="V1159" s="215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7" t="str">
        <f t="shared" si="96"/>
        <v/>
      </c>
      <c r="V1160" s="215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7" t="str">
        <f t="shared" si="96"/>
        <v/>
      </c>
      <c r="V1161" s="215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7" t="str">
        <f t="shared" si="96"/>
        <v/>
      </c>
      <c r="V1162" s="215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7" t="str">
        <f t="shared" si="96"/>
        <v/>
      </c>
      <c r="V1163" s="215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7" t="str">
        <f t="shared" si="96"/>
        <v/>
      </c>
      <c r="V1164" s="215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7" t="str">
        <f t="shared" si="96"/>
        <v/>
      </c>
      <c r="V1165" s="215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7" t="str">
        <f t="shared" si="96"/>
        <v/>
      </c>
      <c r="V1166" s="215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7" t="str">
        <f t="shared" si="96"/>
        <v/>
      </c>
      <c r="V1167" s="215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7" t="str">
        <f t="shared" si="96"/>
        <v/>
      </c>
      <c r="V1168" s="215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7" t="str">
        <f t="shared" si="96"/>
        <v/>
      </c>
      <c r="V1169" s="215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7" t="str">
        <f t="shared" si="96"/>
        <v/>
      </c>
      <c r="V1170" s="215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7" t="str">
        <f t="shared" si="96"/>
        <v/>
      </c>
      <c r="V1171" s="215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7" t="str">
        <f t="shared" si="96"/>
        <v/>
      </c>
      <c r="V1172" s="215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7" t="str">
        <f t="shared" si="96"/>
        <v/>
      </c>
      <c r="V1173" s="215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7" t="str">
        <f t="shared" si="96"/>
        <v/>
      </c>
      <c r="V1174" s="215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7" t="str">
        <f t="shared" si="96"/>
        <v/>
      </c>
      <c r="V1175" s="215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7" t="str">
        <f t="shared" si="96"/>
        <v/>
      </c>
      <c r="V1176" s="215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7" t="str">
        <f t="shared" si="96"/>
        <v/>
      </c>
      <c r="V1177" s="215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7" t="str">
        <f t="shared" si="96"/>
        <v/>
      </c>
      <c r="V1178" s="215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7" t="str">
        <f t="shared" si="96"/>
        <v/>
      </c>
      <c r="V1179" s="215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7" t="str">
        <f t="shared" si="96"/>
        <v/>
      </c>
      <c r="V1180" s="215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7" t="str">
        <f t="shared" si="96"/>
        <v/>
      </c>
      <c r="V1181" s="215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7" t="str">
        <f t="shared" si="96"/>
        <v/>
      </c>
      <c r="V1182" s="215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7" t="str">
        <f t="shared" si="96"/>
        <v/>
      </c>
      <c r="V1183" s="215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7" t="str">
        <f t="shared" si="96"/>
        <v/>
      </c>
      <c r="V1184" s="215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7" t="str">
        <f t="shared" si="96"/>
        <v/>
      </c>
      <c r="V1185" s="215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7" t="str">
        <f t="shared" si="96"/>
        <v/>
      </c>
      <c r="V1186" s="215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7" t="str">
        <f t="shared" si="96"/>
        <v/>
      </c>
      <c r="V1187" s="215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7" t="str">
        <f t="shared" si="96"/>
        <v/>
      </c>
      <c r="V1188" s="215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7" t="str">
        <f t="shared" si="96"/>
        <v/>
      </c>
      <c r="V1189" s="215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7" t="str">
        <f t="shared" si="96"/>
        <v/>
      </c>
      <c r="V1190" s="215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7" t="str">
        <f t="shared" si="96"/>
        <v/>
      </c>
      <c r="V1191" s="215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7" t="str">
        <f t="shared" si="96"/>
        <v/>
      </c>
      <c r="V1192" s="215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7" t="str">
        <f t="shared" si="96"/>
        <v/>
      </c>
      <c r="V1193" s="215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7" t="str">
        <f t="shared" si="96"/>
        <v/>
      </c>
      <c r="V1194" s="215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7" t="str">
        <f t="shared" si="96"/>
        <v/>
      </c>
      <c r="V1195" s="215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7" t="str">
        <f t="shared" si="96"/>
        <v/>
      </c>
      <c r="V1196" s="215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7" t="str">
        <f t="shared" si="96"/>
        <v/>
      </c>
      <c r="V1197" s="215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7" t="str">
        <f t="shared" si="96"/>
        <v/>
      </c>
      <c r="V1198" s="215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7" t="str">
        <f t="shared" si="96"/>
        <v/>
      </c>
      <c r="V1199" s="215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7" t="str">
        <f t="shared" si="96"/>
        <v/>
      </c>
      <c r="V1200" s="215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7" t="str">
        <f t="shared" si="96"/>
        <v/>
      </c>
      <c r="V1201" s="215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7" t="str">
        <f t="shared" si="96"/>
        <v/>
      </c>
      <c r="V1202" s="215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7" t="str">
        <f t="shared" si="96"/>
        <v/>
      </c>
      <c r="V1203" s="215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7" t="str">
        <f t="shared" si="96"/>
        <v/>
      </c>
      <c r="V1204" s="215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7" t="str">
        <f t="shared" si="96"/>
        <v/>
      </c>
      <c r="V1205" s="215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7" t="str">
        <f t="shared" si="96"/>
        <v/>
      </c>
      <c r="V1206" s="215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7" t="str">
        <f t="shared" si="96"/>
        <v/>
      </c>
      <c r="V1207" s="215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7" t="str">
        <f t="shared" si="96"/>
        <v/>
      </c>
      <c r="V1208" s="215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7" t="str">
        <f t="shared" si="96"/>
        <v/>
      </c>
      <c r="V1209" s="215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7" t="str">
        <f t="shared" si="96"/>
        <v/>
      </c>
      <c r="V1210" s="215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7" t="str">
        <f t="shared" si="96"/>
        <v/>
      </c>
      <c r="V1211" s="215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7" t="str">
        <f t="shared" si="96"/>
        <v/>
      </c>
      <c r="V1212" s="215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7" t="str">
        <f t="shared" si="96"/>
        <v/>
      </c>
      <c r="V1213" s="215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7" t="str">
        <f t="shared" si="96"/>
        <v/>
      </c>
      <c r="V1214" s="215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7" t="str">
        <f t="shared" si="96"/>
        <v/>
      </c>
      <c r="V1215" s="215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7" t="str">
        <f t="shared" si="96"/>
        <v/>
      </c>
      <c r="V1216" s="215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7" t="str">
        <f t="shared" si="96"/>
        <v/>
      </c>
      <c r="V1217" s="215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7" t="str">
        <f t="shared" ref="U1218:U1281" si="101">IF(OR($D1218="",$H1218=""),"",ROUND($D1218+$H1218,2))</f>
        <v/>
      </c>
      <c r="V1218" s="215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7" t="str">
        <f t="shared" si="101"/>
        <v/>
      </c>
      <c r="V1219" s="215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7" t="str">
        <f t="shared" si="101"/>
        <v/>
      </c>
      <c r="V1220" s="215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7" t="str">
        <f t="shared" si="101"/>
        <v/>
      </c>
      <c r="V1221" s="215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7" t="str">
        <f t="shared" si="101"/>
        <v/>
      </c>
      <c r="V1222" s="215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7" t="str">
        <f t="shared" si="101"/>
        <v/>
      </c>
      <c r="V1223" s="215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7" t="str">
        <f t="shared" si="101"/>
        <v/>
      </c>
      <c r="V1224" s="215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7" t="str">
        <f t="shared" si="101"/>
        <v/>
      </c>
      <c r="V1225" s="215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7" t="str">
        <f t="shared" si="101"/>
        <v/>
      </c>
      <c r="V1226" s="215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7" t="str">
        <f t="shared" si="101"/>
        <v/>
      </c>
      <c r="V1227" s="215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7" t="str">
        <f t="shared" si="101"/>
        <v/>
      </c>
      <c r="V1228" s="215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7" t="str">
        <f t="shared" si="101"/>
        <v/>
      </c>
      <c r="V1229" s="215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7" t="str">
        <f t="shared" si="101"/>
        <v/>
      </c>
      <c r="V1230" s="215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7" t="str">
        <f t="shared" si="101"/>
        <v/>
      </c>
      <c r="V1231" s="215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7" t="str">
        <f t="shared" si="101"/>
        <v/>
      </c>
      <c r="V1232" s="215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7" t="str">
        <f t="shared" si="101"/>
        <v/>
      </c>
      <c r="V1233" s="215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7" t="str">
        <f t="shared" si="101"/>
        <v/>
      </c>
      <c r="V1234" s="215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7" t="str">
        <f t="shared" si="101"/>
        <v/>
      </c>
      <c r="V1235" s="215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7" t="str">
        <f t="shared" si="101"/>
        <v/>
      </c>
      <c r="V1236" s="215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7" t="str">
        <f t="shared" si="101"/>
        <v/>
      </c>
      <c r="V1237" s="215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7" t="str">
        <f t="shared" si="101"/>
        <v/>
      </c>
      <c r="V1238" s="215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7" t="str">
        <f t="shared" si="101"/>
        <v/>
      </c>
      <c r="V1239" s="215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7" t="str">
        <f t="shared" si="101"/>
        <v/>
      </c>
      <c r="V1240" s="215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7" t="str">
        <f t="shared" si="101"/>
        <v/>
      </c>
      <c r="V1241" s="215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7" t="str">
        <f t="shared" si="101"/>
        <v/>
      </c>
      <c r="V1242" s="215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7" t="str">
        <f t="shared" si="101"/>
        <v/>
      </c>
      <c r="V1243" s="215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7" t="str">
        <f t="shared" si="101"/>
        <v/>
      </c>
      <c r="V1244" s="215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7" t="str">
        <f t="shared" si="101"/>
        <v/>
      </c>
      <c r="V1245" s="215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7" t="str">
        <f t="shared" si="101"/>
        <v/>
      </c>
      <c r="V1246" s="215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7" t="str">
        <f t="shared" si="101"/>
        <v/>
      </c>
      <c r="V1247" s="215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7" t="str">
        <f t="shared" si="101"/>
        <v/>
      </c>
      <c r="V1248" s="215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7" t="str">
        <f t="shared" si="101"/>
        <v/>
      </c>
      <c r="V1249" s="215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7" t="str">
        <f t="shared" si="101"/>
        <v/>
      </c>
      <c r="V1250" s="215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7" t="str">
        <f t="shared" si="101"/>
        <v/>
      </c>
      <c r="V1251" s="215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7" t="str">
        <f t="shared" si="101"/>
        <v/>
      </c>
      <c r="V1252" s="215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7" t="str">
        <f t="shared" si="101"/>
        <v/>
      </c>
      <c r="V1253" s="215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7" t="str">
        <f t="shared" si="101"/>
        <v/>
      </c>
      <c r="V1254" s="215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7" t="str">
        <f t="shared" si="101"/>
        <v/>
      </c>
      <c r="V1255" s="215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7" t="str">
        <f t="shared" si="101"/>
        <v/>
      </c>
      <c r="V1256" s="215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7" t="str">
        <f t="shared" si="101"/>
        <v/>
      </c>
      <c r="V1257" s="215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7" t="str">
        <f t="shared" si="101"/>
        <v/>
      </c>
      <c r="V1258" s="215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7" t="str">
        <f t="shared" si="101"/>
        <v/>
      </c>
      <c r="V1259" s="215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7" t="str">
        <f t="shared" si="101"/>
        <v/>
      </c>
      <c r="V1260" s="215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7" t="str">
        <f t="shared" si="101"/>
        <v/>
      </c>
      <c r="V1261" s="215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7" t="str">
        <f t="shared" si="101"/>
        <v/>
      </c>
      <c r="V1262" s="215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7" t="str">
        <f t="shared" si="101"/>
        <v/>
      </c>
      <c r="V1263" s="215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7" t="str">
        <f t="shared" si="101"/>
        <v/>
      </c>
      <c r="V1264" s="215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7" t="str">
        <f t="shared" si="101"/>
        <v/>
      </c>
      <c r="V1265" s="215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7" t="str">
        <f t="shared" si="101"/>
        <v/>
      </c>
      <c r="V1266" s="215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7" t="str">
        <f t="shared" si="101"/>
        <v/>
      </c>
      <c r="V1267" s="215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7" t="str">
        <f t="shared" si="101"/>
        <v/>
      </c>
      <c r="V1268" s="215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7" t="str">
        <f t="shared" si="101"/>
        <v/>
      </c>
      <c r="V1269" s="215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7" t="str">
        <f t="shared" si="101"/>
        <v/>
      </c>
      <c r="V1270" s="215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7" t="str">
        <f t="shared" si="101"/>
        <v/>
      </c>
      <c r="V1271" s="215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7" t="str">
        <f t="shared" si="101"/>
        <v/>
      </c>
      <c r="V1272" s="215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7" t="str">
        <f t="shared" si="101"/>
        <v/>
      </c>
      <c r="V1273" s="215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7" t="str">
        <f t="shared" si="101"/>
        <v/>
      </c>
      <c r="V1274" s="215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7" t="str">
        <f t="shared" si="101"/>
        <v/>
      </c>
      <c r="V1275" s="215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7" t="str">
        <f t="shared" si="101"/>
        <v/>
      </c>
      <c r="V1276" s="215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7" t="str">
        <f t="shared" si="101"/>
        <v/>
      </c>
      <c r="V1277" s="215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7" t="str">
        <f t="shared" si="101"/>
        <v/>
      </c>
      <c r="V1278" s="215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7" t="str">
        <f t="shared" si="101"/>
        <v/>
      </c>
      <c r="V1279" s="215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7" t="str">
        <f t="shared" si="101"/>
        <v/>
      </c>
      <c r="V1280" s="215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7" t="str">
        <f t="shared" si="101"/>
        <v/>
      </c>
      <c r="V1281" s="215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7" t="str">
        <f t="shared" ref="U1282:U1345" si="106">IF(OR($D1282="",$H1282=""),"",ROUND($D1282+$H1282,2))</f>
        <v/>
      </c>
      <c r="V1282" s="215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7" t="str">
        <f t="shared" si="106"/>
        <v/>
      </c>
      <c r="V1283" s="215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7" t="str">
        <f t="shared" si="106"/>
        <v/>
      </c>
      <c r="V1284" s="215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7" t="str">
        <f t="shared" si="106"/>
        <v/>
      </c>
      <c r="V1285" s="215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7" t="str">
        <f t="shared" si="106"/>
        <v/>
      </c>
      <c r="V1286" s="215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7" t="str">
        <f t="shared" si="106"/>
        <v/>
      </c>
      <c r="V1287" s="215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7" t="str">
        <f t="shared" si="106"/>
        <v/>
      </c>
      <c r="V1288" s="215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7" t="str">
        <f t="shared" si="106"/>
        <v/>
      </c>
      <c r="V1289" s="215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7" t="str">
        <f t="shared" si="106"/>
        <v/>
      </c>
      <c r="V1290" s="215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7" t="str">
        <f t="shared" si="106"/>
        <v/>
      </c>
      <c r="V1291" s="215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7" t="str">
        <f t="shared" si="106"/>
        <v/>
      </c>
      <c r="V1292" s="215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7" t="str">
        <f t="shared" si="106"/>
        <v/>
      </c>
      <c r="V1293" s="215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7" t="str">
        <f t="shared" si="106"/>
        <v/>
      </c>
      <c r="V1294" s="215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7" t="str">
        <f t="shared" si="106"/>
        <v/>
      </c>
      <c r="V1295" s="215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7" t="str">
        <f t="shared" si="106"/>
        <v/>
      </c>
      <c r="V1296" s="215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7" t="str">
        <f t="shared" si="106"/>
        <v/>
      </c>
      <c r="V1297" s="215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7" t="str">
        <f t="shared" si="106"/>
        <v/>
      </c>
      <c r="V1298" s="215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7" t="str">
        <f t="shared" si="106"/>
        <v/>
      </c>
      <c r="V1299" s="215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7" t="str">
        <f t="shared" si="106"/>
        <v/>
      </c>
      <c r="V1300" s="215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7" t="str">
        <f t="shared" si="106"/>
        <v/>
      </c>
      <c r="V1301" s="215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7" t="str">
        <f t="shared" si="106"/>
        <v/>
      </c>
      <c r="V1302" s="215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7" t="str">
        <f t="shared" si="106"/>
        <v/>
      </c>
      <c r="V1303" s="215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7" t="str">
        <f t="shared" si="106"/>
        <v/>
      </c>
      <c r="V1304" s="215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7" t="str">
        <f t="shared" si="106"/>
        <v/>
      </c>
      <c r="V1305" s="215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7" t="str">
        <f t="shared" si="106"/>
        <v/>
      </c>
      <c r="V1306" s="215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7" t="str">
        <f t="shared" si="106"/>
        <v/>
      </c>
      <c r="V1307" s="215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7" t="str">
        <f t="shared" si="106"/>
        <v/>
      </c>
      <c r="V1308" s="215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7" t="str">
        <f t="shared" si="106"/>
        <v/>
      </c>
      <c r="V1309" s="215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7" t="str">
        <f t="shared" si="106"/>
        <v/>
      </c>
      <c r="V1310" s="215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7" t="str">
        <f t="shared" si="106"/>
        <v/>
      </c>
      <c r="V1311" s="215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7" t="str">
        <f t="shared" si="106"/>
        <v/>
      </c>
      <c r="V1312" s="215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7" t="str">
        <f t="shared" si="106"/>
        <v/>
      </c>
      <c r="V1313" s="215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7" t="str">
        <f t="shared" si="106"/>
        <v/>
      </c>
      <c r="V1314" s="215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7" t="str">
        <f t="shared" si="106"/>
        <v/>
      </c>
      <c r="V1315" s="215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7" t="str">
        <f t="shared" si="106"/>
        <v/>
      </c>
      <c r="V1316" s="215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7" t="str">
        <f t="shared" si="106"/>
        <v/>
      </c>
      <c r="V1317" s="215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7" t="str">
        <f t="shared" si="106"/>
        <v/>
      </c>
      <c r="V1318" s="215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7" t="str">
        <f t="shared" si="106"/>
        <v/>
      </c>
      <c r="V1319" s="215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7" t="str">
        <f t="shared" si="106"/>
        <v/>
      </c>
      <c r="V1320" s="215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7" t="str">
        <f t="shared" si="106"/>
        <v/>
      </c>
      <c r="V1321" s="215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7" t="str">
        <f t="shared" si="106"/>
        <v/>
      </c>
      <c r="V1322" s="215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7" t="str">
        <f t="shared" si="106"/>
        <v/>
      </c>
      <c r="V1323" s="215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7" t="str">
        <f t="shared" si="106"/>
        <v/>
      </c>
      <c r="V1324" s="215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7" t="str">
        <f t="shared" si="106"/>
        <v/>
      </c>
      <c r="V1325" s="215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7" t="str">
        <f t="shared" si="106"/>
        <v/>
      </c>
      <c r="V1326" s="215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7" t="str">
        <f t="shared" si="106"/>
        <v/>
      </c>
      <c r="V1327" s="215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7" t="str">
        <f t="shared" si="106"/>
        <v/>
      </c>
      <c r="V1328" s="215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7" t="str">
        <f t="shared" si="106"/>
        <v/>
      </c>
      <c r="V1329" s="215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7" t="str">
        <f t="shared" si="106"/>
        <v/>
      </c>
      <c r="V1330" s="215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7" t="str">
        <f t="shared" si="106"/>
        <v/>
      </c>
      <c r="V1331" s="215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7" t="str">
        <f t="shared" si="106"/>
        <v/>
      </c>
      <c r="V1332" s="215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7" t="str">
        <f t="shared" si="106"/>
        <v/>
      </c>
      <c r="V1333" s="215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7" t="str">
        <f t="shared" si="106"/>
        <v/>
      </c>
      <c r="V1334" s="215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7" t="str">
        <f t="shared" si="106"/>
        <v/>
      </c>
      <c r="V1335" s="215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7" t="str">
        <f t="shared" si="106"/>
        <v/>
      </c>
      <c r="V1336" s="215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7" t="str">
        <f t="shared" si="106"/>
        <v/>
      </c>
      <c r="V1337" s="215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7" t="str">
        <f t="shared" si="106"/>
        <v/>
      </c>
      <c r="V1338" s="215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7" t="str">
        <f t="shared" si="106"/>
        <v/>
      </c>
      <c r="V1339" s="215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7" t="str">
        <f t="shared" si="106"/>
        <v/>
      </c>
      <c r="V1340" s="215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7" t="str">
        <f t="shared" si="106"/>
        <v/>
      </c>
      <c r="V1341" s="215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7" t="str">
        <f t="shared" si="106"/>
        <v/>
      </c>
      <c r="V1342" s="215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7" t="str">
        <f t="shared" si="106"/>
        <v/>
      </c>
      <c r="V1343" s="215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7" t="str">
        <f t="shared" si="106"/>
        <v/>
      </c>
      <c r="V1344" s="215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7" t="str">
        <f t="shared" si="106"/>
        <v/>
      </c>
      <c r="V1345" s="215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7" t="str">
        <f t="shared" ref="U1346:U1409" si="111">IF(OR($D1346="",$H1346=""),"",ROUND($D1346+$H1346,2))</f>
        <v/>
      </c>
      <c r="V1346" s="215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7" t="str">
        <f t="shared" si="111"/>
        <v/>
      </c>
      <c r="V1347" s="215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7" t="str">
        <f t="shared" si="111"/>
        <v/>
      </c>
      <c r="V1348" s="215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7" t="str">
        <f t="shared" si="111"/>
        <v/>
      </c>
      <c r="V1349" s="215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7" t="str">
        <f t="shared" si="111"/>
        <v/>
      </c>
      <c r="V1350" s="215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7" t="str">
        <f t="shared" si="111"/>
        <v/>
      </c>
      <c r="V1351" s="215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7" t="str">
        <f t="shared" si="111"/>
        <v/>
      </c>
      <c r="V1352" s="215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7" t="str">
        <f t="shared" si="111"/>
        <v/>
      </c>
      <c r="V1353" s="215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7" t="str">
        <f t="shared" si="111"/>
        <v/>
      </c>
      <c r="V1354" s="215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7" t="str">
        <f t="shared" si="111"/>
        <v/>
      </c>
      <c r="V1355" s="215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7" t="str">
        <f t="shared" si="111"/>
        <v/>
      </c>
      <c r="V1356" s="215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7" t="str">
        <f t="shared" si="111"/>
        <v/>
      </c>
      <c r="V1357" s="215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7" t="str">
        <f t="shared" si="111"/>
        <v/>
      </c>
      <c r="V1358" s="215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7" t="str">
        <f t="shared" si="111"/>
        <v/>
      </c>
      <c r="V1359" s="215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7" t="str">
        <f t="shared" si="111"/>
        <v/>
      </c>
      <c r="V1360" s="215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7" t="str">
        <f t="shared" si="111"/>
        <v/>
      </c>
      <c r="V1361" s="215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7" t="str">
        <f t="shared" si="111"/>
        <v/>
      </c>
      <c r="V1362" s="215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7" t="str">
        <f t="shared" si="111"/>
        <v/>
      </c>
      <c r="V1363" s="215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7" t="str">
        <f t="shared" si="111"/>
        <v/>
      </c>
      <c r="V1364" s="215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7" t="str">
        <f t="shared" si="111"/>
        <v/>
      </c>
      <c r="V1365" s="215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7" t="str">
        <f t="shared" si="111"/>
        <v/>
      </c>
      <c r="V1366" s="215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7" t="str">
        <f t="shared" si="111"/>
        <v/>
      </c>
      <c r="V1367" s="215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7" t="str">
        <f t="shared" si="111"/>
        <v/>
      </c>
      <c r="V1368" s="215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7" t="str">
        <f t="shared" si="111"/>
        <v/>
      </c>
      <c r="V1369" s="215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7" t="str">
        <f t="shared" si="111"/>
        <v/>
      </c>
      <c r="V1370" s="215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7" t="str">
        <f t="shared" si="111"/>
        <v/>
      </c>
      <c r="V1371" s="215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7" t="str">
        <f t="shared" si="111"/>
        <v/>
      </c>
      <c r="V1372" s="215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7" t="str">
        <f t="shared" si="111"/>
        <v/>
      </c>
      <c r="V1373" s="215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7" t="str">
        <f t="shared" si="111"/>
        <v/>
      </c>
      <c r="V1374" s="215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7" t="str">
        <f t="shared" si="111"/>
        <v/>
      </c>
      <c r="V1375" s="215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7" t="str">
        <f t="shared" si="111"/>
        <v/>
      </c>
      <c r="V1376" s="215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7" t="str">
        <f t="shared" si="111"/>
        <v/>
      </c>
      <c r="V1377" s="215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7" t="str">
        <f t="shared" si="111"/>
        <v/>
      </c>
      <c r="V1378" s="215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7" t="str">
        <f t="shared" si="111"/>
        <v/>
      </c>
      <c r="V1379" s="215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7" t="str">
        <f t="shared" si="111"/>
        <v/>
      </c>
      <c r="V1380" s="215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7" t="str">
        <f t="shared" si="111"/>
        <v/>
      </c>
      <c r="V1381" s="215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7" t="str">
        <f t="shared" si="111"/>
        <v/>
      </c>
      <c r="V1382" s="215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7" t="str">
        <f t="shared" si="111"/>
        <v/>
      </c>
      <c r="V1383" s="215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7" t="str">
        <f t="shared" si="111"/>
        <v/>
      </c>
      <c r="V1384" s="215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7" t="str">
        <f t="shared" si="111"/>
        <v/>
      </c>
      <c r="V1385" s="215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7" t="str">
        <f t="shared" si="111"/>
        <v/>
      </c>
      <c r="V1386" s="215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7" t="str">
        <f t="shared" si="111"/>
        <v/>
      </c>
      <c r="V1387" s="215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7" t="str">
        <f t="shared" si="111"/>
        <v/>
      </c>
      <c r="V1388" s="215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7" t="str">
        <f t="shared" si="111"/>
        <v/>
      </c>
      <c r="V1389" s="215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7" t="str">
        <f t="shared" si="111"/>
        <v/>
      </c>
      <c r="V1390" s="215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7" t="str">
        <f t="shared" si="111"/>
        <v/>
      </c>
      <c r="V1391" s="215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7" t="str">
        <f t="shared" si="111"/>
        <v/>
      </c>
      <c r="V1392" s="215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7" t="str">
        <f t="shared" si="111"/>
        <v/>
      </c>
      <c r="V1393" s="215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7" t="str">
        <f t="shared" si="111"/>
        <v/>
      </c>
      <c r="V1394" s="215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7" t="str">
        <f t="shared" si="111"/>
        <v/>
      </c>
      <c r="V1395" s="215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7" t="str">
        <f t="shared" si="111"/>
        <v/>
      </c>
      <c r="V1396" s="215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7" t="str">
        <f t="shared" si="111"/>
        <v/>
      </c>
      <c r="V1397" s="215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7" t="str">
        <f t="shared" si="111"/>
        <v/>
      </c>
      <c r="V1398" s="215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7" t="str">
        <f t="shared" si="111"/>
        <v/>
      </c>
      <c r="V1399" s="215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7" t="str">
        <f t="shared" si="111"/>
        <v/>
      </c>
      <c r="V1400" s="215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7" t="str">
        <f t="shared" si="111"/>
        <v/>
      </c>
      <c r="V1401" s="215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7" t="str">
        <f t="shared" si="111"/>
        <v/>
      </c>
      <c r="V1402" s="215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7" t="str">
        <f t="shared" si="111"/>
        <v/>
      </c>
      <c r="V1403" s="215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7" t="str">
        <f t="shared" si="111"/>
        <v/>
      </c>
      <c r="V1404" s="215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7" t="str">
        <f t="shared" si="111"/>
        <v/>
      </c>
      <c r="V1405" s="215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7" t="str">
        <f t="shared" si="111"/>
        <v/>
      </c>
      <c r="V1406" s="215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7" t="str">
        <f t="shared" si="111"/>
        <v/>
      </c>
      <c r="V1407" s="215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7" t="str">
        <f t="shared" si="111"/>
        <v/>
      </c>
      <c r="V1408" s="215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7" t="str">
        <f t="shared" si="111"/>
        <v/>
      </c>
      <c r="V1409" s="215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7" t="str">
        <f t="shared" ref="U1410:U1473" si="116">IF(OR($D1410="",$H1410=""),"",ROUND($D1410+$H1410,2))</f>
        <v/>
      </c>
      <c r="V1410" s="215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7" t="str">
        <f t="shared" si="116"/>
        <v/>
      </c>
      <c r="V1411" s="215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7" t="str">
        <f t="shared" si="116"/>
        <v/>
      </c>
      <c r="V1412" s="215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7" t="str">
        <f t="shared" si="116"/>
        <v/>
      </c>
      <c r="V1413" s="215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7" t="str">
        <f t="shared" si="116"/>
        <v/>
      </c>
      <c r="V1414" s="215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7" t="str">
        <f t="shared" si="116"/>
        <v/>
      </c>
      <c r="V1415" s="215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7" t="str">
        <f t="shared" si="116"/>
        <v/>
      </c>
      <c r="V1416" s="215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7" t="str">
        <f t="shared" si="116"/>
        <v/>
      </c>
      <c r="V1417" s="215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7" t="str">
        <f t="shared" si="116"/>
        <v/>
      </c>
      <c r="V1418" s="215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7" t="str">
        <f t="shared" si="116"/>
        <v/>
      </c>
      <c r="V1419" s="215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7" t="str">
        <f t="shared" si="116"/>
        <v/>
      </c>
      <c r="V1420" s="215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7" t="str">
        <f t="shared" si="116"/>
        <v/>
      </c>
      <c r="V1421" s="215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7" t="str">
        <f t="shared" si="116"/>
        <v/>
      </c>
      <c r="V1422" s="215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7" t="str">
        <f t="shared" si="116"/>
        <v/>
      </c>
      <c r="V1423" s="215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7" t="str">
        <f t="shared" si="116"/>
        <v/>
      </c>
      <c r="V1424" s="215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7" t="str">
        <f t="shared" si="116"/>
        <v/>
      </c>
      <c r="V1425" s="215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7" t="str">
        <f t="shared" si="116"/>
        <v/>
      </c>
      <c r="V1426" s="215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7" t="str">
        <f t="shared" si="116"/>
        <v/>
      </c>
      <c r="V1427" s="215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7" t="str">
        <f t="shared" si="116"/>
        <v/>
      </c>
      <c r="V1428" s="215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7" t="str">
        <f t="shared" si="116"/>
        <v/>
      </c>
      <c r="V1429" s="215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7" t="str">
        <f t="shared" si="116"/>
        <v/>
      </c>
      <c r="V1430" s="215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7" t="str">
        <f t="shared" si="116"/>
        <v/>
      </c>
      <c r="V1431" s="215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7" t="str">
        <f t="shared" si="116"/>
        <v/>
      </c>
      <c r="V1432" s="215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7" t="str">
        <f t="shared" si="116"/>
        <v/>
      </c>
      <c r="V1433" s="215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7" t="str">
        <f t="shared" si="116"/>
        <v/>
      </c>
      <c r="V1434" s="215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7" t="str">
        <f t="shared" si="116"/>
        <v/>
      </c>
      <c r="V1435" s="215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7" t="str">
        <f t="shared" si="116"/>
        <v/>
      </c>
      <c r="V1436" s="215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7" t="str">
        <f t="shared" si="116"/>
        <v/>
      </c>
      <c r="V1437" s="215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7" t="str">
        <f t="shared" si="116"/>
        <v/>
      </c>
      <c r="V1438" s="215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7" t="str">
        <f t="shared" si="116"/>
        <v/>
      </c>
      <c r="V1439" s="215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7" t="str">
        <f t="shared" si="116"/>
        <v/>
      </c>
      <c r="V1440" s="215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7" t="str">
        <f t="shared" si="116"/>
        <v/>
      </c>
      <c r="V1441" s="215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7" t="str">
        <f t="shared" si="116"/>
        <v/>
      </c>
      <c r="V1442" s="215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7" t="str">
        <f t="shared" si="116"/>
        <v/>
      </c>
      <c r="V1443" s="215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7" t="str">
        <f t="shared" si="116"/>
        <v/>
      </c>
      <c r="V1444" s="215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7" t="str">
        <f t="shared" si="116"/>
        <v/>
      </c>
      <c r="V1445" s="215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7" t="str">
        <f t="shared" si="116"/>
        <v/>
      </c>
      <c r="V1446" s="215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7" t="str">
        <f t="shared" si="116"/>
        <v/>
      </c>
      <c r="V1447" s="215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7" t="str">
        <f t="shared" si="116"/>
        <v/>
      </c>
      <c r="V1448" s="215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7" t="str">
        <f t="shared" si="116"/>
        <v/>
      </c>
      <c r="V1449" s="215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7" t="str">
        <f t="shared" si="116"/>
        <v/>
      </c>
      <c r="V1450" s="215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7" t="str">
        <f t="shared" si="116"/>
        <v/>
      </c>
      <c r="V1451" s="215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7" t="str">
        <f t="shared" si="116"/>
        <v/>
      </c>
      <c r="V1452" s="215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7" t="str">
        <f t="shared" si="116"/>
        <v/>
      </c>
      <c r="V1453" s="215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7" t="str">
        <f t="shared" si="116"/>
        <v/>
      </c>
      <c r="V1454" s="215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7" t="str">
        <f t="shared" si="116"/>
        <v/>
      </c>
      <c r="V1455" s="215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7" t="str">
        <f t="shared" si="116"/>
        <v/>
      </c>
      <c r="V1456" s="215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7" t="str">
        <f t="shared" si="116"/>
        <v/>
      </c>
      <c r="V1457" s="215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7" t="str">
        <f t="shared" si="116"/>
        <v/>
      </c>
      <c r="V1458" s="215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7" t="str">
        <f t="shared" si="116"/>
        <v/>
      </c>
      <c r="V1459" s="215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7" t="str">
        <f t="shared" si="116"/>
        <v/>
      </c>
      <c r="V1460" s="215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7" t="str">
        <f t="shared" si="116"/>
        <v/>
      </c>
      <c r="V1461" s="215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7" t="str">
        <f t="shared" si="116"/>
        <v/>
      </c>
      <c r="V1462" s="215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7" t="str">
        <f t="shared" si="116"/>
        <v/>
      </c>
      <c r="V1463" s="215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7" t="str">
        <f t="shared" si="116"/>
        <v/>
      </c>
      <c r="V1464" s="215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7" t="str">
        <f t="shared" si="116"/>
        <v/>
      </c>
      <c r="V1465" s="215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7" t="str">
        <f t="shared" si="116"/>
        <v/>
      </c>
      <c r="V1466" s="215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7" t="str">
        <f t="shared" si="116"/>
        <v/>
      </c>
      <c r="V1467" s="215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7" t="str">
        <f t="shared" si="116"/>
        <v/>
      </c>
      <c r="V1468" s="215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7" t="str">
        <f t="shared" si="116"/>
        <v/>
      </c>
      <c r="V1469" s="215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7" t="str">
        <f t="shared" si="116"/>
        <v/>
      </c>
      <c r="V1470" s="215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7" t="str">
        <f t="shared" si="116"/>
        <v/>
      </c>
      <c r="V1471" s="215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7" t="str">
        <f t="shared" si="116"/>
        <v/>
      </c>
      <c r="V1472" s="215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7" t="str">
        <f t="shared" si="116"/>
        <v/>
      </c>
      <c r="V1473" s="215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7" t="str">
        <f t="shared" ref="U1474:U1537" si="121">IF(OR($D1474="",$H1474=""),"",ROUND($D1474+$H1474,2))</f>
        <v/>
      </c>
      <c r="V1474" s="215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7" t="str">
        <f t="shared" si="121"/>
        <v/>
      </c>
      <c r="V1475" s="215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7" t="str">
        <f t="shared" si="121"/>
        <v/>
      </c>
      <c r="V1476" s="215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7" t="str">
        <f t="shared" si="121"/>
        <v/>
      </c>
      <c r="V1477" s="215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7" t="str">
        <f t="shared" si="121"/>
        <v/>
      </c>
      <c r="V1478" s="215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7" t="str">
        <f t="shared" si="121"/>
        <v/>
      </c>
      <c r="V1479" s="215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7" t="str">
        <f t="shared" si="121"/>
        <v/>
      </c>
      <c r="V1480" s="215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7" t="str">
        <f t="shared" si="121"/>
        <v/>
      </c>
      <c r="V1481" s="215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7" t="str">
        <f t="shared" si="121"/>
        <v/>
      </c>
      <c r="V1482" s="215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7" t="str">
        <f t="shared" si="121"/>
        <v/>
      </c>
      <c r="V1483" s="215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7" t="str">
        <f t="shared" si="121"/>
        <v/>
      </c>
      <c r="V1484" s="215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7" t="str">
        <f t="shared" si="121"/>
        <v/>
      </c>
      <c r="V1485" s="215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7" t="str">
        <f t="shared" si="121"/>
        <v/>
      </c>
      <c r="V1486" s="215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7" t="str">
        <f t="shared" si="121"/>
        <v/>
      </c>
      <c r="V1487" s="215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7" t="str">
        <f t="shared" si="121"/>
        <v/>
      </c>
      <c r="V1488" s="215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7" t="str">
        <f t="shared" si="121"/>
        <v/>
      </c>
      <c r="V1489" s="215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7" t="str">
        <f t="shared" si="121"/>
        <v/>
      </c>
      <c r="V1490" s="215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7" t="str">
        <f t="shared" si="121"/>
        <v/>
      </c>
      <c r="V1491" s="215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7" t="str">
        <f t="shared" si="121"/>
        <v/>
      </c>
      <c r="V1492" s="215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7" t="str">
        <f t="shared" si="121"/>
        <v/>
      </c>
      <c r="V1493" s="215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7" t="str">
        <f t="shared" si="121"/>
        <v/>
      </c>
      <c r="V1494" s="215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7" t="str">
        <f t="shared" si="121"/>
        <v/>
      </c>
      <c r="V1495" s="215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7" t="str">
        <f t="shared" si="121"/>
        <v/>
      </c>
      <c r="V1496" s="215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7" t="str">
        <f t="shared" si="121"/>
        <v/>
      </c>
      <c r="V1497" s="215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7" t="str">
        <f t="shared" si="121"/>
        <v/>
      </c>
      <c r="V1498" s="215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7" t="str">
        <f t="shared" si="121"/>
        <v/>
      </c>
      <c r="V1499" s="215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7" t="str">
        <f t="shared" si="121"/>
        <v/>
      </c>
      <c r="V1500" s="215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7" t="str">
        <f t="shared" si="121"/>
        <v/>
      </c>
      <c r="V1501" s="215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7" t="str">
        <f t="shared" si="121"/>
        <v/>
      </c>
      <c r="V1502" s="215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7" t="str">
        <f t="shared" si="121"/>
        <v/>
      </c>
      <c r="V1503" s="215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7" t="str">
        <f t="shared" si="121"/>
        <v/>
      </c>
      <c r="V1504" s="215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7" t="str">
        <f t="shared" si="121"/>
        <v/>
      </c>
      <c r="V1505" s="215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7" t="str">
        <f t="shared" si="121"/>
        <v/>
      </c>
      <c r="V1506" s="215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7" t="str">
        <f t="shared" si="121"/>
        <v/>
      </c>
      <c r="V1507" s="215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7" t="str">
        <f t="shared" si="121"/>
        <v/>
      </c>
      <c r="V1508" s="215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7" t="str">
        <f t="shared" si="121"/>
        <v/>
      </c>
      <c r="V1509" s="215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7" t="str">
        <f t="shared" si="121"/>
        <v/>
      </c>
      <c r="V1510" s="215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7" t="str">
        <f t="shared" si="121"/>
        <v/>
      </c>
      <c r="V1511" s="215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7" t="str">
        <f t="shared" si="121"/>
        <v/>
      </c>
      <c r="V1512" s="215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7" t="str">
        <f t="shared" si="121"/>
        <v/>
      </c>
      <c r="V1513" s="215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7" t="str">
        <f t="shared" si="121"/>
        <v/>
      </c>
      <c r="V1514" s="215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7" t="str">
        <f t="shared" si="121"/>
        <v/>
      </c>
      <c r="V1515" s="215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7" t="str">
        <f t="shared" si="121"/>
        <v/>
      </c>
      <c r="V1516" s="215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7" t="str">
        <f t="shared" si="121"/>
        <v/>
      </c>
      <c r="V1517" s="215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7" t="str">
        <f t="shared" si="121"/>
        <v/>
      </c>
      <c r="V1518" s="215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7" t="str">
        <f t="shared" si="121"/>
        <v/>
      </c>
      <c r="V1519" s="215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7" t="str">
        <f t="shared" si="121"/>
        <v/>
      </c>
      <c r="V1520" s="215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7" t="str">
        <f t="shared" si="121"/>
        <v/>
      </c>
      <c r="V1521" s="215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7" t="str">
        <f t="shared" si="121"/>
        <v/>
      </c>
      <c r="V1522" s="215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7" t="str">
        <f t="shared" si="121"/>
        <v/>
      </c>
      <c r="V1523" s="215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7" t="str">
        <f t="shared" si="121"/>
        <v/>
      </c>
      <c r="V1524" s="215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7" t="str">
        <f t="shared" si="121"/>
        <v/>
      </c>
      <c r="V1525" s="215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7" t="str">
        <f t="shared" si="121"/>
        <v/>
      </c>
      <c r="V1526" s="215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7" t="str">
        <f t="shared" si="121"/>
        <v/>
      </c>
      <c r="V1527" s="215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7" t="str">
        <f t="shared" si="121"/>
        <v/>
      </c>
      <c r="V1528" s="215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7" t="str">
        <f t="shared" si="121"/>
        <v/>
      </c>
      <c r="V1529" s="215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7" t="str">
        <f t="shared" si="121"/>
        <v/>
      </c>
      <c r="V1530" s="215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7" t="str">
        <f t="shared" si="121"/>
        <v/>
      </c>
      <c r="V1531" s="215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7" t="str">
        <f t="shared" si="121"/>
        <v/>
      </c>
      <c r="V1532" s="215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7" t="str">
        <f t="shared" si="121"/>
        <v/>
      </c>
      <c r="V1533" s="215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7" t="str">
        <f t="shared" si="121"/>
        <v/>
      </c>
      <c r="V1534" s="215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7" t="str">
        <f t="shared" si="121"/>
        <v/>
      </c>
      <c r="V1535" s="215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7" t="str">
        <f t="shared" si="121"/>
        <v/>
      </c>
      <c r="V1536" s="215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7" t="str">
        <f t="shared" si="121"/>
        <v/>
      </c>
      <c r="V1537" s="215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7" t="str">
        <f t="shared" ref="U1538:U1601" si="126">IF(OR($D1538="",$H1538=""),"",ROUND($D1538+$H1538,2))</f>
        <v/>
      </c>
      <c r="V1538" s="215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7" t="str">
        <f t="shared" si="126"/>
        <v/>
      </c>
      <c r="V1539" s="215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7" t="str">
        <f t="shared" si="126"/>
        <v/>
      </c>
      <c r="V1540" s="215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7" t="str">
        <f t="shared" si="126"/>
        <v/>
      </c>
      <c r="V1541" s="215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7" t="str">
        <f t="shared" si="126"/>
        <v/>
      </c>
      <c r="V1542" s="215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7" t="str">
        <f t="shared" si="126"/>
        <v/>
      </c>
      <c r="V1543" s="215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7" t="str">
        <f t="shared" si="126"/>
        <v/>
      </c>
      <c r="V1544" s="215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7" t="str">
        <f t="shared" si="126"/>
        <v/>
      </c>
      <c r="V1545" s="215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7" t="str">
        <f t="shared" si="126"/>
        <v/>
      </c>
      <c r="V1546" s="215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7" t="str">
        <f t="shared" si="126"/>
        <v/>
      </c>
      <c r="V1547" s="215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7" t="str">
        <f t="shared" si="126"/>
        <v/>
      </c>
      <c r="V1548" s="215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7" t="str">
        <f t="shared" si="126"/>
        <v/>
      </c>
      <c r="V1549" s="215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7" t="str">
        <f t="shared" si="126"/>
        <v/>
      </c>
      <c r="V1550" s="215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7" t="str">
        <f t="shared" si="126"/>
        <v/>
      </c>
      <c r="V1551" s="215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7" t="str">
        <f t="shared" si="126"/>
        <v/>
      </c>
      <c r="V1552" s="215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7" t="str">
        <f t="shared" si="126"/>
        <v/>
      </c>
      <c r="V1553" s="215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7" t="str">
        <f t="shared" si="126"/>
        <v/>
      </c>
      <c r="V1554" s="215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7" t="str">
        <f t="shared" si="126"/>
        <v/>
      </c>
      <c r="V1555" s="215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7" t="str">
        <f t="shared" si="126"/>
        <v/>
      </c>
      <c r="V1556" s="215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7" t="str">
        <f t="shared" si="126"/>
        <v/>
      </c>
      <c r="V1557" s="215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7" t="str">
        <f t="shared" si="126"/>
        <v/>
      </c>
      <c r="V1558" s="215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7" t="str">
        <f t="shared" si="126"/>
        <v/>
      </c>
      <c r="V1559" s="215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7" t="str">
        <f t="shared" si="126"/>
        <v/>
      </c>
      <c r="V1560" s="215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7" t="str">
        <f t="shared" si="126"/>
        <v/>
      </c>
      <c r="V1561" s="215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7" t="str">
        <f t="shared" si="126"/>
        <v/>
      </c>
      <c r="V1562" s="215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7" t="str">
        <f t="shared" si="126"/>
        <v/>
      </c>
      <c r="V1563" s="215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7" t="str">
        <f t="shared" si="126"/>
        <v/>
      </c>
      <c r="V1564" s="215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7" t="str">
        <f t="shared" si="126"/>
        <v/>
      </c>
      <c r="V1565" s="215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7" t="str">
        <f t="shared" si="126"/>
        <v/>
      </c>
      <c r="V1566" s="215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7" t="str">
        <f t="shared" si="126"/>
        <v/>
      </c>
      <c r="V1567" s="215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7" t="str">
        <f t="shared" si="126"/>
        <v/>
      </c>
      <c r="V1568" s="215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7" t="str">
        <f t="shared" si="126"/>
        <v/>
      </c>
      <c r="V1569" s="215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7" t="str">
        <f t="shared" si="126"/>
        <v/>
      </c>
      <c r="V1570" s="215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7" t="str">
        <f t="shared" si="126"/>
        <v/>
      </c>
      <c r="V1571" s="215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7" t="str">
        <f t="shared" si="126"/>
        <v/>
      </c>
      <c r="V1572" s="215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7" t="str">
        <f t="shared" si="126"/>
        <v/>
      </c>
      <c r="V1573" s="215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7" t="str">
        <f t="shared" si="126"/>
        <v/>
      </c>
      <c r="V1574" s="215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7" t="str">
        <f t="shared" si="126"/>
        <v/>
      </c>
      <c r="V1575" s="215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7" t="str">
        <f t="shared" si="126"/>
        <v/>
      </c>
      <c r="V1576" s="215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7" t="str">
        <f t="shared" si="126"/>
        <v/>
      </c>
      <c r="V1577" s="215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7" t="str">
        <f t="shared" si="126"/>
        <v/>
      </c>
      <c r="V1578" s="215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7" t="str">
        <f t="shared" si="126"/>
        <v/>
      </c>
      <c r="V1579" s="215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7" t="str">
        <f t="shared" si="126"/>
        <v/>
      </c>
      <c r="V1580" s="215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7" t="str">
        <f t="shared" si="126"/>
        <v/>
      </c>
      <c r="V1581" s="215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7" t="str">
        <f t="shared" si="126"/>
        <v/>
      </c>
      <c r="V1582" s="215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7" t="str">
        <f t="shared" si="126"/>
        <v/>
      </c>
      <c r="V1583" s="215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7" t="str">
        <f t="shared" si="126"/>
        <v/>
      </c>
      <c r="V1584" s="215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7" t="str">
        <f t="shared" si="126"/>
        <v/>
      </c>
      <c r="V1585" s="215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7" t="str">
        <f t="shared" si="126"/>
        <v/>
      </c>
      <c r="V1586" s="215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7" t="str">
        <f t="shared" si="126"/>
        <v/>
      </c>
      <c r="V1587" s="215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7" t="str">
        <f t="shared" si="126"/>
        <v/>
      </c>
      <c r="V1588" s="215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7" t="str">
        <f t="shared" si="126"/>
        <v/>
      </c>
      <c r="V1589" s="215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7" t="str">
        <f t="shared" si="126"/>
        <v/>
      </c>
      <c r="V1590" s="215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7" t="str">
        <f t="shared" si="126"/>
        <v/>
      </c>
      <c r="V1591" s="215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7" t="str">
        <f t="shared" si="126"/>
        <v/>
      </c>
      <c r="V1592" s="215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7" t="str">
        <f t="shared" si="126"/>
        <v/>
      </c>
      <c r="V1593" s="215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7" t="str">
        <f t="shared" si="126"/>
        <v/>
      </c>
      <c r="V1594" s="215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7" t="str">
        <f t="shared" si="126"/>
        <v/>
      </c>
      <c r="V1595" s="215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7" t="str">
        <f t="shared" si="126"/>
        <v/>
      </c>
      <c r="V1596" s="215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7" t="str">
        <f t="shared" si="126"/>
        <v/>
      </c>
      <c r="V1597" s="215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7" t="str">
        <f t="shared" si="126"/>
        <v/>
      </c>
      <c r="V1598" s="215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7" t="str">
        <f t="shared" si="126"/>
        <v/>
      </c>
      <c r="V1599" s="215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7" t="str">
        <f t="shared" si="126"/>
        <v/>
      </c>
      <c r="V1600" s="215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7" t="str">
        <f t="shared" si="126"/>
        <v/>
      </c>
      <c r="V1601" s="215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7" t="str">
        <f t="shared" ref="U1602:U1665" si="131">IF(OR($D1602="",$H1602=""),"",ROUND($D1602+$H1602,2))</f>
        <v/>
      </c>
      <c r="V1602" s="215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7" t="str">
        <f t="shared" si="131"/>
        <v/>
      </c>
      <c r="V1603" s="215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7" t="str">
        <f t="shared" si="131"/>
        <v/>
      </c>
      <c r="V1604" s="215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7" t="str">
        <f t="shared" si="131"/>
        <v/>
      </c>
      <c r="V1605" s="215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7" t="str">
        <f t="shared" si="131"/>
        <v/>
      </c>
      <c r="V1606" s="215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7" t="str">
        <f t="shared" si="131"/>
        <v/>
      </c>
      <c r="V1607" s="215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7" t="str">
        <f t="shared" si="131"/>
        <v/>
      </c>
      <c r="V1608" s="215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7" t="str">
        <f t="shared" si="131"/>
        <v/>
      </c>
      <c r="V1609" s="215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7" t="str">
        <f t="shared" si="131"/>
        <v/>
      </c>
      <c r="V1610" s="215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7" t="str">
        <f t="shared" si="131"/>
        <v/>
      </c>
      <c r="V1611" s="215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7" t="str">
        <f t="shared" si="131"/>
        <v/>
      </c>
      <c r="V1612" s="215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7" t="str">
        <f t="shared" si="131"/>
        <v/>
      </c>
      <c r="V1613" s="215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7" t="str">
        <f t="shared" si="131"/>
        <v/>
      </c>
      <c r="V1614" s="215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7" t="str">
        <f t="shared" si="131"/>
        <v/>
      </c>
      <c r="V1615" s="215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7" t="str">
        <f t="shared" si="131"/>
        <v/>
      </c>
      <c r="V1616" s="215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7" t="str">
        <f t="shared" si="131"/>
        <v/>
      </c>
      <c r="V1617" s="215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7" t="str">
        <f t="shared" si="131"/>
        <v/>
      </c>
      <c r="V1618" s="215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7" t="str">
        <f t="shared" si="131"/>
        <v/>
      </c>
      <c r="V1619" s="215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7" t="str">
        <f t="shared" si="131"/>
        <v/>
      </c>
      <c r="V1620" s="215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7" t="str">
        <f t="shared" si="131"/>
        <v/>
      </c>
      <c r="V1621" s="215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7" t="str">
        <f t="shared" si="131"/>
        <v/>
      </c>
      <c r="V1622" s="215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7" t="str">
        <f t="shared" si="131"/>
        <v/>
      </c>
      <c r="V1623" s="215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7" t="str">
        <f t="shared" si="131"/>
        <v/>
      </c>
      <c r="V1624" s="215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7" t="str">
        <f t="shared" si="131"/>
        <v/>
      </c>
      <c r="V1625" s="215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7" t="str">
        <f t="shared" si="131"/>
        <v/>
      </c>
      <c r="V1626" s="215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7" t="str">
        <f t="shared" si="131"/>
        <v/>
      </c>
      <c r="V1627" s="215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7" t="str">
        <f t="shared" si="131"/>
        <v/>
      </c>
      <c r="V1628" s="215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7" t="str">
        <f t="shared" si="131"/>
        <v/>
      </c>
      <c r="V1629" s="215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7" t="str">
        <f t="shared" si="131"/>
        <v/>
      </c>
      <c r="V1630" s="215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7" t="str">
        <f t="shared" si="131"/>
        <v/>
      </c>
      <c r="V1631" s="215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7" t="str">
        <f t="shared" si="131"/>
        <v/>
      </c>
      <c r="V1632" s="215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7" t="str">
        <f t="shared" si="131"/>
        <v/>
      </c>
      <c r="V1633" s="215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7" t="str">
        <f t="shared" si="131"/>
        <v/>
      </c>
      <c r="V1634" s="215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7" t="str">
        <f t="shared" si="131"/>
        <v/>
      </c>
      <c r="V1635" s="215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7" t="str">
        <f t="shared" si="131"/>
        <v/>
      </c>
      <c r="V1636" s="215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7" t="str">
        <f t="shared" si="131"/>
        <v/>
      </c>
      <c r="V1637" s="215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7" t="str">
        <f t="shared" si="131"/>
        <v/>
      </c>
      <c r="V1638" s="215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7" t="str">
        <f t="shared" si="131"/>
        <v/>
      </c>
      <c r="V1639" s="215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7" t="str">
        <f t="shared" si="131"/>
        <v/>
      </c>
      <c r="V1640" s="215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7" t="str">
        <f t="shared" si="131"/>
        <v/>
      </c>
      <c r="V1641" s="215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7" t="str">
        <f t="shared" si="131"/>
        <v/>
      </c>
      <c r="V1642" s="215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7" t="str">
        <f t="shared" si="131"/>
        <v/>
      </c>
      <c r="V1643" s="215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7" t="str">
        <f t="shared" si="131"/>
        <v/>
      </c>
      <c r="V1644" s="215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7" t="str">
        <f t="shared" si="131"/>
        <v/>
      </c>
      <c r="V1645" s="215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7" t="str">
        <f t="shared" si="131"/>
        <v/>
      </c>
      <c r="V1646" s="215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7" t="str">
        <f t="shared" si="131"/>
        <v/>
      </c>
      <c r="V1647" s="215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7" t="str">
        <f t="shared" si="131"/>
        <v/>
      </c>
      <c r="V1648" s="215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7" t="str">
        <f t="shared" si="131"/>
        <v/>
      </c>
      <c r="V1649" s="215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7" t="str">
        <f t="shared" si="131"/>
        <v/>
      </c>
      <c r="V1650" s="215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7" t="str">
        <f t="shared" si="131"/>
        <v/>
      </c>
      <c r="V1651" s="215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7" t="str">
        <f t="shared" si="131"/>
        <v/>
      </c>
      <c r="V1652" s="215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7" t="str">
        <f t="shared" si="131"/>
        <v/>
      </c>
      <c r="V1653" s="215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7" t="str">
        <f t="shared" si="131"/>
        <v/>
      </c>
      <c r="V1654" s="215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7" t="str">
        <f t="shared" si="131"/>
        <v/>
      </c>
      <c r="V1655" s="215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7" t="str">
        <f t="shared" si="131"/>
        <v/>
      </c>
      <c r="V1656" s="215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7" t="str">
        <f t="shared" si="131"/>
        <v/>
      </c>
      <c r="V1657" s="215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7" t="str">
        <f t="shared" si="131"/>
        <v/>
      </c>
      <c r="V1658" s="215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7" t="str">
        <f t="shared" si="131"/>
        <v/>
      </c>
      <c r="V1659" s="215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7" t="str">
        <f t="shared" si="131"/>
        <v/>
      </c>
      <c r="V1660" s="215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7" t="str">
        <f t="shared" si="131"/>
        <v/>
      </c>
      <c r="V1661" s="215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7" t="str">
        <f t="shared" si="131"/>
        <v/>
      </c>
      <c r="V1662" s="215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7" t="str">
        <f t="shared" si="131"/>
        <v/>
      </c>
      <c r="V1663" s="215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7" t="str">
        <f t="shared" si="131"/>
        <v/>
      </c>
      <c r="V1664" s="215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7" t="str">
        <f t="shared" si="131"/>
        <v/>
      </c>
      <c r="V1665" s="215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7" t="str">
        <f t="shared" ref="U1666:U1729" si="136">IF(OR($D1666="",$H1666=""),"",ROUND($D1666+$H1666,2))</f>
        <v/>
      </c>
      <c r="V1666" s="215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7" t="str">
        <f t="shared" si="136"/>
        <v/>
      </c>
      <c r="V1667" s="215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7" t="str">
        <f t="shared" si="136"/>
        <v/>
      </c>
      <c r="V1668" s="215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7" t="str">
        <f t="shared" si="136"/>
        <v/>
      </c>
      <c r="V1669" s="215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7" t="str">
        <f t="shared" si="136"/>
        <v/>
      </c>
      <c r="V1670" s="215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7" t="str">
        <f t="shared" si="136"/>
        <v/>
      </c>
      <c r="V1671" s="215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7" t="str">
        <f t="shared" si="136"/>
        <v/>
      </c>
      <c r="V1672" s="215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7" t="str">
        <f t="shared" si="136"/>
        <v/>
      </c>
      <c r="V1673" s="215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7" t="str">
        <f t="shared" si="136"/>
        <v/>
      </c>
      <c r="V1674" s="215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7" t="str">
        <f t="shared" si="136"/>
        <v/>
      </c>
      <c r="V1675" s="215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7" t="str">
        <f t="shared" si="136"/>
        <v/>
      </c>
      <c r="V1676" s="215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7" t="str">
        <f t="shared" si="136"/>
        <v/>
      </c>
      <c r="V1677" s="215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7" t="str">
        <f t="shared" si="136"/>
        <v/>
      </c>
      <c r="V1678" s="215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7" t="str">
        <f t="shared" si="136"/>
        <v/>
      </c>
      <c r="V1679" s="215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7" t="str">
        <f t="shared" si="136"/>
        <v/>
      </c>
      <c r="V1680" s="215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7" t="str">
        <f t="shared" si="136"/>
        <v/>
      </c>
      <c r="V1681" s="215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7" t="str">
        <f t="shared" si="136"/>
        <v/>
      </c>
      <c r="V1682" s="215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7" t="str">
        <f t="shared" si="136"/>
        <v/>
      </c>
      <c r="V1683" s="215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7" t="str">
        <f t="shared" si="136"/>
        <v/>
      </c>
      <c r="V1684" s="215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7" t="str">
        <f t="shared" si="136"/>
        <v/>
      </c>
      <c r="V1685" s="215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7" t="str">
        <f t="shared" si="136"/>
        <v/>
      </c>
      <c r="V1686" s="215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7" t="str">
        <f t="shared" si="136"/>
        <v/>
      </c>
      <c r="V1687" s="215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7" t="str">
        <f t="shared" si="136"/>
        <v/>
      </c>
      <c r="V1688" s="215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7" t="str">
        <f t="shared" si="136"/>
        <v/>
      </c>
      <c r="V1689" s="215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7" t="str">
        <f t="shared" si="136"/>
        <v/>
      </c>
      <c r="V1690" s="215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7" t="str">
        <f t="shared" si="136"/>
        <v/>
      </c>
      <c r="V1691" s="215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7" t="str">
        <f t="shared" si="136"/>
        <v/>
      </c>
      <c r="V1692" s="215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7" t="str">
        <f t="shared" si="136"/>
        <v/>
      </c>
      <c r="V1693" s="215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7" t="str">
        <f t="shared" si="136"/>
        <v/>
      </c>
      <c r="V1694" s="215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7" t="str">
        <f t="shared" si="136"/>
        <v/>
      </c>
      <c r="V1695" s="215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7" t="str">
        <f t="shared" si="136"/>
        <v/>
      </c>
      <c r="V1696" s="215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7" t="str">
        <f t="shared" si="136"/>
        <v/>
      </c>
      <c r="V1697" s="215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7" t="str">
        <f t="shared" si="136"/>
        <v/>
      </c>
      <c r="V1698" s="215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7" t="str">
        <f t="shared" si="136"/>
        <v/>
      </c>
      <c r="V1699" s="215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7" t="str">
        <f t="shared" si="136"/>
        <v/>
      </c>
      <c r="V1700" s="215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7" t="str">
        <f t="shared" si="136"/>
        <v/>
      </c>
      <c r="V1701" s="215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7" t="str">
        <f t="shared" si="136"/>
        <v/>
      </c>
      <c r="V1702" s="215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7" t="str">
        <f t="shared" si="136"/>
        <v/>
      </c>
      <c r="V1703" s="215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7" t="str">
        <f t="shared" si="136"/>
        <v/>
      </c>
      <c r="V1704" s="215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7" t="str">
        <f t="shared" si="136"/>
        <v/>
      </c>
      <c r="V1705" s="215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7" t="str">
        <f t="shared" si="136"/>
        <v/>
      </c>
      <c r="V1706" s="215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7" t="str">
        <f t="shared" si="136"/>
        <v/>
      </c>
      <c r="V1707" s="215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7" t="str">
        <f t="shared" si="136"/>
        <v/>
      </c>
      <c r="V1708" s="215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7" t="str">
        <f t="shared" si="136"/>
        <v/>
      </c>
      <c r="V1709" s="215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7" t="str">
        <f t="shared" si="136"/>
        <v/>
      </c>
      <c r="V1710" s="215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7" t="str">
        <f t="shared" si="136"/>
        <v/>
      </c>
      <c r="V1711" s="215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7" t="str">
        <f t="shared" si="136"/>
        <v/>
      </c>
      <c r="V1712" s="215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7" t="str">
        <f t="shared" si="136"/>
        <v/>
      </c>
      <c r="V1713" s="215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7" t="str">
        <f t="shared" si="136"/>
        <v/>
      </c>
      <c r="V1714" s="215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7" t="str">
        <f t="shared" si="136"/>
        <v/>
      </c>
      <c r="V1715" s="215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7" t="str">
        <f t="shared" si="136"/>
        <v/>
      </c>
      <c r="V1716" s="215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7" t="str">
        <f t="shared" si="136"/>
        <v/>
      </c>
      <c r="V1717" s="215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7" t="str">
        <f t="shared" si="136"/>
        <v/>
      </c>
      <c r="V1718" s="215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7" t="str">
        <f t="shared" si="136"/>
        <v/>
      </c>
      <c r="V1719" s="215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7" t="str">
        <f t="shared" si="136"/>
        <v/>
      </c>
      <c r="V1720" s="215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7" t="str">
        <f t="shared" si="136"/>
        <v/>
      </c>
      <c r="V1721" s="215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7" t="str">
        <f t="shared" si="136"/>
        <v/>
      </c>
      <c r="V1722" s="215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7" t="str">
        <f t="shared" si="136"/>
        <v/>
      </c>
      <c r="V1723" s="215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7" t="str">
        <f t="shared" si="136"/>
        <v/>
      </c>
      <c r="V1724" s="215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7" t="str">
        <f t="shared" si="136"/>
        <v/>
      </c>
      <c r="V1725" s="215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7" t="str">
        <f t="shared" si="136"/>
        <v/>
      </c>
      <c r="V1726" s="215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7" t="str">
        <f t="shared" si="136"/>
        <v/>
      </c>
      <c r="V1727" s="215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7" t="str">
        <f t="shared" si="136"/>
        <v/>
      </c>
      <c r="V1728" s="215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7" t="str">
        <f t="shared" si="136"/>
        <v/>
      </c>
      <c r="V1729" s="215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7" t="str">
        <f t="shared" ref="U1730:U1793" si="141">IF(OR($D1730="",$H1730=""),"",ROUND($D1730+$H1730,2))</f>
        <v/>
      </c>
      <c r="V1730" s="215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7" t="str">
        <f t="shared" si="141"/>
        <v/>
      </c>
      <c r="V1731" s="215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7" t="str">
        <f t="shared" si="141"/>
        <v/>
      </c>
      <c r="V1732" s="215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7" t="str">
        <f t="shared" si="141"/>
        <v/>
      </c>
      <c r="V1733" s="215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7" t="str">
        <f t="shared" si="141"/>
        <v/>
      </c>
      <c r="V1734" s="215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7" t="str">
        <f t="shared" si="141"/>
        <v/>
      </c>
      <c r="V1735" s="215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7" t="str">
        <f t="shared" si="141"/>
        <v/>
      </c>
      <c r="V1736" s="215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7" t="str">
        <f t="shared" si="141"/>
        <v/>
      </c>
      <c r="V1737" s="215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7" t="str">
        <f t="shared" si="141"/>
        <v/>
      </c>
      <c r="V1738" s="215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7" t="str">
        <f t="shared" si="141"/>
        <v/>
      </c>
      <c r="V1739" s="215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7" t="str">
        <f t="shared" si="141"/>
        <v/>
      </c>
      <c r="V1740" s="215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7" t="str">
        <f t="shared" si="141"/>
        <v/>
      </c>
      <c r="V1741" s="215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7" t="str">
        <f t="shared" si="141"/>
        <v/>
      </c>
      <c r="V1742" s="215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7" t="str">
        <f t="shared" si="141"/>
        <v/>
      </c>
      <c r="V1743" s="215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7" t="str">
        <f t="shared" si="141"/>
        <v/>
      </c>
      <c r="V1744" s="215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7" t="str">
        <f t="shared" si="141"/>
        <v/>
      </c>
      <c r="V1745" s="215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7" t="str">
        <f t="shared" si="141"/>
        <v/>
      </c>
      <c r="V1746" s="215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7" t="str">
        <f t="shared" si="141"/>
        <v/>
      </c>
      <c r="V1747" s="215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7" t="str">
        <f t="shared" si="141"/>
        <v/>
      </c>
      <c r="V1748" s="215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7" t="str">
        <f t="shared" si="141"/>
        <v/>
      </c>
      <c r="V1749" s="215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7" t="str">
        <f t="shared" si="141"/>
        <v/>
      </c>
      <c r="V1750" s="215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7" t="str">
        <f t="shared" si="141"/>
        <v/>
      </c>
      <c r="V1751" s="215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7" t="str">
        <f t="shared" si="141"/>
        <v/>
      </c>
      <c r="V1752" s="215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7" t="str">
        <f t="shared" si="141"/>
        <v/>
      </c>
      <c r="V1753" s="215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7" t="str">
        <f t="shared" si="141"/>
        <v/>
      </c>
      <c r="V1754" s="215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7" t="str">
        <f t="shared" si="141"/>
        <v/>
      </c>
      <c r="V1755" s="215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7" t="str">
        <f t="shared" si="141"/>
        <v/>
      </c>
      <c r="V1756" s="215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7" t="str">
        <f t="shared" si="141"/>
        <v/>
      </c>
      <c r="V1757" s="215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7" t="str">
        <f t="shared" si="141"/>
        <v/>
      </c>
      <c r="V1758" s="215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7" t="str">
        <f t="shared" si="141"/>
        <v/>
      </c>
      <c r="V1759" s="215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7" t="str">
        <f t="shared" si="141"/>
        <v/>
      </c>
      <c r="V1760" s="215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7" t="str">
        <f t="shared" si="141"/>
        <v/>
      </c>
      <c r="V1761" s="215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7" t="str">
        <f t="shared" si="141"/>
        <v/>
      </c>
      <c r="V1762" s="215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7" t="str">
        <f t="shared" si="141"/>
        <v/>
      </c>
      <c r="V1763" s="215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7" t="str">
        <f t="shared" si="141"/>
        <v/>
      </c>
      <c r="V1764" s="215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7" t="str">
        <f t="shared" si="141"/>
        <v/>
      </c>
      <c r="V1765" s="215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7" t="str">
        <f t="shared" si="141"/>
        <v/>
      </c>
      <c r="V1766" s="215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7" t="str">
        <f t="shared" si="141"/>
        <v/>
      </c>
      <c r="V1767" s="215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7" t="str">
        <f t="shared" si="141"/>
        <v/>
      </c>
      <c r="V1768" s="215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7" t="str">
        <f t="shared" si="141"/>
        <v/>
      </c>
      <c r="V1769" s="215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7" t="str">
        <f t="shared" si="141"/>
        <v/>
      </c>
      <c r="V1770" s="215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7" t="str">
        <f t="shared" si="141"/>
        <v/>
      </c>
      <c r="V1771" s="215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7" t="str">
        <f t="shared" si="141"/>
        <v/>
      </c>
      <c r="V1772" s="215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7" t="str">
        <f t="shared" si="141"/>
        <v/>
      </c>
      <c r="V1773" s="215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7" t="str">
        <f t="shared" si="141"/>
        <v/>
      </c>
      <c r="V1774" s="215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7" t="str">
        <f t="shared" si="141"/>
        <v/>
      </c>
      <c r="V1775" s="215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7" t="str">
        <f t="shared" si="141"/>
        <v/>
      </c>
      <c r="V1776" s="215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7" t="str">
        <f t="shared" si="141"/>
        <v/>
      </c>
      <c r="V1777" s="215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7" t="str">
        <f t="shared" si="141"/>
        <v/>
      </c>
      <c r="V1778" s="215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7" t="str">
        <f t="shared" si="141"/>
        <v/>
      </c>
      <c r="V1779" s="215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7" t="str">
        <f t="shared" si="141"/>
        <v/>
      </c>
      <c r="V1780" s="215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7" t="str">
        <f t="shared" si="141"/>
        <v/>
      </c>
      <c r="V1781" s="215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7" t="str">
        <f t="shared" si="141"/>
        <v/>
      </c>
      <c r="V1782" s="215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7" t="str">
        <f t="shared" si="141"/>
        <v/>
      </c>
      <c r="V1783" s="215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7" t="str">
        <f t="shared" si="141"/>
        <v/>
      </c>
      <c r="V1784" s="215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7" t="str">
        <f t="shared" si="141"/>
        <v/>
      </c>
      <c r="V1785" s="215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7" t="str">
        <f t="shared" si="141"/>
        <v/>
      </c>
      <c r="V1786" s="215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7" t="str">
        <f t="shared" si="141"/>
        <v/>
      </c>
      <c r="V1787" s="215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7" t="str">
        <f t="shared" si="141"/>
        <v/>
      </c>
      <c r="V1788" s="215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7" t="str">
        <f t="shared" si="141"/>
        <v/>
      </c>
      <c r="V1789" s="215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7" t="str">
        <f t="shared" si="141"/>
        <v/>
      </c>
      <c r="V1790" s="215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7" t="str">
        <f t="shared" si="141"/>
        <v/>
      </c>
      <c r="V1791" s="215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7" t="str">
        <f t="shared" si="141"/>
        <v/>
      </c>
      <c r="V1792" s="215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7" t="str">
        <f t="shared" si="141"/>
        <v/>
      </c>
      <c r="V1793" s="215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7" t="str">
        <f t="shared" ref="U1794:U1857" si="146">IF(OR($D1794="",$H1794=""),"",ROUND($D1794+$H1794,2))</f>
        <v/>
      </c>
      <c r="V1794" s="215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7" t="str">
        <f t="shared" si="146"/>
        <v/>
      </c>
      <c r="V1795" s="215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7" t="str">
        <f t="shared" si="146"/>
        <v/>
      </c>
      <c r="V1796" s="215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7" t="str">
        <f t="shared" si="146"/>
        <v/>
      </c>
      <c r="V1797" s="215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7" t="str">
        <f t="shared" si="146"/>
        <v/>
      </c>
      <c r="V1798" s="215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7" t="str">
        <f t="shared" si="146"/>
        <v/>
      </c>
      <c r="V1799" s="215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7" t="str">
        <f t="shared" si="146"/>
        <v/>
      </c>
      <c r="V1800" s="215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7" t="str">
        <f t="shared" si="146"/>
        <v/>
      </c>
      <c r="V1801" s="215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7" t="str">
        <f t="shared" si="146"/>
        <v/>
      </c>
      <c r="V1802" s="215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7" t="str">
        <f t="shared" si="146"/>
        <v/>
      </c>
      <c r="V1803" s="215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7" t="str">
        <f t="shared" si="146"/>
        <v/>
      </c>
      <c r="V1804" s="215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7" t="str">
        <f t="shared" si="146"/>
        <v/>
      </c>
      <c r="V1805" s="215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7" t="str">
        <f t="shared" si="146"/>
        <v/>
      </c>
      <c r="V1806" s="215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7" t="str">
        <f t="shared" si="146"/>
        <v/>
      </c>
      <c r="V1807" s="215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7" t="str">
        <f t="shared" si="146"/>
        <v/>
      </c>
      <c r="V1808" s="215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7" t="str">
        <f t="shared" si="146"/>
        <v/>
      </c>
      <c r="V1809" s="215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7" t="str">
        <f t="shared" si="146"/>
        <v/>
      </c>
      <c r="V1810" s="215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7" t="str">
        <f t="shared" si="146"/>
        <v/>
      </c>
      <c r="V1811" s="215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7" t="str">
        <f t="shared" si="146"/>
        <v/>
      </c>
      <c r="V1812" s="215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7" t="str">
        <f t="shared" si="146"/>
        <v/>
      </c>
      <c r="V1813" s="215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7" t="str">
        <f t="shared" si="146"/>
        <v/>
      </c>
      <c r="V1814" s="215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7" t="str">
        <f t="shared" si="146"/>
        <v/>
      </c>
      <c r="V1815" s="215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7" t="str">
        <f t="shared" si="146"/>
        <v/>
      </c>
      <c r="V1816" s="215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7" t="str">
        <f t="shared" si="146"/>
        <v/>
      </c>
      <c r="V1817" s="215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7" t="str">
        <f t="shared" si="146"/>
        <v/>
      </c>
      <c r="V1818" s="215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7" t="str">
        <f t="shared" si="146"/>
        <v/>
      </c>
      <c r="V1819" s="215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7" t="str">
        <f t="shared" si="146"/>
        <v/>
      </c>
      <c r="V1820" s="215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7" t="str">
        <f t="shared" si="146"/>
        <v/>
      </c>
      <c r="V1821" s="215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7" t="str">
        <f t="shared" si="146"/>
        <v/>
      </c>
      <c r="V1822" s="215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7" t="str">
        <f t="shared" si="146"/>
        <v/>
      </c>
      <c r="V1823" s="215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7" t="str">
        <f t="shared" si="146"/>
        <v/>
      </c>
      <c r="V1824" s="215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7" t="str">
        <f t="shared" si="146"/>
        <v/>
      </c>
      <c r="V1825" s="215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7" t="str">
        <f t="shared" si="146"/>
        <v/>
      </c>
      <c r="V1826" s="215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7" t="str">
        <f t="shared" si="146"/>
        <v/>
      </c>
      <c r="V1827" s="215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7" t="str">
        <f t="shared" si="146"/>
        <v/>
      </c>
      <c r="V1828" s="215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7" t="str">
        <f t="shared" si="146"/>
        <v/>
      </c>
      <c r="V1829" s="215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7" t="str">
        <f t="shared" si="146"/>
        <v/>
      </c>
      <c r="V1830" s="215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7" t="str">
        <f t="shared" si="146"/>
        <v/>
      </c>
      <c r="V1831" s="215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7" t="str">
        <f t="shared" si="146"/>
        <v/>
      </c>
      <c r="V1832" s="215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7" t="str">
        <f t="shared" si="146"/>
        <v/>
      </c>
      <c r="V1833" s="215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7" t="str">
        <f t="shared" si="146"/>
        <v/>
      </c>
      <c r="V1834" s="215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7" t="str">
        <f t="shared" si="146"/>
        <v/>
      </c>
      <c r="V1835" s="215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7" t="str">
        <f t="shared" si="146"/>
        <v/>
      </c>
      <c r="V1836" s="215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7" t="str">
        <f t="shared" si="146"/>
        <v/>
      </c>
      <c r="V1837" s="215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7" t="str">
        <f t="shared" si="146"/>
        <v/>
      </c>
      <c r="V1838" s="215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7" t="str">
        <f t="shared" si="146"/>
        <v/>
      </c>
      <c r="V1839" s="215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7" t="str">
        <f t="shared" si="146"/>
        <v/>
      </c>
      <c r="V1840" s="215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7" t="str">
        <f t="shared" si="146"/>
        <v/>
      </c>
      <c r="V1841" s="215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7" t="str">
        <f t="shared" si="146"/>
        <v/>
      </c>
      <c r="V1842" s="215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7" t="str">
        <f t="shared" si="146"/>
        <v/>
      </c>
      <c r="V1843" s="215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7" t="str">
        <f t="shared" si="146"/>
        <v/>
      </c>
      <c r="V1844" s="215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7" t="str">
        <f t="shared" si="146"/>
        <v/>
      </c>
      <c r="V1845" s="215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7" t="str">
        <f t="shared" si="146"/>
        <v/>
      </c>
      <c r="V1846" s="215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7" t="str">
        <f t="shared" si="146"/>
        <v/>
      </c>
      <c r="V1847" s="215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7" t="str">
        <f t="shared" si="146"/>
        <v/>
      </c>
      <c r="V1848" s="215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7" t="str">
        <f t="shared" si="146"/>
        <v/>
      </c>
      <c r="V1849" s="215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7" t="str">
        <f t="shared" si="146"/>
        <v/>
      </c>
      <c r="V1850" s="215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7" t="str">
        <f t="shared" si="146"/>
        <v/>
      </c>
      <c r="V1851" s="215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7" t="str">
        <f t="shared" si="146"/>
        <v/>
      </c>
      <c r="V1852" s="215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7" t="str">
        <f t="shared" si="146"/>
        <v/>
      </c>
      <c r="V1853" s="215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7" t="str">
        <f t="shared" si="146"/>
        <v/>
      </c>
      <c r="V1854" s="215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7" t="str">
        <f t="shared" si="146"/>
        <v/>
      </c>
      <c r="V1855" s="215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7" t="str">
        <f t="shared" si="146"/>
        <v/>
      </c>
      <c r="V1856" s="215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7" t="str">
        <f t="shared" si="146"/>
        <v/>
      </c>
      <c r="V1857" s="215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7" t="str">
        <f t="shared" ref="U1858:U1921" si="151">IF(OR($D1858="",$H1858=""),"",ROUND($D1858+$H1858,2))</f>
        <v/>
      </c>
      <c r="V1858" s="215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7" t="str">
        <f t="shared" si="151"/>
        <v/>
      </c>
      <c r="V1859" s="215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7" t="str">
        <f t="shared" si="151"/>
        <v/>
      </c>
      <c r="V1860" s="215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7" t="str">
        <f t="shared" si="151"/>
        <v/>
      </c>
      <c r="V1861" s="215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7" t="str">
        <f t="shared" si="151"/>
        <v/>
      </c>
      <c r="V1862" s="215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7" t="str">
        <f t="shared" si="151"/>
        <v/>
      </c>
      <c r="V1863" s="215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7" t="str">
        <f t="shared" si="151"/>
        <v/>
      </c>
      <c r="V1864" s="215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7" t="str">
        <f t="shared" si="151"/>
        <v/>
      </c>
      <c r="V1865" s="215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7" t="str">
        <f t="shared" si="151"/>
        <v/>
      </c>
      <c r="V1866" s="215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7" t="str">
        <f t="shared" si="151"/>
        <v/>
      </c>
      <c r="V1867" s="215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7" t="str">
        <f t="shared" si="151"/>
        <v/>
      </c>
      <c r="V1868" s="215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7" t="str">
        <f t="shared" si="151"/>
        <v/>
      </c>
      <c r="V1869" s="215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7" t="str">
        <f t="shared" si="151"/>
        <v/>
      </c>
      <c r="V1870" s="215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7" t="str">
        <f t="shared" si="151"/>
        <v/>
      </c>
      <c r="V1871" s="215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7" t="str">
        <f t="shared" si="151"/>
        <v/>
      </c>
      <c r="V1872" s="215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7" t="str">
        <f t="shared" si="151"/>
        <v/>
      </c>
      <c r="V1873" s="215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7" t="str">
        <f t="shared" si="151"/>
        <v/>
      </c>
      <c r="V1874" s="215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7" t="str">
        <f t="shared" si="151"/>
        <v/>
      </c>
      <c r="V1875" s="215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7" t="str">
        <f t="shared" si="151"/>
        <v/>
      </c>
      <c r="V1876" s="215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7" t="str">
        <f t="shared" si="151"/>
        <v/>
      </c>
      <c r="V1877" s="215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7" t="str">
        <f t="shared" si="151"/>
        <v/>
      </c>
      <c r="V1878" s="215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7" t="str">
        <f t="shared" si="151"/>
        <v/>
      </c>
      <c r="V1879" s="215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7" t="str">
        <f t="shared" si="151"/>
        <v/>
      </c>
      <c r="V1880" s="215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7" t="str">
        <f t="shared" si="151"/>
        <v/>
      </c>
      <c r="V1881" s="215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7" t="str">
        <f t="shared" si="151"/>
        <v/>
      </c>
      <c r="V1882" s="215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7" t="str">
        <f t="shared" si="151"/>
        <v/>
      </c>
      <c r="V1883" s="215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7" t="str">
        <f t="shared" si="151"/>
        <v/>
      </c>
      <c r="V1884" s="215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7" t="str">
        <f t="shared" si="151"/>
        <v/>
      </c>
      <c r="V1885" s="215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7" t="str">
        <f t="shared" si="151"/>
        <v/>
      </c>
      <c r="V1886" s="215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7" t="str">
        <f t="shared" si="151"/>
        <v/>
      </c>
      <c r="V1887" s="215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7" t="str">
        <f t="shared" si="151"/>
        <v/>
      </c>
      <c r="V1888" s="215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7" t="str">
        <f t="shared" si="151"/>
        <v/>
      </c>
      <c r="V1889" s="215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7" t="str">
        <f t="shared" si="151"/>
        <v/>
      </c>
      <c r="V1890" s="215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7" t="str">
        <f t="shared" si="151"/>
        <v/>
      </c>
      <c r="V1891" s="215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7" t="str">
        <f t="shared" si="151"/>
        <v/>
      </c>
      <c r="V1892" s="215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7" t="str">
        <f t="shared" si="151"/>
        <v/>
      </c>
      <c r="V1893" s="215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7" t="str">
        <f t="shared" si="151"/>
        <v/>
      </c>
      <c r="V1894" s="215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7" t="str">
        <f t="shared" si="151"/>
        <v/>
      </c>
      <c r="V1895" s="215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7" t="str">
        <f t="shared" si="151"/>
        <v/>
      </c>
      <c r="V1896" s="215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7" t="str">
        <f t="shared" si="151"/>
        <v/>
      </c>
      <c r="V1897" s="215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7" t="str">
        <f t="shared" si="151"/>
        <v/>
      </c>
      <c r="V1898" s="215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7" t="str">
        <f t="shared" si="151"/>
        <v/>
      </c>
      <c r="V1899" s="215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7" t="str">
        <f t="shared" si="151"/>
        <v/>
      </c>
      <c r="V1900" s="215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7" t="str">
        <f t="shared" si="151"/>
        <v/>
      </c>
      <c r="V1901" s="215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7" t="str">
        <f t="shared" si="151"/>
        <v/>
      </c>
      <c r="V1902" s="215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7" t="str">
        <f t="shared" si="151"/>
        <v/>
      </c>
      <c r="V1903" s="215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7" t="str">
        <f t="shared" si="151"/>
        <v/>
      </c>
      <c r="V1904" s="215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7" t="str">
        <f t="shared" si="151"/>
        <v/>
      </c>
      <c r="V1905" s="215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7" t="str">
        <f t="shared" si="151"/>
        <v/>
      </c>
      <c r="V1906" s="215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7" t="str">
        <f t="shared" si="151"/>
        <v/>
      </c>
      <c r="V1907" s="215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7" t="str">
        <f t="shared" si="151"/>
        <v/>
      </c>
      <c r="V1908" s="215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7" t="str">
        <f t="shared" si="151"/>
        <v/>
      </c>
      <c r="V1909" s="215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7" t="str">
        <f t="shared" si="151"/>
        <v/>
      </c>
      <c r="V1910" s="215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7" t="str">
        <f t="shared" si="151"/>
        <v/>
      </c>
      <c r="V1911" s="215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7" t="str">
        <f t="shared" si="151"/>
        <v/>
      </c>
      <c r="V1912" s="215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7" t="str">
        <f t="shared" si="151"/>
        <v/>
      </c>
      <c r="V1913" s="215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7" t="str">
        <f t="shared" si="151"/>
        <v/>
      </c>
      <c r="V1914" s="215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7" t="str">
        <f t="shared" si="151"/>
        <v/>
      </c>
      <c r="V1915" s="215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7" t="str">
        <f t="shared" si="151"/>
        <v/>
      </c>
      <c r="V1916" s="215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7" t="str">
        <f t="shared" si="151"/>
        <v/>
      </c>
      <c r="V1917" s="215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7" t="str">
        <f t="shared" si="151"/>
        <v/>
      </c>
      <c r="V1918" s="215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7" t="str">
        <f t="shared" si="151"/>
        <v/>
      </c>
      <c r="V1919" s="215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7" t="str">
        <f t="shared" si="151"/>
        <v/>
      </c>
      <c r="V1920" s="215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7" t="str">
        <f t="shared" si="151"/>
        <v/>
      </c>
      <c r="V1921" s="215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7" t="str">
        <f t="shared" ref="U1922:U1985" si="156">IF(OR($D1922="",$H1922=""),"",ROUND($D1922+$H1922,2))</f>
        <v/>
      </c>
      <c r="V1922" s="215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7" t="str">
        <f t="shared" si="156"/>
        <v/>
      </c>
      <c r="V1923" s="215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7" t="str">
        <f t="shared" si="156"/>
        <v/>
      </c>
      <c r="V1924" s="215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7" t="str">
        <f t="shared" si="156"/>
        <v/>
      </c>
      <c r="V1925" s="215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7" t="str">
        <f t="shared" si="156"/>
        <v/>
      </c>
      <c r="V1926" s="215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7" t="str">
        <f t="shared" si="156"/>
        <v/>
      </c>
      <c r="V1927" s="215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7" t="str">
        <f t="shared" si="156"/>
        <v/>
      </c>
      <c r="V1928" s="215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7" t="str">
        <f t="shared" si="156"/>
        <v/>
      </c>
      <c r="V1929" s="215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7" t="str">
        <f t="shared" si="156"/>
        <v/>
      </c>
      <c r="V1930" s="215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7" t="str">
        <f t="shared" si="156"/>
        <v/>
      </c>
      <c r="V1931" s="215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7" t="str">
        <f t="shared" si="156"/>
        <v/>
      </c>
      <c r="V1932" s="215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7" t="str">
        <f t="shared" si="156"/>
        <v/>
      </c>
      <c r="V1933" s="215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7" t="str">
        <f t="shared" si="156"/>
        <v/>
      </c>
      <c r="V1934" s="215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7" t="str">
        <f t="shared" si="156"/>
        <v/>
      </c>
      <c r="V1935" s="215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7" t="str">
        <f t="shared" si="156"/>
        <v/>
      </c>
      <c r="V1936" s="215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7" t="str">
        <f t="shared" si="156"/>
        <v/>
      </c>
      <c r="V1937" s="215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7" t="str">
        <f t="shared" si="156"/>
        <v/>
      </c>
      <c r="V1938" s="215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7" t="str">
        <f t="shared" si="156"/>
        <v/>
      </c>
      <c r="V1939" s="215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7" t="str">
        <f t="shared" si="156"/>
        <v/>
      </c>
      <c r="V1940" s="215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7" t="str">
        <f t="shared" si="156"/>
        <v/>
      </c>
      <c r="V1941" s="215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7" t="str">
        <f t="shared" si="156"/>
        <v/>
      </c>
      <c r="V1942" s="215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7" t="str">
        <f t="shared" si="156"/>
        <v/>
      </c>
      <c r="V1943" s="215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7" t="str">
        <f t="shared" si="156"/>
        <v/>
      </c>
      <c r="V1944" s="215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7" t="str">
        <f t="shared" si="156"/>
        <v/>
      </c>
      <c r="V1945" s="215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7" t="str">
        <f t="shared" si="156"/>
        <v/>
      </c>
      <c r="V1946" s="215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7" t="str">
        <f t="shared" si="156"/>
        <v/>
      </c>
      <c r="V1947" s="215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7" t="str">
        <f t="shared" si="156"/>
        <v/>
      </c>
      <c r="V1948" s="215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7" t="str">
        <f t="shared" si="156"/>
        <v/>
      </c>
      <c r="V1949" s="215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7" t="str">
        <f t="shared" si="156"/>
        <v/>
      </c>
      <c r="V1950" s="215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7" t="str">
        <f t="shared" si="156"/>
        <v/>
      </c>
      <c r="V1951" s="215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7" t="str">
        <f t="shared" si="156"/>
        <v/>
      </c>
      <c r="V1952" s="215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7" t="str">
        <f t="shared" si="156"/>
        <v/>
      </c>
      <c r="V1953" s="215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7" t="str">
        <f t="shared" si="156"/>
        <v/>
      </c>
      <c r="V1954" s="215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7" t="str">
        <f t="shared" si="156"/>
        <v/>
      </c>
      <c r="V1955" s="215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7" t="str">
        <f t="shared" si="156"/>
        <v/>
      </c>
      <c r="V1956" s="215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7" t="str">
        <f t="shared" si="156"/>
        <v/>
      </c>
      <c r="V1957" s="215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7" t="str">
        <f t="shared" si="156"/>
        <v/>
      </c>
      <c r="V1958" s="215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7" t="str">
        <f t="shared" si="156"/>
        <v/>
      </c>
      <c r="V1959" s="215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7" t="str">
        <f t="shared" si="156"/>
        <v/>
      </c>
      <c r="V1960" s="215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7" t="str">
        <f t="shared" si="156"/>
        <v/>
      </c>
      <c r="V1961" s="215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7" t="str">
        <f t="shared" si="156"/>
        <v/>
      </c>
      <c r="V1962" s="215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7" t="str">
        <f t="shared" si="156"/>
        <v/>
      </c>
      <c r="V1963" s="215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7" t="str">
        <f t="shared" si="156"/>
        <v/>
      </c>
      <c r="V1964" s="215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7" t="str">
        <f t="shared" si="156"/>
        <v/>
      </c>
      <c r="V1965" s="215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7" t="str">
        <f t="shared" si="156"/>
        <v/>
      </c>
      <c r="V1966" s="215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7" t="str">
        <f t="shared" si="156"/>
        <v/>
      </c>
      <c r="V1967" s="215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7" t="str">
        <f t="shared" si="156"/>
        <v/>
      </c>
      <c r="V1968" s="215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7" t="str">
        <f t="shared" si="156"/>
        <v/>
      </c>
      <c r="V1969" s="215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7" t="str">
        <f t="shared" si="156"/>
        <v/>
      </c>
      <c r="V1970" s="215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7" t="str">
        <f t="shared" si="156"/>
        <v/>
      </c>
      <c r="V1971" s="215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7" t="str">
        <f t="shared" si="156"/>
        <v/>
      </c>
      <c r="V1972" s="215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7" t="str">
        <f t="shared" si="156"/>
        <v/>
      </c>
      <c r="V1973" s="215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7" t="str">
        <f t="shared" si="156"/>
        <v/>
      </c>
      <c r="V1974" s="215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7" t="str">
        <f t="shared" si="156"/>
        <v/>
      </c>
      <c r="V1975" s="215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7" t="str">
        <f t="shared" si="156"/>
        <v/>
      </c>
      <c r="V1976" s="215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7" t="str">
        <f t="shared" si="156"/>
        <v/>
      </c>
      <c r="V1977" s="215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7" t="str">
        <f t="shared" si="156"/>
        <v/>
      </c>
      <c r="V1978" s="215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7" t="str">
        <f t="shared" si="156"/>
        <v/>
      </c>
      <c r="V1979" s="215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7" t="str">
        <f t="shared" si="156"/>
        <v/>
      </c>
      <c r="V1980" s="215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7" t="str">
        <f t="shared" si="156"/>
        <v/>
      </c>
      <c r="V1981" s="215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7" t="str">
        <f t="shared" si="156"/>
        <v/>
      </c>
      <c r="V1982" s="215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7" t="str">
        <f t="shared" si="156"/>
        <v/>
      </c>
      <c r="V1983" s="215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7" t="str">
        <f t="shared" si="156"/>
        <v/>
      </c>
      <c r="V1984" s="215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7" t="str">
        <f t="shared" si="156"/>
        <v/>
      </c>
      <c r="V1985" s="215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7" t="str">
        <f t="shared" ref="U1986:U2049" si="161">IF(OR($D1986="",$H1986=""),"",ROUND($D1986+$H1986,2))</f>
        <v/>
      </c>
      <c r="V1986" s="215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7" t="str">
        <f t="shared" si="161"/>
        <v/>
      </c>
      <c r="V1987" s="215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7" t="str">
        <f t="shared" si="161"/>
        <v/>
      </c>
      <c r="V1988" s="215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7" t="str">
        <f t="shared" si="161"/>
        <v/>
      </c>
      <c r="V1989" s="215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7" t="str">
        <f t="shared" si="161"/>
        <v/>
      </c>
      <c r="V1990" s="215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7" t="str">
        <f t="shared" si="161"/>
        <v/>
      </c>
      <c r="V1991" s="215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7" t="str">
        <f t="shared" si="161"/>
        <v/>
      </c>
      <c r="V1992" s="215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7" t="str">
        <f t="shared" si="161"/>
        <v/>
      </c>
      <c r="V1993" s="215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7" t="str">
        <f t="shared" si="161"/>
        <v/>
      </c>
      <c r="V1994" s="215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7" t="str">
        <f t="shared" si="161"/>
        <v/>
      </c>
      <c r="V1995" s="215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7" t="str">
        <f t="shared" si="161"/>
        <v/>
      </c>
      <c r="V1996" s="215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7" t="str">
        <f t="shared" si="161"/>
        <v/>
      </c>
      <c r="V1997" s="215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7" t="str">
        <f t="shared" si="161"/>
        <v/>
      </c>
      <c r="V1998" s="215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7" t="str">
        <f t="shared" si="161"/>
        <v/>
      </c>
      <c r="V1999" s="215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7" t="str">
        <f t="shared" si="161"/>
        <v/>
      </c>
      <c r="V2000" s="215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7" t="str">
        <f t="shared" si="161"/>
        <v/>
      </c>
      <c r="V2001" s="215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7" t="str">
        <f t="shared" si="161"/>
        <v/>
      </c>
      <c r="V2002" s="215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7" t="str">
        <f t="shared" si="161"/>
        <v/>
      </c>
      <c r="V2003" s="215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7" t="str">
        <f t="shared" si="161"/>
        <v/>
      </c>
      <c r="V2004" s="215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7" t="str">
        <f t="shared" si="161"/>
        <v/>
      </c>
      <c r="V2005" s="215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7" t="str">
        <f t="shared" si="161"/>
        <v/>
      </c>
      <c r="V2006" s="215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7" t="str">
        <f t="shared" si="161"/>
        <v/>
      </c>
      <c r="V2007" s="215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7" t="str">
        <f t="shared" si="161"/>
        <v/>
      </c>
      <c r="V2008" s="215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7" t="str">
        <f t="shared" si="161"/>
        <v/>
      </c>
      <c r="V2009" s="215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7" t="str">
        <f t="shared" si="161"/>
        <v/>
      </c>
      <c r="V2010" s="215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7" t="str">
        <f t="shared" si="161"/>
        <v/>
      </c>
      <c r="V2011" s="215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7" t="str">
        <f t="shared" si="161"/>
        <v/>
      </c>
      <c r="V2012" s="215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7" t="str">
        <f t="shared" si="161"/>
        <v/>
      </c>
      <c r="V2013" s="215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7" t="str">
        <f t="shared" si="161"/>
        <v/>
      </c>
      <c r="V2014" s="215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7" t="str">
        <f t="shared" si="161"/>
        <v/>
      </c>
      <c r="V2015" s="215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7" t="str">
        <f t="shared" si="161"/>
        <v/>
      </c>
      <c r="V2016" s="215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7" t="str">
        <f t="shared" si="161"/>
        <v/>
      </c>
      <c r="V2017" s="215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7" t="str">
        <f t="shared" si="161"/>
        <v/>
      </c>
      <c r="V2018" s="215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7" t="str">
        <f t="shared" si="161"/>
        <v/>
      </c>
      <c r="V2019" s="215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7" t="str">
        <f t="shared" si="161"/>
        <v/>
      </c>
      <c r="V2020" s="215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7" t="str">
        <f t="shared" si="161"/>
        <v/>
      </c>
      <c r="V2021" s="215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7" t="str">
        <f t="shared" si="161"/>
        <v/>
      </c>
      <c r="V2022" s="215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7" t="str">
        <f t="shared" si="161"/>
        <v/>
      </c>
      <c r="V2023" s="215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7" t="str">
        <f t="shared" si="161"/>
        <v/>
      </c>
      <c r="V2024" s="215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7" t="str">
        <f t="shared" si="161"/>
        <v/>
      </c>
      <c r="V2025" s="215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7" t="str">
        <f t="shared" si="161"/>
        <v/>
      </c>
      <c r="V2026" s="215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7" t="str">
        <f t="shared" si="161"/>
        <v/>
      </c>
      <c r="V2027" s="215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7" t="str">
        <f t="shared" si="161"/>
        <v/>
      </c>
      <c r="V2028" s="215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7" t="str">
        <f t="shared" si="161"/>
        <v/>
      </c>
      <c r="V2029" s="215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7" t="str">
        <f t="shared" si="161"/>
        <v/>
      </c>
      <c r="V2030" s="215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7" t="str">
        <f t="shared" si="161"/>
        <v/>
      </c>
      <c r="V2031" s="215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7" t="str">
        <f t="shared" si="161"/>
        <v/>
      </c>
      <c r="V2032" s="215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7" t="str">
        <f t="shared" si="161"/>
        <v/>
      </c>
      <c r="V2033" s="215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7" t="str">
        <f t="shared" si="161"/>
        <v/>
      </c>
      <c r="V2034" s="215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7" t="str">
        <f t="shared" si="161"/>
        <v/>
      </c>
      <c r="V2035" s="215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7" t="str">
        <f t="shared" si="161"/>
        <v/>
      </c>
      <c r="V2036" s="215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7" t="str">
        <f t="shared" si="161"/>
        <v/>
      </c>
      <c r="V2037" s="215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7" t="str">
        <f t="shared" si="161"/>
        <v/>
      </c>
      <c r="V2038" s="215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7" t="str">
        <f t="shared" si="161"/>
        <v/>
      </c>
      <c r="V2039" s="215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7" t="str">
        <f t="shared" si="161"/>
        <v/>
      </c>
      <c r="V2040" s="215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7" t="str">
        <f t="shared" si="161"/>
        <v/>
      </c>
      <c r="V2041" s="215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7" t="str">
        <f t="shared" si="161"/>
        <v/>
      </c>
      <c r="V2042" s="215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7" t="str">
        <f t="shared" si="161"/>
        <v/>
      </c>
      <c r="V2043" s="215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7" t="str">
        <f t="shared" si="161"/>
        <v/>
      </c>
      <c r="V2044" s="215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7" t="str">
        <f t="shared" si="161"/>
        <v/>
      </c>
      <c r="V2045" s="215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7" t="str">
        <f t="shared" si="161"/>
        <v/>
      </c>
      <c r="V2046" s="215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7" t="str">
        <f t="shared" si="161"/>
        <v/>
      </c>
      <c r="V2047" s="215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7" t="str">
        <f t="shared" si="161"/>
        <v/>
      </c>
      <c r="V2048" s="215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7" t="str">
        <f t="shared" si="161"/>
        <v/>
      </c>
      <c r="V2049" s="215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7" t="str">
        <f t="shared" ref="U2050:U2113" si="166">IF(OR($D2050="",$H2050=""),"",ROUND($D2050+$H2050,2))</f>
        <v/>
      </c>
      <c r="V2050" s="215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7" t="str">
        <f t="shared" si="166"/>
        <v/>
      </c>
      <c r="V2051" s="215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7" t="str">
        <f t="shared" si="166"/>
        <v/>
      </c>
      <c r="V2052" s="215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7" t="str">
        <f t="shared" si="166"/>
        <v/>
      </c>
      <c r="V2053" s="215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7" t="str">
        <f t="shared" si="166"/>
        <v/>
      </c>
      <c r="V2054" s="215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7" t="str">
        <f t="shared" si="166"/>
        <v/>
      </c>
      <c r="V2055" s="215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7" t="str">
        <f t="shared" si="166"/>
        <v/>
      </c>
      <c r="V2056" s="215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7" t="str">
        <f t="shared" si="166"/>
        <v/>
      </c>
      <c r="V2057" s="215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7" t="str">
        <f t="shared" si="166"/>
        <v/>
      </c>
      <c r="V2058" s="215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7" t="str">
        <f t="shared" si="166"/>
        <v/>
      </c>
      <c r="V2059" s="215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7" t="str">
        <f t="shared" si="166"/>
        <v/>
      </c>
      <c r="V2060" s="215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7" t="str">
        <f t="shared" si="166"/>
        <v/>
      </c>
      <c r="V2061" s="215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7" t="str">
        <f t="shared" si="166"/>
        <v/>
      </c>
      <c r="V2062" s="215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7" t="str">
        <f t="shared" si="166"/>
        <v/>
      </c>
      <c r="V2063" s="215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7" t="str">
        <f t="shared" si="166"/>
        <v/>
      </c>
      <c r="V2064" s="215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7" t="str">
        <f t="shared" si="166"/>
        <v/>
      </c>
      <c r="V2065" s="215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7" t="str">
        <f t="shared" si="166"/>
        <v/>
      </c>
      <c r="V2066" s="215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7" t="str">
        <f t="shared" si="166"/>
        <v/>
      </c>
      <c r="V2067" s="215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7" t="str">
        <f t="shared" si="166"/>
        <v/>
      </c>
      <c r="V2068" s="215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7" t="str">
        <f t="shared" si="166"/>
        <v/>
      </c>
      <c r="V2069" s="215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7" t="str">
        <f t="shared" si="166"/>
        <v/>
      </c>
      <c r="V2070" s="215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7" t="str">
        <f t="shared" si="166"/>
        <v/>
      </c>
      <c r="V2071" s="215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7" t="str">
        <f t="shared" si="166"/>
        <v/>
      </c>
      <c r="V2072" s="215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7" t="str">
        <f t="shared" si="166"/>
        <v/>
      </c>
      <c r="V2073" s="215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7" t="str">
        <f t="shared" si="166"/>
        <v/>
      </c>
      <c r="V2074" s="215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7" t="str">
        <f t="shared" si="166"/>
        <v/>
      </c>
      <c r="V2075" s="215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7" t="str">
        <f t="shared" si="166"/>
        <v/>
      </c>
      <c r="V2076" s="215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7" t="str">
        <f t="shared" si="166"/>
        <v/>
      </c>
      <c r="V2077" s="215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7" t="str">
        <f t="shared" si="166"/>
        <v/>
      </c>
      <c r="V2078" s="215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7" t="str">
        <f t="shared" si="166"/>
        <v/>
      </c>
      <c r="V2079" s="215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7" t="str">
        <f t="shared" si="166"/>
        <v/>
      </c>
      <c r="V2080" s="215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7" t="str">
        <f t="shared" si="166"/>
        <v/>
      </c>
      <c r="V2081" s="215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7" t="str">
        <f t="shared" si="166"/>
        <v/>
      </c>
      <c r="V2082" s="215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7" t="str">
        <f t="shared" si="166"/>
        <v/>
      </c>
      <c r="V2083" s="215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7" t="str">
        <f t="shared" si="166"/>
        <v/>
      </c>
      <c r="V2084" s="215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7" t="str">
        <f t="shared" si="166"/>
        <v/>
      </c>
      <c r="V2085" s="215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7" t="str">
        <f t="shared" si="166"/>
        <v/>
      </c>
      <c r="V2086" s="215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7" t="str">
        <f t="shared" si="166"/>
        <v/>
      </c>
      <c r="V2087" s="215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7" t="str">
        <f t="shared" si="166"/>
        <v/>
      </c>
      <c r="V2088" s="215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7" t="str">
        <f t="shared" si="166"/>
        <v/>
      </c>
      <c r="V2089" s="215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7" t="str">
        <f t="shared" si="166"/>
        <v/>
      </c>
      <c r="V2090" s="215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7" t="str">
        <f t="shared" si="166"/>
        <v/>
      </c>
      <c r="V2091" s="215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7" t="str">
        <f t="shared" si="166"/>
        <v/>
      </c>
      <c r="V2092" s="215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7" t="str">
        <f t="shared" si="166"/>
        <v/>
      </c>
      <c r="V2093" s="215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7" t="str">
        <f t="shared" si="166"/>
        <v/>
      </c>
      <c r="V2094" s="215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7" t="str">
        <f t="shared" si="166"/>
        <v/>
      </c>
      <c r="V2095" s="215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7" t="str">
        <f t="shared" si="166"/>
        <v/>
      </c>
      <c r="V2096" s="215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7" t="str">
        <f t="shared" si="166"/>
        <v/>
      </c>
      <c r="V2097" s="215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7" t="str">
        <f t="shared" si="166"/>
        <v/>
      </c>
      <c r="V2098" s="215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7" t="str">
        <f t="shared" si="166"/>
        <v/>
      </c>
      <c r="V2099" s="215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7" t="str">
        <f t="shared" si="166"/>
        <v/>
      </c>
      <c r="V2100" s="215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7" t="str">
        <f t="shared" si="166"/>
        <v/>
      </c>
      <c r="V2101" s="215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7" t="str">
        <f t="shared" si="166"/>
        <v/>
      </c>
      <c r="V2102" s="215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7" t="str">
        <f t="shared" si="166"/>
        <v/>
      </c>
      <c r="V2103" s="215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7" t="str">
        <f t="shared" si="166"/>
        <v/>
      </c>
      <c r="V2104" s="215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7" t="str">
        <f t="shared" si="166"/>
        <v/>
      </c>
      <c r="V2105" s="215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7" t="str">
        <f t="shared" si="166"/>
        <v/>
      </c>
      <c r="V2106" s="215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7" t="str">
        <f t="shared" si="166"/>
        <v/>
      </c>
      <c r="V2107" s="215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7" t="str">
        <f t="shared" si="166"/>
        <v/>
      </c>
      <c r="V2108" s="215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7" t="str">
        <f t="shared" si="166"/>
        <v/>
      </c>
      <c r="V2109" s="215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7" t="str">
        <f t="shared" si="166"/>
        <v/>
      </c>
      <c r="V2110" s="215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7" t="str">
        <f t="shared" si="166"/>
        <v/>
      </c>
      <c r="V2111" s="215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7" t="str">
        <f t="shared" si="166"/>
        <v/>
      </c>
      <c r="V2112" s="215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7" t="str">
        <f t="shared" si="166"/>
        <v/>
      </c>
      <c r="V2113" s="215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7" t="str">
        <f t="shared" ref="U2114:U2177" si="171">IF(OR($D2114="",$H2114=""),"",ROUND($D2114+$H2114,2))</f>
        <v/>
      </c>
      <c r="V2114" s="215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7" t="str">
        <f t="shared" si="171"/>
        <v/>
      </c>
      <c r="V2115" s="215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7" t="str">
        <f t="shared" si="171"/>
        <v/>
      </c>
      <c r="V2116" s="215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7" t="str">
        <f t="shared" si="171"/>
        <v/>
      </c>
      <c r="V2117" s="215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7" t="str">
        <f t="shared" si="171"/>
        <v/>
      </c>
      <c r="V2118" s="215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7" t="str">
        <f t="shared" si="171"/>
        <v/>
      </c>
      <c r="V2119" s="215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7" t="str">
        <f t="shared" si="171"/>
        <v/>
      </c>
      <c r="V2120" s="215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7" t="str">
        <f t="shared" si="171"/>
        <v/>
      </c>
      <c r="V2121" s="215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7" t="str">
        <f t="shared" si="171"/>
        <v/>
      </c>
      <c r="V2122" s="215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7" t="str">
        <f t="shared" si="171"/>
        <v/>
      </c>
      <c r="V2123" s="215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7" t="str">
        <f t="shared" si="171"/>
        <v/>
      </c>
      <c r="V2124" s="215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7" t="str">
        <f t="shared" si="171"/>
        <v/>
      </c>
      <c r="V2125" s="215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7" t="str">
        <f t="shared" si="171"/>
        <v/>
      </c>
      <c r="V2126" s="215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7" t="str">
        <f t="shared" si="171"/>
        <v/>
      </c>
      <c r="V2127" s="215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7" t="str">
        <f t="shared" si="171"/>
        <v/>
      </c>
      <c r="V2128" s="215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7" t="str">
        <f t="shared" si="171"/>
        <v/>
      </c>
      <c r="V2129" s="215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7" t="str">
        <f t="shared" si="171"/>
        <v/>
      </c>
      <c r="V2130" s="215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7" t="str">
        <f t="shared" si="171"/>
        <v/>
      </c>
      <c r="V2131" s="215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7" t="str">
        <f t="shared" si="171"/>
        <v/>
      </c>
      <c r="V2132" s="215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7" t="str">
        <f t="shared" si="171"/>
        <v/>
      </c>
      <c r="V2133" s="215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7" t="str">
        <f t="shared" si="171"/>
        <v/>
      </c>
      <c r="V2134" s="215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7" t="str">
        <f t="shared" si="171"/>
        <v/>
      </c>
      <c r="V2135" s="215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7" t="str">
        <f t="shared" si="171"/>
        <v/>
      </c>
      <c r="V2136" s="215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7" t="str">
        <f t="shared" si="171"/>
        <v/>
      </c>
      <c r="V2137" s="215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7" t="str">
        <f t="shared" si="171"/>
        <v/>
      </c>
      <c r="V2138" s="215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7" t="str">
        <f t="shared" si="171"/>
        <v/>
      </c>
      <c r="V2139" s="215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7" t="str">
        <f t="shared" si="171"/>
        <v/>
      </c>
      <c r="V2140" s="215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7" t="str">
        <f t="shared" si="171"/>
        <v/>
      </c>
      <c r="V2141" s="215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7" t="str">
        <f t="shared" si="171"/>
        <v/>
      </c>
      <c r="V2142" s="215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7" t="str">
        <f t="shared" si="171"/>
        <v/>
      </c>
      <c r="V2143" s="215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7" t="str">
        <f t="shared" si="171"/>
        <v/>
      </c>
      <c r="V2144" s="215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7" t="str">
        <f t="shared" si="171"/>
        <v/>
      </c>
      <c r="V2145" s="215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7" t="str">
        <f t="shared" si="171"/>
        <v/>
      </c>
      <c r="V2146" s="215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7" t="str">
        <f t="shared" si="171"/>
        <v/>
      </c>
      <c r="V2147" s="215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7" t="str">
        <f t="shared" si="171"/>
        <v/>
      </c>
      <c r="V2148" s="215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7" t="str">
        <f t="shared" si="171"/>
        <v/>
      </c>
      <c r="V2149" s="215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7" t="str">
        <f t="shared" si="171"/>
        <v/>
      </c>
      <c r="V2150" s="215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7" t="str">
        <f t="shared" si="171"/>
        <v/>
      </c>
      <c r="V2151" s="215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7" t="str">
        <f t="shared" si="171"/>
        <v/>
      </c>
      <c r="V2152" s="215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7" t="str">
        <f t="shared" si="171"/>
        <v/>
      </c>
      <c r="V2153" s="215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7" t="str">
        <f t="shared" si="171"/>
        <v/>
      </c>
      <c r="V2154" s="215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7" t="str">
        <f t="shared" si="171"/>
        <v/>
      </c>
      <c r="V2155" s="215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7" t="str">
        <f t="shared" si="171"/>
        <v/>
      </c>
      <c r="V2156" s="215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7" t="str">
        <f t="shared" si="171"/>
        <v/>
      </c>
      <c r="V2157" s="215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7" t="str">
        <f t="shared" si="171"/>
        <v/>
      </c>
      <c r="V2158" s="215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7" t="str">
        <f t="shared" si="171"/>
        <v/>
      </c>
      <c r="V2159" s="215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7" t="str">
        <f t="shared" si="171"/>
        <v/>
      </c>
      <c r="V2160" s="215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7" t="str">
        <f t="shared" si="171"/>
        <v/>
      </c>
      <c r="V2161" s="215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7" t="str">
        <f t="shared" si="171"/>
        <v/>
      </c>
      <c r="V2162" s="215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7" t="str">
        <f t="shared" si="171"/>
        <v/>
      </c>
      <c r="V2163" s="215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7" t="str">
        <f t="shared" si="171"/>
        <v/>
      </c>
      <c r="V2164" s="215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7" t="str">
        <f t="shared" si="171"/>
        <v/>
      </c>
      <c r="V2165" s="215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7" t="str">
        <f t="shared" si="171"/>
        <v/>
      </c>
      <c r="V2166" s="215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7" t="str">
        <f t="shared" si="171"/>
        <v/>
      </c>
      <c r="V2167" s="215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7" t="str">
        <f t="shared" si="171"/>
        <v/>
      </c>
      <c r="V2168" s="215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7" t="str">
        <f t="shared" si="171"/>
        <v/>
      </c>
      <c r="V2169" s="215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7" t="str">
        <f t="shared" si="171"/>
        <v/>
      </c>
      <c r="V2170" s="215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7" t="str">
        <f t="shared" si="171"/>
        <v/>
      </c>
      <c r="V2171" s="215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7" t="str">
        <f t="shared" si="171"/>
        <v/>
      </c>
      <c r="V2172" s="215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7" t="str">
        <f t="shared" si="171"/>
        <v/>
      </c>
      <c r="V2173" s="215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7" t="str">
        <f t="shared" si="171"/>
        <v/>
      </c>
      <c r="V2174" s="215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7" t="str">
        <f t="shared" si="171"/>
        <v/>
      </c>
      <c r="V2175" s="215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7" t="str">
        <f t="shared" si="171"/>
        <v/>
      </c>
      <c r="V2176" s="215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7" t="str">
        <f t="shared" si="171"/>
        <v/>
      </c>
      <c r="V2177" s="215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7" t="str">
        <f t="shared" ref="U2178:U2241" si="176">IF(OR($D2178="",$H2178=""),"",ROUND($D2178+$H2178,2))</f>
        <v/>
      </c>
      <c r="V2178" s="215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7" t="str">
        <f t="shared" si="176"/>
        <v/>
      </c>
      <c r="V2179" s="215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7" t="str">
        <f t="shared" si="176"/>
        <v/>
      </c>
      <c r="V2180" s="215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7" t="str">
        <f t="shared" si="176"/>
        <v/>
      </c>
      <c r="V2181" s="215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7" t="str">
        <f t="shared" si="176"/>
        <v/>
      </c>
      <c r="V2182" s="215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7" t="str">
        <f t="shared" si="176"/>
        <v/>
      </c>
      <c r="V2183" s="215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7" t="str">
        <f t="shared" si="176"/>
        <v/>
      </c>
      <c r="V2184" s="215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7" t="str">
        <f t="shared" si="176"/>
        <v/>
      </c>
      <c r="V2185" s="215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7" t="str">
        <f t="shared" si="176"/>
        <v/>
      </c>
      <c r="V2186" s="215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7" t="str">
        <f t="shared" si="176"/>
        <v/>
      </c>
      <c r="V2187" s="215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7" t="str">
        <f t="shared" si="176"/>
        <v/>
      </c>
      <c r="V2188" s="215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7" t="str">
        <f t="shared" si="176"/>
        <v/>
      </c>
      <c r="V2189" s="215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7" t="str">
        <f t="shared" si="176"/>
        <v/>
      </c>
      <c r="V2190" s="215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7" t="str">
        <f t="shared" si="176"/>
        <v/>
      </c>
      <c r="V2191" s="215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7" t="str">
        <f t="shared" si="176"/>
        <v/>
      </c>
      <c r="V2192" s="215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7" t="str">
        <f t="shared" si="176"/>
        <v/>
      </c>
      <c r="V2193" s="215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7" t="str">
        <f t="shared" si="176"/>
        <v/>
      </c>
      <c r="V2194" s="215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7" t="str">
        <f t="shared" si="176"/>
        <v/>
      </c>
      <c r="V2195" s="215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7" t="str">
        <f t="shared" si="176"/>
        <v/>
      </c>
      <c r="V2196" s="215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7" t="str">
        <f t="shared" si="176"/>
        <v/>
      </c>
      <c r="V2197" s="215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7" t="str">
        <f t="shared" si="176"/>
        <v/>
      </c>
      <c r="V2198" s="215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7" t="str">
        <f t="shared" si="176"/>
        <v/>
      </c>
      <c r="V2199" s="215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7" t="str">
        <f t="shared" si="176"/>
        <v/>
      </c>
      <c r="V2200" s="215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7" t="str">
        <f t="shared" si="176"/>
        <v/>
      </c>
      <c r="V2201" s="215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7" t="str">
        <f t="shared" si="176"/>
        <v/>
      </c>
      <c r="V2202" s="215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7" t="str">
        <f t="shared" si="176"/>
        <v/>
      </c>
      <c r="V2203" s="215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7" t="str">
        <f t="shared" si="176"/>
        <v/>
      </c>
      <c r="V2204" s="215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7" t="str">
        <f t="shared" si="176"/>
        <v/>
      </c>
      <c r="V2205" s="215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7" t="str">
        <f t="shared" si="176"/>
        <v/>
      </c>
      <c r="V2206" s="215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7" t="str">
        <f t="shared" si="176"/>
        <v/>
      </c>
      <c r="V2207" s="215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7" t="str">
        <f t="shared" si="176"/>
        <v/>
      </c>
      <c r="V2208" s="215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7" t="str">
        <f t="shared" si="176"/>
        <v/>
      </c>
      <c r="V2209" s="215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7" t="str">
        <f t="shared" si="176"/>
        <v/>
      </c>
      <c r="V2210" s="215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7" t="str">
        <f t="shared" si="176"/>
        <v/>
      </c>
      <c r="V2211" s="215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7" t="str">
        <f t="shared" si="176"/>
        <v/>
      </c>
      <c r="V2212" s="215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7" t="str">
        <f t="shared" si="176"/>
        <v/>
      </c>
      <c r="V2213" s="215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7" t="str">
        <f t="shared" si="176"/>
        <v/>
      </c>
      <c r="V2214" s="215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7" t="str">
        <f t="shared" si="176"/>
        <v/>
      </c>
      <c r="V2215" s="215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7" t="str">
        <f t="shared" si="176"/>
        <v/>
      </c>
      <c r="V2216" s="215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7" t="str">
        <f t="shared" si="176"/>
        <v/>
      </c>
      <c r="V2217" s="215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7" t="str">
        <f t="shared" si="176"/>
        <v/>
      </c>
      <c r="V2218" s="215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7" t="str">
        <f t="shared" si="176"/>
        <v/>
      </c>
      <c r="V2219" s="215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7" t="str">
        <f t="shared" si="176"/>
        <v/>
      </c>
      <c r="V2220" s="215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7" t="str">
        <f t="shared" si="176"/>
        <v/>
      </c>
      <c r="V2221" s="215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7" t="str">
        <f t="shared" si="176"/>
        <v/>
      </c>
      <c r="V2222" s="215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7" t="str">
        <f t="shared" si="176"/>
        <v/>
      </c>
      <c r="V2223" s="215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7" t="str">
        <f t="shared" si="176"/>
        <v/>
      </c>
      <c r="V2224" s="215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7" t="str">
        <f t="shared" si="176"/>
        <v/>
      </c>
      <c r="V2225" s="215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7" t="str">
        <f t="shared" si="176"/>
        <v/>
      </c>
      <c r="V2226" s="215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7" t="str">
        <f t="shared" si="176"/>
        <v/>
      </c>
      <c r="V2227" s="215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7" t="str">
        <f t="shared" si="176"/>
        <v/>
      </c>
      <c r="V2228" s="215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7" t="str">
        <f t="shared" si="176"/>
        <v/>
      </c>
      <c r="V2229" s="215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7" t="str">
        <f t="shared" si="176"/>
        <v/>
      </c>
      <c r="V2230" s="215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7" t="str">
        <f t="shared" si="176"/>
        <v/>
      </c>
      <c r="V2231" s="215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7" t="str">
        <f t="shared" si="176"/>
        <v/>
      </c>
      <c r="V2232" s="215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7" t="str">
        <f t="shared" si="176"/>
        <v/>
      </c>
      <c r="V2233" s="215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7" t="str">
        <f t="shared" si="176"/>
        <v/>
      </c>
      <c r="V2234" s="215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7" t="str">
        <f t="shared" si="176"/>
        <v/>
      </c>
      <c r="V2235" s="215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7" t="str">
        <f t="shared" si="176"/>
        <v/>
      </c>
      <c r="V2236" s="215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7" t="str">
        <f t="shared" si="176"/>
        <v/>
      </c>
      <c r="V2237" s="215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7" t="str">
        <f t="shared" si="176"/>
        <v/>
      </c>
      <c r="V2238" s="215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7" t="str">
        <f t="shared" si="176"/>
        <v/>
      </c>
      <c r="V2239" s="215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7" t="str">
        <f t="shared" si="176"/>
        <v/>
      </c>
      <c r="V2240" s="215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7" t="str">
        <f t="shared" si="176"/>
        <v/>
      </c>
      <c r="V2241" s="215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7" t="str">
        <f t="shared" ref="U2242:U2305" si="181">IF(OR($D2242="",$H2242=""),"",ROUND($D2242+$H2242,2))</f>
        <v/>
      </c>
      <c r="V2242" s="215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7" t="str">
        <f t="shared" si="181"/>
        <v/>
      </c>
      <c r="V2243" s="215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7" t="str">
        <f t="shared" si="181"/>
        <v/>
      </c>
      <c r="V2244" s="215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7" t="str">
        <f t="shared" si="181"/>
        <v/>
      </c>
      <c r="V2245" s="215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7" t="str">
        <f t="shared" si="181"/>
        <v/>
      </c>
      <c r="V2246" s="215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7" t="str">
        <f t="shared" si="181"/>
        <v/>
      </c>
      <c r="V2247" s="215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7" t="str">
        <f t="shared" si="181"/>
        <v/>
      </c>
      <c r="V2248" s="215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7" t="str">
        <f t="shared" si="181"/>
        <v/>
      </c>
      <c r="V2249" s="215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7" t="str">
        <f t="shared" si="181"/>
        <v/>
      </c>
      <c r="V2250" s="215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7" t="str">
        <f t="shared" si="181"/>
        <v/>
      </c>
      <c r="V2251" s="215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7" t="str">
        <f t="shared" si="181"/>
        <v/>
      </c>
      <c r="V2252" s="215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7" t="str">
        <f t="shared" si="181"/>
        <v/>
      </c>
      <c r="V2253" s="215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7" t="str">
        <f t="shared" si="181"/>
        <v/>
      </c>
      <c r="V2254" s="215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7" t="str">
        <f t="shared" si="181"/>
        <v/>
      </c>
      <c r="V2255" s="215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7" t="str">
        <f t="shared" si="181"/>
        <v/>
      </c>
      <c r="V2256" s="215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7" t="str">
        <f t="shared" si="181"/>
        <v/>
      </c>
      <c r="V2257" s="215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7" t="str">
        <f t="shared" si="181"/>
        <v/>
      </c>
      <c r="V2258" s="215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7" t="str">
        <f t="shared" si="181"/>
        <v/>
      </c>
      <c r="V2259" s="215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7" t="str">
        <f t="shared" si="181"/>
        <v/>
      </c>
      <c r="V2260" s="215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7" t="str">
        <f t="shared" si="181"/>
        <v/>
      </c>
      <c r="V2261" s="215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7" t="str">
        <f t="shared" si="181"/>
        <v/>
      </c>
      <c r="V2262" s="215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7" t="str">
        <f t="shared" si="181"/>
        <v/>
      </c>
      <c r="V2263" s="215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7" t="str">
        <f t="shared" si="181"/>
        <v/>
      </c>
      <c r="V2264" s="215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7" t="str">
        <f t="shared" si="181"/>
        <v/>
      </c>
      <c r="V2265" s="215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7" t="str">
        <f t="shared" si="181"/>
        <v/>
      </c>
      <c r="V2266" s="215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7" t="str">
        <f t="shared" si="181"/>
        <v/>
      </c>
      <c r="V2267" s="215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7" t="str">
        <f t="shared" si="181"/>
        <v/>
      </c>
      <c r="V2268" s="215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7" t="str">
        <f t="shared" si="181"/>
        <v/>
      </c>
      <c r="V2269" s="215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7" t="str">
        <f t="shared" si="181"/>
        <v/>
      </c>
      <c r="V2270" s="215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7" t="str">
        <f t="shared" si="181"/>
        <v/>
      </c>
      <c r="V2271" s="215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7" t="str">
        <f t="shared" si="181"/>
        <v/>
      </c>
      <c r="V2272" s="215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7" t="str">
        <f t="shared" si="181"/>
        <v/>
      </c>
      <c r="V2273" s="215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7" t="str">
        <f t="shared" si="181"/>
        <v/>
      </c>
      <c r="V2274" s="215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7" t="str">
        <f t="shared" si="181"/>
        <v/>
      </c>
      <c r="V2275" s="215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7" t="str">
        <f t="shared" si="181"/>
        <v/>
      </c>
      <c r="V2276" s="215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7" t="str">
        <f t="shared" si="181"/>
        <v/>
      </c>
      <c r="V2277" s="215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7" t="str">
        <f t="shared" si="181"/>
        <v/>
      </c>
      <c r="V2278" s="215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7" t="str">
        <f t="shared" si="181"/>
        <v/>
      </c>
      <c r="V2279" s="215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7" t="str">
        <f t="shared" si="181"/>
        <v/>
      </c>
      <c r="V2280" s="215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7" t="str">
        <f t="shared" si="181"/>
        <v/>
      </c>
      <c r="V2281" s="215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7" t="str">
        <f t="shared" si="181"/>
        <v/>
      </c>
      <c r="V2282" s="215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7" t="str">
        <f t="shared" si="181"/>
        <v/>
      </c>
      <c r="V2283" s="215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7" t="str">
        <f t="shared" si="181"/>
        <v/>
      </c>
      <c r="V2284" s="215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7" t="str">
        <f t="shared" si="181"/>
        <v/>
      </c>
      <c r="V2285" s="215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7" t="str">
        <f t="shared" si="181"/>
        <v/>
      </c>
      <c r="V2286" s="215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7" t="str">
        <f t="shared" si="181"/>
        <v/>
      </c>
      <c r="V2287" s="215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7" t="str">
        <f t="shared" si="181"/>
        <v/>
      </c>
      <c r="V2288" s="215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7" t="str">
        <f t="shared" si="181"/>
        <v/>
      </c>
      <c r="V2289" s="215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7" t="str">
        <f t="shared" si="181"/>
        <v/>
      </c>
      <c r="V2290" s="215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7" t="str">
        <f t="shared" si="181"/>
        <v/>
      </c>
      <c r="V2291" s="215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7" t="str">
        <f t="shared" si="181"/>
        <v/>
      </c>
      <c r="V2292" s="215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7" t="str">
        <f t="shared" si="181"/>
        <v/>
      </c>
      <c r="V2293" s="215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7" t="str">
        <f t="shared" si="181"/>
        <v/>
      </c>
      <c r="V2294" s="215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7" t="str">
        <f t="shared" si="181"/>
        <v/>
      </c>
      <c r="V2295" s="215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7" t="str">
        <f t="shared" si="181"/>
        <v/>
      </c>
      <c r="V2296" s="215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7" t="str">
        <f t="shared" si="181"/>
        <v/>
      </c>
      <c r="V2297" s="215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7" t="str">
        <f t="shared" si="181"/>
        <v/>
      </c>
      <c r="V2298" s="215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7" t="str">
        <f t="shared" si="181"/>
        <v/>
      </c>
      <c r="V2299" s="215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7" t="str">
        <f t="shared" si="181"/>
        <v/>
      </c>
      <c r="V2300" s="215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7" t="str">
        <f t="shared" si="181"/>
        <v/>
      </c>
      <c r="V2301" s="215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7" t="str">
        <f t="shared" si="181"/>
        <v/>
      </c>
      <c r="V2302" s="215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7" t="str">
        <f t="shared" si="181"/>
        <v/>
      </c>
      <c r="V2303" s="215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7" t="str">
        <f t="shared" si="181"/>
        <v/>
      </c>
      <c r="V2304" s="215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7" t="str">
        <f t="shared" si="181"/>
        <v/>
      </c>
      <c r="V2305" s="215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7" t="str">
        <f t="shared" ref="U2306:U2369" si="186">IF(OR($D2306="",$H2306=""),"",ROUND($D2306+$H2306,2))</f>
        <v/>
      </c>
      <c r="V2306" s="215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7" t="str">
        <f t="shared" si="186"/>
        <v/>
      </c>
      <c r="V2307" s="215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7" t="str">
        <f t="shared" si="186"/>
        <v/>
      </c>
      <c r="V2308" s="215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7" t="str">
        <f t="shared" si="186"/>
        <v/>
      </c>
      <c r="V2309" s="215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7" t="str">
        <f t="shared" si="186"/>
        <v/>
      </c>
      <c r="V2310" s="215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7" t="str">
        <f t="shared" si="186"/>
        <v/>
      </c>
      <c r="V2311" s="215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7" t="str">
        <f t="shared" si="186"/>
        <v/>
      </c>
      <c r="V2312" s="215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7" t="str">
        <f t="shared" si="186"/>
        <v/>
      </c>
      <c r="V2313" s="215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7" t="str">
        <f t="shared" si="186"/>
        <v/>
      </c>
      <c r="V2314" s="215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7" t="str">
        <f t="shared" si="186"/>
        <v/>
      </c>
      <c r="V2315" s="215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7" t="str">
        <f t="shared" si="186"/>
        <v/>
      </c>
      <c r="V2316" s="215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7" t="str">
        <f t="shared" si="186"/>
        <v/>
      </c>
      <c r="V2317" s="215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7" t="str">
        <f t="shared" si="186"/>
        <v/>
      </c>
      <c r="V2318" s="215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7" t="str">
        <f t="shared" si="186"/>
        <v/>
      </c>
      <c r="V2319" s="215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7" t="str">
        <f t="shared" si="186"/>
        <v/>
      </c>
      <c r="V2320" s="215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7" t="str">
        <f t="shared" si="186"/>
        <v/>
      </c>
      <c r="V2321" s="215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7" t="str">
        <f t="shared" si="186"/>
        <v/>
      </c>
      <c r="V2322" s="215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7" t="str">
        <f t="shared" si="186"/>
        <v/>
      </c>
      <c r="V2323" s="215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7" t="str">
        <f t="shared" si="186"/>
        <v/>
      </c>
      <c r="V2324" s="215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7" t="str">
        <f t="shared" si="186"/>
        <v/>
      </c>
      <c r="V2325" s="215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7" t="str">
        <f t="shared" si="186"/>
        <v/>
      </c>
      <c r="V2326" s="215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7" t="str">
        <f t="shared" si="186"/>
        <v/>
      </c>
      <c r="V2327" s="215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7" t="str">
        <f t="shared" si="186"/>
        <v/>
      </c>
      <c r="V2328" s="215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7" t="str">
        <f t="shared" si="186"/>
        <v/>
      </c>
      <c r="V2329" s="215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7" t="str">
        <f t="shared" si="186"/>
        <v/>
      </c>
      <c r="V2330" s="215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7" t="str">
        <f t="shared" si="186"/>
        <v/>
      </c>
      <c r="V2331" s="215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7" t="str">
        <f t="shared" si="186"/>
        <v/>
      </c>
      <c r="V2332" s="215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7" t="str">
        <f t="shared" si="186"/>
        <v/>
      </c>
      <c r="V2333" s="215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7" t="str">
        <f t="shared" si="186"/>
        <v/>
      </c>
      <c r="V2334" s="215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7" t="str">
        <f t="shared" si="186"/>
        <v/>
      </c>
      <c r="V2335" s="215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7" t="str">
        <f t="shared" si="186"/>
        <v/>
      </c>
      <c r="V2336" s="215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7" t="str">
        <f t="shared" si="186"/>
        <v/>
      </c>
      <c r="V2337" s="215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7" t="str">
        <f t="shared" si="186"/>
        <v/>
      </c>
      <c r="V2338" s="215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7" t="str">
        <f t="shared" si="186"/>
        <v/>
      </c>
      <c r="V2339" s="215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7" t="str">
        <f t="shared" si="186"/>
        <v/>
      </c>
      <c r="V2340" s="215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7" t="str">
        <f t="shared" si="186"/>
        <v/>
      </c>
      <c r="V2341" s="215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7" t="str">
        <f t="shared" si="186"/>
        <v/>
      </c>
      <c r="V2342" s="215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7" t="str">
        <f t="shared" si="186"/>
        <v/>
      </c>
      <c r="V2343" s="215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7" t="str">
        <f t="shared" si="186"/>
        <v/>
      </c>
      <c r="V2344" s="215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7" t="str">
        <f t="shared" si="186"/>
        <v/>
      </c>
      <c r="V2345" s="215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7" t="str">
        <f t="shared" si="186"/>
        <v/>
      </c>
      <c r="V2346" s="215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7" t="str">
        <f t="shared" si="186"/>
        <v/>
      </c>
      <c r="V2347" s="215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7" t="str">
        <f t="shared" si="186"/>
        <v/>
      </c>
      <c r="V2348" s="215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7" t="str">
        <f t="shared" si="186"/>
        <v/>
      </c>
      <c r="V2349" s="215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7" t="str">
        <f t="shared" si="186"/>
        <v/>
      </c>
      <c r="V2350" s="215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7" t="str">
        <f t="shared" si="186"/>
        <v/>
      </c>
      <c r="V2351" s="215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7" t="str">
        <f t="shared" si="186"/>
        <v/>
      </c>
      <c r="V2352" s="215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7" t="str">
        <f t="shared" si="186"/>
        <v/>
      </c>
      <c r="V2353" s="215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7" t="str">
        <f t="shared" si="186"/>
        <v/>
      </c>
      <c r="V2354" s="215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7" t="str">
        <f t="shared" si="186"/>
        <v/>
      </c>
      <c r="V2355" s="215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7" t="str">
        <f t="shared" si="186"/>
        <v/>
      </c>
      <c r="V2356" s="215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7" t="str">
        <f t="shared" si="186"/>
        <v/>
      </c>
      <c r="V2357" s="215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7" t="str">
        <f t="shared" si="186"/>
        <v/>
      </c>
      <c r="V2358" s="215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7" t="str">
        <f t="shared" si="186"/>
        <v/>
      </c>
      <c r="V2359" s="215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7" t="str">
        <f t="shared" si="186"/>
        <v/>
      </c>
      <c r="V2360" s="215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7" t="str">
        <f t="shared" si="186"/>
        <v/>
      </c>
      <c r="V2361" s="215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7" t="str">
        <f t="shared" si="186"/>
        <v/>
      </c>
      <c r="V2362" s="215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7" t="str">
        <f t="shared" si="186"/>
        <v/>
      </c>
      <c r="V2363" s="215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7" t="str">
        <f t="shared" si="186"/>
        <v/>
      </c>
      <c r="V2364" s="215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7" t="str">
        <f t="shared" si="186"/>
        <v/>
      </c>
      <c r="V2365" s="215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7" t="str">
        <f t="shared" si="186"/>
        <v/>
      </c>
      <c r="V2366" s="215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7" t="str">
        <f t="shared" si="186"/>
        <v/>
      </c>
      <c r="V2367" s="215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7" t="str">
        <f t="shared" si="186"/>
        <v/>
      </c>
      <c r="V2368" s="215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7" t="str">
        <f t="shared" si="186"/>
        <v/>
      </c>
      <c r="V2369" s="215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7" t="str">
        <f t="shared" ref="U2370:U2433" si="191">IF(OR($D2370="",$H2370=""),"",ROUND($D2370+$H2370,2))</f>
        <v/>
      </c>
      <c r="V2370" s="215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7" t="str">
        <f t="shared" si="191"/>
        <v/>
      </c>
      <c r="V2371" s="215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7" t="str">
        <f t="shared" si="191"/>
        <v/>
      </c>
      <c r="V2372" s="215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7" t="str">
        <f t="shared" si="191"/>
        <v/>
      </c>
      <c r="V2373" s="215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7" t="str">
        <f t="shared" si="191"/>
        <v/>
      </c>
      <c r="V2374" s="215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7" t="str">
        <f t="shared" si="191"/>
        <v/>
      </c>
      <c r="V2375" s="215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7" t="str">
        <f t="shared" si="191"/>
        <v/>
      </c>
      <c r="V2376" s="215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7" t="str">
        <f t="shared" si="191"/>
        <v/>
      </c>
      <c r="V2377" s="215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7" t="str">
        <f t="shared" si="191"/>
        <v/>
      </c>
      <c r="V2378" s="215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7" t="str">
        <f t="shared" si="191"/>
        <v/>
      </c>
      <c r="V2379" s="215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7" t="str">
        <f t="shared" si="191"/>
        <v/>
      </c>
      <c r="V2380" s="215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7" t="str">
        <f t="shared" si="191"/>
        <v/>
      </c>
      <c r="V2381" s="215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7" t="str">
        <f t="shared" si="191"/>
        <v/>
      </c>
      <c r="V2382" s="215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7" t="str">
        <f t="shared" si="191"/>
        <v/>
      </c>
      <c r="V2383" s="215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7" t="str">
        <f t="shared" si="191"/>
        <v/>
      </c>
      <c r="V2384" s="215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7" t="str">
        <f t="shared" si="191"/>
        <v/>
      </c>
      <c r="V2385" s="215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7" t="str">
        <f t="shared" si="191"/>
        <v/>
      </c>
      <c r="V2386" s="215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7" t="str">
        <f t="shared" si="191"/>
        <v/>
      </c>
      <c r="V2387" s="215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7" t="str">
        <f t="shared" si="191"/>
        <v/>
      </c>
      <c r="V2388" s="215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7" t="str">
        <f t="shared" si="191"/>
        <v/>
      </c>
      <c r="V2389" s="215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7" t="str">
        <f t="shared" si="191"/>
        <v/>
      </c>
      <c r="V2390" s="215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7" t="str">
        <f t="shared" si="191"/>
        <v/>
      </c>
      <c r="V2391" s="215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7" t="str">
        <f t="shared" si="191"/>
        <v/>
      </c>
      <c r="V2392" s="215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7" t="str">
        <f t="shared" si="191"/>
        <v/>
      </c>
      <c r="V2393" s="215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7" t="str">
        <f t="shared" si="191"/>
        <v/>
      </c>
      <c r="V2394" s="215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7" t="str">
        <f t="shared" si="191"/>
        <v/>
      </c>
      <c r="V2395" s="215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7" t="str">
        <f t="shared" si="191"/>
        <v/>
      </c>
      <c r="V2396" s="215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7" t="str">
        <f t="shared" si="191"/>
        <v/>
      </c>
      <c r="V2397" s="215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7" t="str">
        <f t="shared" si="191"/>
        <v/>
      </c>
      <c r="V2398" s="215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7" t="str">
        <f t="shared" si="191"/>
        <v/>
      </c>
      <c r="V2399" s="215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7" t="str">
        <f t="shared" si="191"/>
        <v/>
      </c>
      <c r="V2400" s="215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7" t="str">
        <f t="shared" si="191"/>
        <v/>
      </c>
      <c r="V2401" s="215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7" t="str">
        <f t="shared" si="191"/>
        <v/>
      </c>
      <c r="V2402" s="215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7" t="str">
        <f t="shared" si="191"/>
        <v/>
      </c>
      <c r="V2403" s="215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7" t="str">
        <f t="shared" si="191"/>
        <v/>
      </c>
      <c r="V2404" s="215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7" t="str">
        <f t="shared" si="191"/>
        <v/>
      </c>
      <c r="V2405" s="215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7" t="str">
        <f t="shared" si="191"/>
        <v/>
      </c>
      <c r="V2406" s="215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7" t="str">
        <f t="shared" si="191"/>
        <v/>
      </c>
      <c r="V2407" s="215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7" t="str">
        <f t="shared" si="191"/>
        <v/>
      </c>
      <c r="V2408" s="215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7" t="str">
        <f t="shared" si="191"/>
        <v/>
      </c>
      <c r="V2409" s="215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7" t="str">
        <f t="shared" si="191"/>
        <v/>
      </c>
      <c r="V2410" s="215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7" t="str">
        <f t="shared" si="191"/>
        <v/>
      </c>
      <c r="V2411" s="215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7" t="str">
        <f t="shared" si="191"/>
        <v/>
      </c>
      <c r="V2412" s="215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7" t="str">
        <f t="shared" si="191"/>
        <v/>
      </c>
      <c r="V2413" s="215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7" t="str">
        <f t="shared" si="191"/>
        <v/>
      </c>
      <c r="V2414" s="215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7" t="str">
        <f t="shared" si="191"/>
        <v/>
      </c>
      <c r="V2415" s="215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7" t="str">
        <f t="shared" si="191"/>
        <v/>
      </c>
      <c r="V2416" s="215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7" t="str">
        <f t="shared" si="191"/>
        <v/>
      </c>
      <c r="V2417" s="215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7" t="str">
        <f t="shared" si="191"/>
        <v/>
      </c>
      <c r="V2418" s="215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7" t="str">
        <f t="shared" si="191"/>
        <v/>
      </c>
      <c r="V2419" s="215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7" t="str">
        <f t="shared" si="191"/>
        <v/>
      </c>
      <c r="V2420" s="215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7" t="str">
        <f t="shared" si="191"/>
        <v/>
      </c>
      <c r="V2421" s="215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7" t="str">
        <f t="shared" si="191"/>
        <v/>
      </c>
      <c r="V2422" s="215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7" t="str">
        <f t="shared" si="191"/>
        <v/>
      </c>
      <c r="V2423" s="215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7" t="str">
        <f t="shared" si="191"/>
        <v/>
      </c>
      <c r="V2424" s="215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7" t="str">
        <f t="shared" si="191"/>
        <v/>
      </c>
      <c r="V2425" s="215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7" t="str">
        <f t="shared" si="191"/>
        <v/>
      </c>
      <c r="V2426" s="215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7" t="str">
        <f t="shared" si="191"/>
        <v/>
      </c>
      <c r="V2427" s="215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7" t="str">
        <f t="shared" si="191"/>
        <v/>
      </c>
      <c r="V2428" s="215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7" t="str">
        <f t="shared" si="191"/>
        <v/>
      </c>
      <c r="V2429" s="215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7" t="str">
        <f t="shared" si="191"/>
        <v/>
      </c>
      <c r="V2430" s="215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7" t="str">
        <f t="shared" si="191"/>
        <v/>
      </c>
      <c r="V2431" s="215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7" t="str">
        <f t="shared" si="191"/>
        <v/>
      </c>
      <c r="V2432" s="215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7" t="str">
        <f t="shared" si="191"/>
        <v/>
      </c>
      <c r="V2433" s="215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7" t="str">
        <f t="shared" ref="U2434:U2497" si="196">IF(OR($D2434="",$H2434=""),"",ROUND($D2434+$H2434,2))</f>
        <v/>
      </c>
      <c r="V2434" s="215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7" t="str">
        <f t="shared" si="196"/>
        <v/>
      </c>
      <c r="V2435" s="215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7" t="str">
        <f t="shared" si="196"/>
        <v/>
      </c>
      <c r="V2436" s="215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7" t="str">
        <f t="shared" si="196"/>
        <v/>
      </c>
      <c r="V2437" s="215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7" t="str">
        <f t="shared" si="196"/>
        <v/>
      </c>
      <c r="V2438" s="215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7" t="str">
        <f t="shared" si="196"/>
        <v/>
      </c>
      <c r="V2439" s="215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7" t="str">
        <f t="shared" si="196"/>
        <v/>
      </c>
      <c r="V2440" s="215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7" t="str">
        <f t="shared" si="196"/>
        <v/>
      </c>
      <c r="V2441" s="215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7" t="str">
        <f t="shared" si="196"/>
        <v/>
      </c>
      <c r="V2442" s="215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7" t="str">
        <f t="shared" si="196"/>
        <v/>
      </c>
      <c r="V2443" s="215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7" t="str">
        <f t="shared" si="196"/>
        <v/>
      </c>
      <c r="V2444" s="215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7" t="str">
        <f t="shared" si="196"/>
        <v/>
      </c>
      <c r="V2445" s="215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7" t="str">
        <f t="shared" si="196"/>
        <v/>
      </c>
      <c r="V2446" s="215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7" t="str">
        <f t="shared" si="196"/>
        <v/>
      </c>
      <c r="V2447" s="215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7" t="str">
        <f t="shared" si="196"/>
        <v/>
      </c>
      <c r="V2448" s="215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7" t="str">
        <f t="shared" si="196"/>
        <v/>
      </c>
      <c r="V2449" s="215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7" t="str">
        <f t="shared" si="196"/>
        <v/>
      </c>
      <c r="V2450" s="215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7" t="str">
        <f t="shared" si="196"/>
        <v/>
      </c>
      <c r="V2451" s="215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7" t="str">
        <f t="shared" si="196"/>
        <v/>
      </c>
      <c r="V2452" s="215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7" t="str">
        <f t="shared" si="196"/>
        <v/>
      </c>
      <c r="V2453" s="215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7" t="str">
        <f t="shared" si="196"/>
        <v/>
      </c>
      <c r="V2454" s="215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7" t="str">
        <f t="shared" si="196"/>
        <v/>
      </c>
      <c r="V2455" s="215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7" t="str">
        <f t="shared" si="196"/>
        <v/>
      </c>
      <c r="V2456" s="215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7" t="str">
        <f t="shared" si="196"/>
        <v/>
      </c>
      <c r="V2457" s="215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7" t="str">
        <f t="shared" si="196"/>
        <v/>
      </c>
      <c r="V2458" s="215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7" t="str">
        <f t="shared" si="196"/>
        <v/>
      </c>
      <c r="V2459" s="215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7" t="str">
        <f t="shared" si="196"/>
        <v/>
      </c>
      <c r="V2460" s="215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7" t="str">
        <f t="shared" si="196"/>
        <v/>
      </c>
      <c r="V2461" s="215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7" t="str">
        <f t="shared" si="196"/>
        <v/>
      </c>
      <c r="V2462" s="215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7" t="str">
        <f t="shared" si="196"/>
        <v/>
      </c>
      <c r="V2463" s="215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7" t="str">
        <f t="shared" si="196"/>
        <v/>
      </c>
      <c r="V2464" s="215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7" t="str">
        <f t="shared" si="196"/>
        <v/>
      </c>
      <c r="V2465" s="215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7" t="str">
        <f t="shared" si="196"/>
        <v/>
      </c>
      <c r="V2466" s="215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7" t="str">
        <f t="shared" si="196"/>
        <v/>
      </c>
      <c r="V2467" s="215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7" t="str">
        <f t="shared" si="196"/>
        <v/>
      </c>
      <c r="V2468" s="215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7" t="str">
        <f t="shared" si="196"/>
        <v/>
      </c>
      <c r="V2469" s="215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7" t="str">
        <f t="shared" si="196"/>
        <v/>
      </c>
      <c r="V2470" s="215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7" t="str">
        <f t="shared" si="196"/>
        <v/>
      </c>
      <c r="V2471" s="215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7" t="str">
        <f t="shared" si="196"/>
        <v/>
      </c>
      <c r="V2472" s="215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7" t="str">
        <f t="shared" si="196"/>
        <v/>
      </c>
      <c r="V2473" s="215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7" t="str">
        <f t="shared" si="196"/>
        <v/>
      </c>
      <c r="V2474" s="215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7" t="str">
        <f t="shared" si="196"/>
        <v/>
      </c>
      <c r="V2475" s="215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7" t="str">
        <f t="shared" si="196"/>
        <v/>
      </c>
      <c r="V2476" s="215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7" t="str">
        <f t="shared" si="196"/>
        <v/>
      </c>
      <c r="V2477" s="215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7" t="str">
        <f t="shared" si="196"/>
        <v/>
      </c>
      <c r="V2478" s="215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7" t="str">
        <f t="shared" si="196"/>
        <v/>
      </c>
      <c r="V2479" s="215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7" t="str">
        <f t="shared" si="196"/>
        <v/>
      </c>
      <c r="V2480" s="215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7" t="str">
        <f t="shared" si="196"/>
        <v/>
      </c>
      <c r="V2481" s="215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7" t="str">
        <f t="shared" si="196"/>
        <v/>
      </c>
      <c r="V2482" s="215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7" t="str">
        <f t="shared" si="196"/>
        <v/>
      </c>
      <c r="V2483" s="215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7" t="str">
        <f t="shared" si="196"/>
        <v/>
      </c>
      <c r="V2484" s="215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7" t="str">
        <f t="shared" si="196"/>
        <v/>
      </c>
      <c r="V2485" s="215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7" t="str">
        <f t="shared" si="196"/>
        <v/>
      </c>
      <c r="V2486" s="215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7" t="str">
        <f t="shared" si="196"/>
        <v/>
      </c>
      <c r="V2487" s="215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7" t="str">
        <f t="shared" si="196"/>
        <v/>
      </c>
      <c r="V2488" s="215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7" t="str">
        <f t="shared" si="196"/>
        <v/>
      </c>
      <c r="V2489" s="215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7" t="str">
        <f t="shared" si="196"/>
        <v/>
      </c>
      <c r="V2490" s="215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7" t="str">
        <f t="shared" si="196"/>
        <v/>
      </c>
      <c r="V2491" s="215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7" t="str">
        <f t="shared" si="196"/>
        <v/>
      </c>
      <c r="V2492" s="215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7" t="str">
        <f t="shared" si="196"/>
        <v/>
      </c>
      <c r="V2493" s="215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7" t="str">
        <f t="shared" si="196"/>
        <v/>
      </c>
      <c r="V2494" s="215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7" t="str">
        <f t="shared" si="196"/>
        <v/>
      </c>
      <c r="V2495" s="215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7" t="str">
        <f t="shared" si="196"/>
        <v/>
      </c>
      <c r="V2496" s="215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7" t="str">
        <f t="shared" si="196"/>
        <v/>
      </c>
      <c r="V2497" s="215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7" t="str">
        <f t="shared" ref="U2498:U2561" si="201">IF(OR($D2498="",$H2498=""),"",ROUND($D2498+$H2498,2))</f>
        <v/>
      </c>
      <c r="V2498" s="215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7" t="str">
        <f t="shared" si="201"/>
        <v/>
      </c>
      <c r="V2499" s="215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7" t="str">
        <f t="shared" si="201"/>
        <v/>
      </c>
      <c r="V2500" s="215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7" t="str">
        <f t="shared" si="201"/>
        <v/>
      </c>
      <c r="V2501" s="215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7" t="str">
        <f t="shared" si="201"/>
        <v/>
      </c>
      <c r="V2502" s="215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7" t="str">
        <f t="shared" si="201"/>
        <v/>
      </c>
      <c r="V2503" s="215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7" t="str">
        <f t="shared" si="201"/>
        <v/>
      </c>
      <c r="V2504" s="215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7" t="str">
        <f t="shared" si="201"/>
        <v/>
      </c>
      <c r="V2505" s="215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7" t="str">
        <f t="shared" si="201"/>
        <v/>
      </c>
      <c r="V2506" s="215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7" t="str">
        <f t="shared" si="201"/>
        <v/>
      </c>
      <c r="V2507" s="215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7" t="str">
        <f t="shared" si="201"/>
        <v/>
      </c>
      <c r="V2508" s="215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7" t="str">
        <f t="shared" si="201"/>
        <v/>
      </c>
      <c r="V2509" s="215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7" t="str">
        <f t="shared" si="201"/>
        <v/>
      </c>
      <c r="V2510" s="215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7" t="str">
        <f t="shared" si="201"/>
        <v/>
      </c>
      <c r="V2511" s="215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7" t="str">
        <f t="shared" si="201"/>
        <v/>
      </c>
      <c r="V2512" s="215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7" t="str">
        <f t="shared" si="201"/>
        <v/>
      </c>
      <c r="V2513" s="215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7" t="str">
        <f t="shared" si="201"/>
        <v/>
      </c>
      <c r="V2514" s="215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7" t="str">
        <f t="shared" si="201"/>
        <v/>
      </c>
      <c r="V2515" s="215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7" t="str">
        <f t="shared" si="201"/>
        <v/>
      </c>
      <c r="V2516" s="215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7" t="str">
        <f t="shared" si="201"/>
        <v/>
      </c>
      <c r="V2517" s="215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7" t="str">
        <f t="shared" si="201"/>
        <v/>
      </c>
      <c r="V2518" s="215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7" t="str">
        <f t="shared" si="201"/>
        <v/>
      </c>
      <c r="V2519" s="215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7" t="str">
        <f t="shared" si="201"/>
        <v/>
      </c>
      <c r="V2520" s="215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7" t="str">
        <f t="shared" si="201"/>
        <v/>
      </c>
      <c r="V2521" s="215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7" t="str">
        <f t="shared" si="201"/>
        <v/>
      </c>
      <c r="V2522" s="215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7" t="str">
        <f t="shared" si="201"/>
        <v/>
      </c>
      <c r="V2523" s="215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7" t="str">
        <f t="shared" si="201"/>
        <v/>
      </c>
      <c r="V2524" s="215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7" t="str">
        <f t="shared" si="201"/>
        <v/>
      </c>
      <c r="V2525" s="215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7" t="str">
        <f t="shared" si="201"/>
        <v/>
      </c>
      <c r="V2526" s="215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7" t="str">
        <f t="shared" si="201"/>
        <v/>
      </c>
      <c r="V2527" s="215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7" t="str">
        <f t="shared" si="201"/>
        <v/>
      </c>
      <c r="V2528" s="215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7" t="str">
        <f t="shared" si="201"/>
        <v/>
      </c>
      <c r="V2529" s="215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7" t="str">
        <f t="shared" si="201"/>
        <v/>
      </c>
      <c r="V2530" s="215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7" t="str">
        <f t="shared" si="201"/>
        <v/>
      </c>
      <c r="V2531" s="215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7" t="str">
        <f t="shared" si="201"/>
        <v/>
      </c>
      <c r="V2532" s="215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7" t="str">
        <f t="shared" si="201"/>
        <v/>
      </c>
      <c r="V2533" s="215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7" t="str">
        <f t="shared" si="201"/>
        <v/>
      </c>
      <c r="V2534" s="215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7" t="str">
        <f t="shared" si="201"/>
        <v/>
      </c>
      <c r="V2535" s="215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7" t="str">
        <f t="shared" si="201"/>
        <v/>
      </c>
      <c r="V2536" s="215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7" t="str">
        <f t="shared" si="201"/>
        <v/>
      </c>
      <c r="V2537" s="215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7" t="str">
        <f t="shared" si="201"/>
        <v/>
      </c>
      <c r="V2538" s="215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7" t="str">
        <f t="shared" si="201"/>
        <v/>
      </c>
      <c r="V2539" s="215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7" t="str">
        <f t="shared" si="201"/>
        <v/>
      </c>
      <c r="V2540" s="215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7" t="str">
        <f t="shared" si="201"/>
        <v/>
      </c>
      <c r="V2541" s="215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7" t="str">
        <f t="shared" si="201"/>
        <v/>
      </c>
      <c r="V2542" s="215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7" t="str">
        <f t="shared" si="201"/>
        <v/>
      </c>
      <c r="V2543" s="215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7" t="str">
        <f t="shared" si="201"/>
        <v/>
      </c>
      <c r="V2544" s="215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7" t="str">
        <f t="shared" si="201"/>
        <v/>
      </c>
      <c r="V2545" s="215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7" t="str">
        <f t="shared" si="201"/>
        <v/>
      </c>
      <c r="V2546" s="215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7" t="str">
        <f t="shared" si="201"/>
        <v/>
      </c>
      <c r="V2547" s="215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7" t="str">
        <f t="shared" si="201"/>
        <v/>
      </c>
      <c r="V2548" s="215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7" t="str">
        <f t="shared" si="201"/>
        <v/>
      </c>
      <c r="V2549" s="215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7" t="str">
        <f t="shared" si="201"/>
        <v/>
      </c>
      <c r="V2550" s="215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7" t="str">
        <f t="shared" si="201"/>
        <v/>
      </c>
      <c r="V2551" s="215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7" t="str">
        <f t="shared" si="201"/>
        <v/>
      </c>
      <c r="V2552" s="215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7" t="str">
        <f t="shared" si="201"/>
        <v/>
      </c>
      <c r="V2553" s="215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7" t="str">
        <f t="shared" si="201"/>
        <v/>
      </c>
      <c r="V2554" s="215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7" t="str">
        <f t="shared" si="201"/>
        <v/>
      </c>
      <c r="V2555" s="215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7" t="str">
        <f t="shared" si="201"/>
        <v/>
      </c>
      <c r="V2556" s="215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7" t="str">
        <f t="shared" si="201"/>
        <v/>
      </c>
      <c r="V2557" s="215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7" t="str">
        <f t="shared" si="201"/>
        <v/>
      </c>
      <c r="V2558" s="215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7" t="str">
        <f t="shared" si="201"/>
        <v/>
      </c>
      <c r="V2559" s="215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7" t="str">
        <f t="shared" si="201"/>
        <v/>
      </c>
      <c r="V2560" s="215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7" t="str">
        <f t="shared" si="201"/>
        <v/>
      </c>
      <c r="V2561" s="215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7" t="str">
        <f t="shared" ref="U2562:U2625" si="206">IF(OR($D2562="",$H2562=""),"",ROUND($D2562+$H2562,2))</f>
        <v/>
      </c>
      <c r="V2562" s="215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7" t="str">
        <f t="shared" si="206"/>
        <v/>
      </c>
      <c r="V2563" s="215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7" t="str">
        <f t="shared" si="206"/>
        <v/>
      </c>
      <c r="V2564" s="215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7" t="str">
        <f t="shared" si="206"/>
        <v/>
      </c>
      <c r="V2565" s="215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7" t="str">
        <f t="shared" si="206"/>
        <v/>
      </c>
      <c r="V2566" s="215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7" t="str">
        <f t="shared" si="206"/>
        <v/>
      </c>
      <c r="V2567" s="215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7" t="str">
        <f t="shared" si="206"/>
        <v/>
      </c>
      <c r="V2568" s="215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7" t="str">
        <f t="shared" si="206"/>
        <v/>
      </c>
      <c r="V2569" s="215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7" t="str">
        <f t="shared" si="206"/>
        <v/>
      </c>
      <c r="V2570" s="215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7" t="str">
        <f t="shared" si="206"/>
        <v/>
      </c>
      <c r="V2571" s="215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7" t="str">
        <f t="shared" si="206"/>
        <v/>
      </c>
      <c r="V2572" s="215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7" t="str">
        <f t="shared" si="206"/>
        <v/>
      </c>
      <c r="V2573" s="215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7" t="str">
        <f t="shared" si="206"/>
        <v/>
      </c>
      <c r="V2574" s="215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7" t="str">
        <f t="shared" si="206"/>
        <v/>
      </c>
      <c r="V2575" s="215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7" t="str">
        <f t="shared" si="206"/>
        <v/>
      </c>
      <c r="V2576" s="215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7" t="str">
        <f t="shared" si="206"/>
        <v/>
      </c>
      <c r="V2577" s="215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7" t="str">
        <f t="shared" si="206"/>
        <v/>
      </c>
      <c r="V2578" s="215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7" t="str">
        <f t="shared" si="206"/>
        <v/>
      </c>
      <c r="V2579" s="215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7" t="str">
        <f t="shared" si="206"/>
        <v/>
      </c>
      <c r="V2580" s="215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7" t="str">
        <f t="shared" si="206"/>
        <v/>
      </c>
      <c r="V2581" s="215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7" t="str">
        <f t="shared" si="206"/>
        <v/>
      </c>
      <c r="V2582" s="215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7" t="str">
        <f t="shared" si="206"/>
        <v/>
      </c>
      <c r="V2583" s="215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7" t="str">
        <f t="shared" si="206"/>
        <v/>
      </c>
      <c r="V2584" s="215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7" t="str">
        <f t="shared" si="206"/>
        <v/>
      </c>
      <c r="V2585" s="215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7" t="str">
        <f t="shared" si="206"/>
        <v/>
      </c>
      <c r="V2586" s="215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7" t="str">
        <f t="shared" si="206"/>
        <v/>
      </c>
      <c r="V2587" s="215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7" t="str">
        <f t="shared" si="206"/>
        <v/>
      </c>
      <c r="V2588" s="215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7" t="str">
        <f t="shared" si="206"/>
        <v/>
      </c>
      <c r="V2589" s="215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7" t="str">
        <f t="shared" si="206"/>
        <v/>
      </c>
      <c r="V2590" s="215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7" t="str">
        <f t="shared" si="206"/>
        <v/>
      </c>
      <c r="V2591" s="215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7" t="str">
        <f t="shared" si="206"/>
        <v/>
      </c>
      <c r="V2592" s="215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7" t="str">
        <f t="shared" si="206"/>
        <v/>
      </c>
      <c r="V2593" s="215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7" t="str">
        <f t="shared" si="206"/>
        <v/>
      </c>
      <c r="V2594" s="215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7" t="str">
        <f t="shared" si="206"/>
        <v/>
      </c>
      <c r="V2595" s="215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7" t="str">
        <f t="shared" si="206"/>
        <v/>
      </c>
      <c r="V2596" s="215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7" t="str">
        <f t="shared" si="206"/>
        <v/>
      </c>
      <c r="V2597" s="215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7" t="str">
        <f t="shared" si="206"/>
        <v/>
      </c>
      <c r="V2598" s="215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7" t="str">
        <f t="shared" si="206"/>
        <v/>
      </c>
      <c r="V2599" s="215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7" t="str">
        <f t="shared" si="206"/>
        <v/>
      </c>
      <c r="V2600" s="215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7" t="str">
        <f t="shared" si="206"/>
        <v/>
      </c>
      <c r="V2601" s="215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7" t="str">
        <f t="shared" si="206"/>
        <v/>
      </c>
      <c r="V2602" s="215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7" t="str">
        <f t="shared" si="206"/>
        <v/>
      </c>
      <c r="V2603" s="215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7" t="str">
        <f t="shared" si="206"/>
        <v/>
      </c>
      <c r="V2604" s="215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7" t="str">
        <f t="shared" si="206"/>
        <v/>
      </c>
      <c r="V2605" s="215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7" t="str">
        <f t="shared" si="206"/>
        <v/>
      </c>
      <c r="V2606" s="215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7" t="str">
        <f t="shared" si="206"/>
        <v/>
      </c>
      <c r="V2607" s="215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7" t="str">
        <f t="shared" si="206"/>
        <v/>
      </c>
      <c r="V2608" s="215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7" t="str">
        <f t="shared" si="206"/>
        <v/>
      </c>
      <c r="V2609" s="215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7" t="str">
        <f t="shared" si="206"/>
        <v/>
      </c>
      <c r="V2610" s="215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7" t="str">
        <f t="shared" si="206"/>
        <v/>
      </c>
      <c r="V2611" s="215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7" t="str">
        <f t="shared" si="206"/>
        <v/>
      </c>
      <c r="V2612" s="215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7" t="str">
        <f t="shared" si="206"/>
        <v/>
      </c>
      <c r="V2613" s="215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7" t="str">
        <f t="shared" si="206"/>
        <v/>
      </c>
      <c r="V2614" s="215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7" t="str">
        <f t="shared" si="206"/>
        <v/>
      </c>
      <c r="V2615" s="215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7" t="str">
        <f t="shared" si="206"/>
        <v/>
      </c>
      <c r="V2616" s="215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7" t="str">
        <f t="shared" si="206"/>
        <v/>
      </c>
      <c r="V2617" s="215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7" t="str">
        <f t="shared" si="206"/>
        <v/>
      </c>
      <c r="V2618" s="215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7" t="str">
        <f t="shared" si="206"/>
        <v/>
      </c>
      <c r="V2619" s="215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7" t="str">
        <f t="shared" si="206"/>
        <v/>
      </c>
      <c r="V2620" s="215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7" t="str">
        <f t="shared" si="206"/>
        <v/>
      </c>
      <c r="V2621" s="215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7" t="str">
        <f t="shared" si="206"/>
        <v/>
      </c>
      <c r="V2622" s="215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7" t="str">
        <f t="shared" si="206"/>
        <v/>
      </c>
      <c r="V2623" s="215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7" t="str">
        <f t="shared" si="206"/>
        <v/>
      </c>
      <c r="V2624" s="215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7" t="str">
        <f t="shared" si="206"/>
        <v/>
      </c>
      <c r="V2625" s="215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7" t="str">
        <f t="shared" ref="U2626:U2689" si="211">IF(OR($D2626="",$H2626=""),"",ROUND($D2626+$H2626,2))</f>
        <v/>
      </c>
      <c r="V2626" s="215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7" t="str">
        <f t="shared" si="211"/>
        <v/>
      </c>
      <c r="V2627" s="215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7" t="str">
        <f t="shared" si="211"/>
        <v/>
      </c>
      <c r="V2628" s="215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7" t="str">
        <f t="shared" si="211"/>
        <v/>
      </c>
      <c r="V2629" s="215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7" t="str">
        <f t="shared" si="211"/>
        <v/>
      </c>
      <c r="V2630" s="215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7" t="str">
        <f t="shared" si="211"/>
        <v/>
      </c>
      <c r="V2631" s="215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7" t="str">
        <f t="shared" si="211"/>
        <v/>
      </c>
      <c r="V2632" s="215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7" t="str">
        <f t="shared" si="211"/>
        <v/>
      </c>
      <c r="V2633" s="215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7" t="str">
        <f t="shared" si="211"/>
        <v/>
      </c>
      <c r="V2634" s="215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7" t="str">
        <f t="shared" si="211"/>
        <v/>
      </c>
      <c r="V2635" s="215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7" t="str">
        <f t="shared" si="211"/>
        <v/>
      </c>
      <c r="V2636" s="215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7" t="str">
        <f t="shared" si="211"/>
        <v/>
      </c>
      <c r="V2637" s="215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7" t="str">
        <f t="shared" si="211"/>
        <v/>
      </c>
      <c r="V2638" s="215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7" t="str">
        <f t="shared" si="211"/>
        <v/>
      </c>
      <c r="V2639" s="215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7" t="str">
        <f t="shared" si="211"/>
        <v/>
      </c>
      <c r="V2640" s="215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7" t="str">
        <f t="shared" si="211"/>
        <v/>
      </c>
      <c r="V2641" s="215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7" t="str">
        <f t="shared" si="211"/>
        <v/>
      </c>
      <c r="V2642" s="215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7" t="str">
        <f t="shared" si="211"/>
        <v/>
      </c>
      <c r="V2643" s="215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7" t="str">
        <f t="shared" si="211"/>
        <v/>
      </c>
      <c r="V2644" s="215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7" t="str">
        <f t="shared" si="211"/>
        <v/>
      </c>
      <c r="V2645" s="215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7" t="str">
        <f t="shared" si="211"/>
        <v/>
      </c>
      <c r="V2646" s="215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7" t="str">
        <f t="shared" si="211"/>
        <v/>
      </c>
      <c r="V2647" s="215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7" t="str">
        <f t="shared" si="211"/>
        <v/>
      </c>
      <c r="V2648" s="215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7" t="str">
        <f t="shared" si="211"/>
        <v/>
      </c>
      <c r="V2649" s="215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7" t="str">
        <f t="shared" si="211"/>
        <v/>
      </c>
      <c r="V2650" s="215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7" t="str">
        <f t="shared" si="211"/>
        <v/>
      </c>
      <c r="V2651" s="215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7" t="str">
        <f t="shared" si="211"/>
        <v/>
      </c>
      <c r="V2652" s="215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7" t="str">
        <f t="shared" si="211"/>
        <v/>
      </c>
      <c r="V2653" s="215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7" t="str">
        <f t="shared" si="211"/>
        <v/>
      </c>
      <c r="V2654" s="215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7" t="str">
        <f t="shared" si="211"/>
        <v/>
      </c>
      <c r="V2655" s="215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7" t="str">
        <f t="shared" si="211"/>
        <v/>
      </c>
      <c r="V2656" s="215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7" t="str">
        <f t="shared" si="211"/>
        <v/>
      </c>
      <c r="V2657" s="215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7" t="str">
        <f t="shared" si="211"/>
        <v/>
      </c>
      <c r="V2658" s="215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7" t="str">
        <f t="shared" si="211"/>
        <v/>
      </c>
      <c r="V2659" s="215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7" t="str">
        <f t="shared" si="211"/>
        <v/>
      </c>
      <c r="V2660" s="215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7" t="str">
        <f t="shared" si="211"/>
        <v/>
      </c>
      <c r="V2661" s="215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7" t="str">
        <f t="shared" si="211"/>
        <v/>
      </c>
      <c r="V2662" s="215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7" t="str">
        <f t="shared" si="211"/>
        <v/>
      </c>
      <c r="V2663" s="215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7" t="str">
        <f t="shared" si="211"/>
        <v/>
      </c>
      <c r="V2664" s="215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7" t="str">
        <f t="shared" si="211"/>
        <v/>
      </c>
      <c r="V2665" s="215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7" t="str">
        <f t="shared" si="211"/>
        <v/>
      </c>
      <c r="V2666" s="215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7" t="str">
        <f t="shared" si="211"/>
        <v/>
      </c>
      <c r="V2667" s="215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7" t="str">
        <f t="shared" si="211"/>
        <v/>
      </c>
      <c r="V2668" s="215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7" t="str">
        <f t="shared" si="211"/>
        <v/>
      </c>
      <c r="V2669" s="215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7" t="str">
        <f t="shared" si="211"/>
        <v/>
      </c>
      <c r="V2670" s="215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7" t="str">
        <f t="shared" si="211"/>
        <v/>
      </c>
      <c r="V2671" s="215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7" t="str">
        <f t="shared" si="211"/>
        <v/>
      </c>
      <c r="V2672" s="215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7" t="str">
        <f t="shared" si="211"/>
        <v/>
      </c>
      <c r="V2673" s="215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7" t="str">
        <f t="shared" si="211"/>
        <v/>
      </c>
      <c r="V2674" s="215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7" t="str">
        <f t="shared" si="211"/>
        <v/>
      </c>
      <c r="V2675" s="215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7" t="str">
        <f t="shared" si="211"/>
        <v/>
      </c>
      <c r="V2676" s="215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7" t="str">
        <f t="shared" si="211"/>
        <v/>
      </c>
      <c r="V2677" s="215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7" t="str">
        <f t="shared" si="211"/>
        <v/>
      </c>
      <c r="V2678" s="215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7" t="str">
        <f t="shared" si="211"/>
        <v/>
      </c>
      <c r="V2679" s="215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7" t="str">
        <f t="shared" si="211"/>
        <v/>
      </c>
      <c r="V2680" s="215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7" t="str">
        <f t="shared" si="211"/>
        <v/>
      </c>
      <c r="V2681" s="215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7" t="str">
        <f t="shared" si="211"/>
        <v/>
      </c>
      <c r="V2682" s="215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7" t="str">
        <f t="shared" si="211"/>
        <v/>
      </c>
      <c r="V2683" s="215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7" t="str">
        <f t="shared" si="211"/>
        <v/>
      </c>
      <c r="V2684" s="215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7" t="str">
        <f t="shared" si="211"/>
        <v/>
      </c>
      <c r="V2685" s="215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7" t="str">
        <f t="shared" si="211"/>
        <v/>
      </c>
      <c r="V2686" s="215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7" t="str">
        <f t="shared" si="211"/>
        <v/>
      </c>
      <c r="V2687" s="215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7" t="str">
        <f t="shared" si="211"/>
        <v/>
      </c>
      <c r="V2688" s="215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7" t="str">
        <f t="shared" si="211"/>
        <v/>
      </c>
      <c r="V2689" s="215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7" t="str">
        <f t="shared" ref="U2690:U2753" si="216">IF(OR($D2690="",$H2690=""),"",ROUND($D2690+$H2690,2))</f>
        <v/>
      </c>
      <c r="V2690" s="215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7" t="str">
        <f t="shared" si="216"/>
        <v/>
      </c>
      <c r="V2691" s="215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7" t="str">
        <f t="shared" si="216"/>
        <v/>
      </c>
      <c r="V2692" s="215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7" t="str">
        <f t="shared" si="216"/>
        <v/>
      </c>
      <c r="V2693" s="215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7" t="str">
        <f t="shared" si="216"/>
        <v/>
      </c>
      <c r="V2694" s="215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7" t="str">
        <f t="shared" si="216"/>
        <v/>
      </c>
      <c r="V2695" s="215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7" t="str">
        <f t="shared" si="216"/>
        <v/>
      </c>
      <c r="V2696" s="215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7" t="str">
        <f t="shared" si="216"/>
        <v/>
      </c>
      <c r="V2697" s="215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7" t="str">
        <f t="shared" si="216"/>
        <v/>
      </c>
      <c r="V2698" s="215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7" t="str">
        <f t="shared" si="216"/>
        <v/>
      </c>
      <c r="V2699" s="215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7" t="str">
        <f t="shared" si="216"/>
        <v/>
      </c>
      <c r="V2700" s="215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7" t="str">
        <f t="shared" si="216"/>
        <v/>
      </c>
      <c r="V2701" s="215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7" t="str">
        <f t="shared" si="216"/>
        <v/>
      </c>
      <c r="V2702" s="215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7" t="str">
        <f t="shared" si="216"/>
        <v/>
      </c>
      <c r="V2703" s="215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7" t="str">
        <f t="shared" si="216"/>
        <v/>
      </c>
      <c r="V2704" s="215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7" t="str">
        <f t="shared" si="216"/>
        <v/>
      </c>
      <c r="V2705" s="215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7" t="str">
        <f t="shared" si="216"/>
        <v/>
      </c>
      <c r="V2706" s="215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7" t="str">
        <f t="shared" si="216"/>
        <v/>
      </c>
      <c r="V2707" s="215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7" t="str">
        <f t="shared" si="216"/>
        <v/>
      </c>
      <c r="V2708" s="215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7" t="str">
        <f t="shared" si="216"/>
        <v/>
      </c>
      <c r="V2709" s="215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7" t="str">
        <f t="shared" si="216"/>
        <v/>
      </c>
      <c r="V2710" s="215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7" t="str">
        <f t="shared" si="216"/>
        <v/>
      </c>
      <c r="V2711" s="215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7" t="str">
        <f t="shared" si="216"/>
        <v/>
      </c>
      <c r="V2712" s="215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7" t="str">
        <f t="shared" si="216"/>
        <v/>
      </c>
      <c r="V2713" s="215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7" t="str">
        <f t="shared" si="216"/>
        <v/>
      </c>
      <c r="V2714" s="215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7" t="str">
        <f t="shared" si="216"/>
        <v/>
      </c>
      <c r="V2715" s="215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7" t="str">
        <f t="shared" si="216"/>
        <v/>
      </c>
      <c r="V2716" s="215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7" t="str">
        <f t="shared" si="216"/>
        <v/>
      </c>
      <c r="V2717" s="215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7" t="str">
        <f t="shared" si="216"/>
        <v/>
      </c>
      <c r="V2718" s="215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7" t="str">
        <f t="shared" si="216"/>
        <v/>
      </c>
      <c r="V2719" s="215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7" t="str">
        <f t="shared" si="216"/>
        <v/>
      </c>
      <c r="V2720" s="215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7" t="str">
        <f t="shared" si="216"/>
        <v/>
      </c>
      <c r="V2721" s="215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7" t="str">
        <f t="shared" si="216"/>
        <v/>
      </c>
      <c r="V2722" s="215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7" t="str">
        <f t="shared" si="216"/>
        <v/>
      </c>
      <c r="V2723" s="215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7" t="str">
        <f t="shared" si="216"/>
        <v/>
      </c>
      <c r="V2724" s="215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7" t="str">
        <f t="shared" si="216"/>
        <v/>
      </c>
      <c r="V2725" s="215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7" t="str">
        <f t="shared" si="216"/>
        <v/>
      </c>
      <c r="V2726" s="215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7" t="str">
        <f t="shared" si="216"/>
        <v/>
      </c>
      <c r="V2727" s="215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7" t="str">
        <f t="shared" si="216"/>
        <v/>
      </c>
      <c r="V2728" s="215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7" t="str">
        <f t="shared" si="216"/>
        <v/>
      </c>
      <c r="V2729" s="215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7" t="str">
        <f t="shared" si="216"/>
        <v/>
      </c>
      <c r="V2730" s="215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7" t="str">
        <f t="shared" si="216"/>
        <v/>
      </c>
      <c r="V2731" s="215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7" t="str">
        <f t="shared" si="216"/>
        <v/>
      </c>
      <c r="V2732" s="215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7" t="str">
        <f t="shared" si="216"/>
        <v/>
      </c>
      <c r="V2733" s="215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7" t="str">
        <f t="shared" si="216"/>
        <v/>
      </c>
      <c r="V2734" s="215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7" t="str">
        <f t="shared" si="216"/>
        <v/>
      </c>
      <c r="V2735" s="215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7" t="str">
        <f t="shared" si="216"/>
        <v/>
      </c>
      <c r="V2736" s="215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7" t="str">
        <f t="shared" si="216"/>
        <v/>
      </c>
      <c r="V2737" s="215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7" t="str">
        <f t="shared" si="216"/>
        <v/>
      </c>
      <c r="V2738" s="215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7" t="str">
        <f t="shared" si="216"/>
        <v/>
      </c>
      <c r="V2739" s="215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7" t="str">
        <f t="shared" si="216"/>
        <v/>
      </c>
      <c r="V2740" s="215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7" t="str">
        <f t="shared" si="216"/>
        <v/>
      </c>
      <c r="V2741" s="215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7" t="str">
        <f t="shared" si="216"/>
        <v/>
      </c>
      <c r="V2742" s="215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7" t="str">
        <f t="shared" si="216"/>
        <v/>
      </c>
      <c r="V2743" s="215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7" t="str">
        <f t="shared" si="216"/>
        <v/>
      </c>
      <c r="V2744" s="215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7" t="str">
        <f t="shared" si="216"/>
        <v/>
      </c>
      <c r="V2745" s="215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7" t="str">
        <f t="shared" si="216"/>
        <v/>
      </c>
      <c r="V2746" s="215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7" t="str">
        <f t="shared" si="216"/>
        <v/>
      </c>
      <c r="V2747" s="215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7" t="str">
        <f t="shared" si="216"/>
        <v/>
      </c>
      <c r="V2748" s="215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7" t="str">
        <f t="shared" si="216"/>
        <v/>
      </c>
      <c r="V2749" s="215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7" t="str">
        <f t="shared" si="216"/>
        <v/>
      </c>
      <c r="V2750" s="215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7" t="str">
        <f t="shared" si="216"/>
        <v/>
      </c>
      <c r="V2751" s="215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7" t="str">
        <f t="shared" si="216"/>
        <v/>
      </c>
      <c r="V2752" s="215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7" t="str">
        <f t="shared" si="216"/>
        <v/>
      </c>
      <c r="V2753" s="215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7" t="str">
        <f t="shared" ref="U2754:U2817" si="221">IF(OR($D2754="",$H2754=""),"",ROUND($D2754+$H2754,2))</f>
        <v/>
      </c>
      <c r="V2754" s="215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7" t="str">
        <f t="shared" si="221"/>
        <v/>
      </c>
      <c r="V2755" s="215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7" t="str">
        <f t="shared" si="221"/>
        <v/>
      </c>
      <c r="V2756" s="215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7" t="str">
        <f t="shared" si="221"/>
        <v/>
      </c>
      <c r="V2757" s="215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7" t="str">
        <f t="shared" si="221"/>
        <v/>
      </c>
      <c r="V2758" s="215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7" t="str">
        <f t="shared" si="221"/>
        <v/>
      </c>
      <c r="V2759" s="215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7" t="str">
        <f t="shared" si="221"/>
        <v/>
      </c>
      <c r="V2760" s="215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7" t="str">
        <f t="shared" si="221"/>
        <v/>
      </c>
      <c r="V2761" s="215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7" t="str">
        <f t="shared" si="221"/>
        <v/>
      </c>
      <c r="V2762" s="215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7" t="str">
        <f t="shared" si="221"/>
        <v/>
      </c>
      <c r="V2763" s="215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7" t="str">
        <f t="shared" si="221"/>
        <v/>
      </c>
      <c r="V2764" s="215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7" t="str">
        <f t="shared" si="221"/>
        <v/>
      </c>
      <c r="V2765" s="215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7" t="str">
        <f t="shared" si="221"/>
        <v/>
      </c>
      <c r="V2766" s="215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7" t="str">
        <f t="shared" si="221"/>
        <v/>
      </c>
      <c r="V2767" s="215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7" t="str">
        <f t="shared" si="221"/>
        <v/>
      </c>
      <c r="V2768" s="215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7" t="str">
        <f t="shared" si="221"/>
        <v/>
      </c>
      <c r="V2769" s="215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7" t="str">
        <f t="shared" si="221"/>
        <v/>
      </c>
      <c r="V2770" s="215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7" t="str">
        <f t="shared" si="221"/>
        <v/>
      </c>
      <c r="V2771" s="215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7" t="str">
        <f t="shared" si="221"/>
        <v/>
      </c>
      <c r="V2772" s="215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7" t="str">
        <f t="shared" si="221"/>
        <v/>
      </c>
      <c r="V2773" s="215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7" t="str">
        <f t="shared" si="221"/>
        <v/>
      </c>
      <c r="V2774" s="215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7" t="str">
        <f t="shared" si="221"/>
        <v/>
      </c>
      <c r="V2775" s="215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7" t="str">
        <f t="shared" si="221"/>
        <v/>
      </c>
      <c r="V2776" s="215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7" t="str">
        <f t="shared" si="221"/>
        <v/>
      </c>
      <c r="V2777" s="215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7" t="str">
        <f t="shared" si="221"/>
        <v/>
      </c>
      <c r="V2778" s="215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7" t="str">
        <f t="shared" si="221"/>
        <v/>
      </c>
      <c r="V2779" s="215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7" t="str">
        <f t="shared" si="221"/>
        <v/>
      </c>
      <c r="V2780" s="215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7" t="str">
        <f t="shared" si="221"/>
        <v/>
      </c>
      <c r="V2781" s="215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7" t="str">
        <f t="shared" si="221"/>
        <v/>
      </c>
      <c r="V2782" s="215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7" t="str">
        <f t="shared" si="221"/>
        <v/>
      </c>
      <c r="V2783" s="215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7" t="str">
        <f t="shared" si="221"/>
        <v/>
      </c>
      <c r="V2784" s="215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7" t="str">
        <f t="shared" si="221"/>
        <v/>
      </c>
      <c r="V2785" s="215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7" t="str">
        <f t="shared" si="221"/>
        <v/>
      </c>
      <c r="V2786" s="215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7" t="str">
        <f t="shared" si="221"/>
        <v/>
      </c>
      <c r="V2787" s="215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7" t="str">
        <f t="shared" si="221"/>
        <v/>
      </c>
      <c r="V2788" s="215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7" t="str">
        <f t="shared" si="221"/>
        <v/>
      </c>
      <c r="V2789" s="215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7" t="str">
        <f t="shared" si="221"/>
        <v/>
      </c>
      <c r="V2790" s="215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7" t="str">
        <f t="shared" si="221"/>
        <v/>
      </c>
      <c r="V2791" s="215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7" t="str">
        <f t="shared" si="221"/>
        <v/>
      </c>
      <c r="V2792" s="215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7" t="str">
        <f t="shared" si="221"/>
        <v/>
      </c>
      <c r="V2793" s="215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7" t="str">
        <f t="shared" si="221"/>
        <v/>
      </c>
      <c r="V2794" s="215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7" t="str">
        <f t="shared" si="221"/>
        <v/>
      </c>
      <c r="V2795" s="215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7" t="str">
        <f t="shared" si="221"/>
        <v/>
      </c>
      <c r="V2796" s="215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7" t="str">
        <f t="shared" si="221"/>
        <v/>
      </c>
      <c r="V2797" s="215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7" t="str">
        <f t="shared" si="221"/>
        <v/>
      </c>
      <c r="V2798" s="215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7" t="str">
        <f t="shared" si="221"/>
        <v/>
      </c>
      <c r="V2799" s="215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7" t="str">
        <f t="shared" si="221"/>
        <v/>
      </c>
      <c r="V2800" s="215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7" t="str">
        <f t="shared" si="221"/>
        <v/>
      </c>
      <c r="V2801" s="215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7" t="str">
        <f t="shared" si="221"/>
        <v/>
      </c>
      <c r="V2802" s="215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7" t="str">
        <f t="shared" si="221"/>
        <v/>
      </c>
      <c r="V2803" s="215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7" t="str">
        <f t="shared" si="221"/>
        <v/>
      </c>
      <c r="V2804" s="215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7" t="str">
        <f t="shared" si="221"/>
        <v/>
      </c>
      <c r="V2805" s="215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7" t="str">
        <f t="shared" si="221"/>
        <v/>
      </c>
      <c r="V2806" s="215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7" t="str">
        <f t="shared" si="221"/>
        <v/>
      </c>
      <c r="V2807" s="215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7" t="str">
        <f t="shared" si="221"/>
        <v/>
      </c>
      <c r="V2808" s="215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7" t="str">
        <f t="shared" si="221"/>
        <v/>
      </c>
      <c r="V2809" s="215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7" t="str">
        <f t="shared" si="221"/>
        <v/>
      </c>
      <c r="V2810" s="215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7" t="str">
        <f t="shared" si="221"/>
        <v/>
      </c>
      <c r="V2811" s="215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7" t="str">
        <f t="shared" si="221"/>
        <v/>
      </c>
      <c r="V2812" s="215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7" t="str">
        <f t="shared" si="221"/>
        <v/>
      </c>
      <c r="V2813" s="215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7" t="str">
        <f t="shared" si="221"/>
        <v/>
      </c>
      <c r="V2814" s="215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7" t="str">
        <f t="shared" si="221"/>
        <v/>
      </c>
      <c r="V2815" s="215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7" t="str">
        <f t="shared" si="221"/>
        <v/>
      </c>
      <c r="V2816" s="215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7" t="str">
        <f t="shared" si="221"/>
        <v/>
      </c>
      <c r="V2817" s="215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7" t="str">
        <f t="shared" ref="U2818:U2881" si="226">IF(OR($D2818="",$H2818=""),"",ROUND($D2818+$H2818,2))</f>
        <v/>
      </c>
      <c r="V2818" s="215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7" t="str">
        <f t="shared" si="226"/>
        <v/>
      </c>
      <c r="V2819" s="215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7" t="str">
        <f t="shared" si="226"/>
        <v/>
      </c>
      <c r="V2820" s="215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7" t="str">
        <f t="shared" si="226"/>
        <v/>
      </c>
      <c r="V2821" s="215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7" t="str">
        <f t="shared" si="226"/>
        <v/>
      </c>
      <c r="V2822" s="215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7" t="str">
        <f t="shared" si="226"/>
        <v/>
      </c>
      <c r="V2823" s="215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7" t="str">
        <f t="shared" si="226"/>
        <v/>
      </c>
      <c r="V2824" s="215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7" t="str">
        <f t="shared" si="226"/>
        <v/>
      </c>
      <c r="V2825" s="215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7" t="str">
        <f t="shared" si="226"/>
        <v/>
      </c>
      <c r="V2826" s="215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7" t="str">
        <f t="shared" si="226"/>
        <v/>
      </c>
      <c r="V2827" s="215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7" t="str">
        <f t="shared" si="226"/>
        <v/>
      </c>
      <c r="V2828" s="215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7" t="str">
        <f t="shared" si="226"/>
        <v/>
      </c>
      <c r="V2829" s="215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7" t="str">
        <f t="shared" si="226"/>
        <v/>
      </c>
      <c r="V2830" s="215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7" t="str">
        <f t="shared" si="226"/>
        <v/>
      </c>
      <c r="V2831" s="215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7" t="str">
        <f t="shared" si="226"/>
        <v/>
      </c>
      <c r="V2832" s="215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7" t="str">
        <f t="shared" si="226"/>
        <v/>
      </c>
      <c r="V2833" s="215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7" t="str">
        <f t="shared" si="226"/>
        <v/>
      </c>
      <c r="V2834" s="215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7" t="str">
        <f t="shared" si="226"/>
        <v/>
      </c>
      <c r="V2835" s="215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7" t="str">
        <f t="shared" si="226"/>
        <v/>
      </c>
      <c r="V2836" s="215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7" t="str">
        <f t="shared" si="226"/>
        <v/>
      </c>
      <c r="V2837" s="215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7" t="str">
        <f t="shared" si="226"/>
        <v/>
      </c>
      <c r="V2838" s="215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7" t="str">
        <f t="shared" si="226"/>
        <v/>
      </c>
      <c r="V2839" s="215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7" t="str">
        <f t="shared" si="226"/>
        <v/>
      </c>
      <c r="V2840" s="215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7" t="str">
        <f t="shared" si="226"/>
        <v/>
      </c>
      <c r="V2841" s="215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7" t="str">
        <f t="shared" si="226"/>
        <v/>
      </c>
      <c r="V2842" s="215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7" t="str">
        <f t="shared" si="226"/>
        <v/>
      </c>
      <c r="V2843" s="215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7" t="str">
        <f t="shared" si="226"/>
        <v/>
      </c>
      <c r="V2844" s="215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7" t="str">
        <f t="shared" si="226"/>
        <v/>
      </c>
      <c r="V2845" s="215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7" t="str">
        <f t="shared" si="226"/>
        <v/>
      </c>
      <c r="V2846" s="215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7" t="str">
        <f t="shared" si="226"/>
        <v/>
      </c>
      <c r="V2847" s="215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7" t="str">
        <f t="shared" si="226"/>
        <v/>
      </c>
      <c r="V2848" s="215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7" t="str">
        <f t="shared" si="226"/>
        <v/>
      </c>
      <c r="V2849" s="215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7" t="str">
        <f t="shared" si="226"/>
        <v/>
      </c>
      <c r="V2850" s="215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7" t="str">
        <f t="shared" si="226"/>
        <v/>
      </c>
      <c r="V2851" s="215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7" t="str">
        <f t="shared" si="226"/>
        <v/>
      </c>
      <c r="V2852" s="215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7" t="str">
        <f t="shared" si="226"/>
        <v/>
      </c>
      <c r="V2853" s="215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7" t="str">
        <f t="shared" si="226"/>
        <v/>
      </c>
      <c r="V2854" s="215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7" t="str">
        <f t="shared" si="226"/>
        <v/>
      </c>
      <c r="V2855" s="215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7" t="str">
        <f t="shared" si="226"/>
        <v/>
      </c>
      <c r="V2856" s="215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7" t="str">
        <f t="shared" si="226"/>
        <v/>
      </c>
      <c r="V2857" s="215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7" t="str">
        <f t="shared" si="226"/>
        <v/>
      </c>
      <c r="V2858" s="215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7" t="str">
        <f t="shared" si="226"/>
        <v/>
      </c>
      <c r="V2859" s="215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7" t="str">
        <f t="shared" si="226"/>
        <v/>
      </c>
      <c r="V2860" s="215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7" t="str">
        <f t="shared" si="226"/>
        <v/>
      </c>
      <c r="V2861" s="215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7" t="str">
        <f t="shared" si="226"/>
        <v/>
      </c>
      <c r="V2862" s="215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7" t="str">
        <f t="shared" si="226"/>
        <v/>
      </c>
      <c r="V2863" s="215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7" t="str">
        <f t="shared" si="226"/>
        <v/>
      </c>
      <c r="V2864" s="215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7" t="str">
        <f t="shared" si="226"/>
        <v/>
      </c>
      <c r="V2865" s="215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7" t="str">
        <f t="shared" si="226"/>
        <v/>
      </c>
      <c r="V2866" s="215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7" t="str">
        <f t="shared" si="226"/>
        <v/>
      </c>
      <c r="V2867" s="215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7" t="str">
        <f t="shared" si="226"/>
        <v/>
      </c>
      <c r="V2868" s="215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7" t="str">
        <f t="shared" si="226"/>
        <v/>
      </c>
      <c r="V2869" s="215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7" t="str">
        <f t="shared" si="226"/>
        <v/>
      </c>
      <c r="V2870" s="215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7" t="str">
        <f t="shared" si="226"/>
        <v/>
      </c>
      <c r="V2871" s="215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7" t="str">
        <f t="shared" si="226"/>
        <v/>
      </c>
      <c r="V2872" s="215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7" t="str">
        <f t="shared" si="226"/>
        <v/>
      </c>
      <c r="V2873" s="215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7" t="str">
        <f t="shared" si="226"/>
        <v/>
      </c>
      <c r="V2874" s="215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7" t="str">
        <f t="shared" si="226"/>
        <v/>
      </c>
      <c r="V2875" s="215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7" t="str">
        <f t="shared" si="226"/>
        <v/>
      </c>
      <c r="V2876" s="215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7" t="str">
        <f t="shared" si="226"/>
        <v/>
      </c>
      <c r="V2877" s="215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7" t="str">
        <f t="shared" si="226"/>
        <v/>
      </c>
      <c r="V2878" s="215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7" t="str">
        <f t="shared" si="226"/>
        <v/>
      </c>
      <c r="V2879" s="215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7" t="str">
        <f t="shared" si="226"/>
        <v/>
      </c>
      <c r="V2880" s="215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7" t="str">
        <f t="shared" si="226"/>
        <v/>
      </c>
      <c r="V2881" s="215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7" t="str">
        <f t="shared" ref="U2882:U2945" si="231">IF(OR($D2882="",$H2882=""),"",ROUND($D2882+$H2882,2))</f>
        <v/>
      </c>
      <c r="V2882" s="215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7" t="str">
        <f t="shared" si="231"/>
        <v/>
      </c>
      <c r="V2883" s="215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7" t="str">
        <f t="shared" si="231"/>
        <v/>
      </c>
      <c r="V2884" s="215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7" t="str">
        <f t="shared" si="231"/>
        <v/>
      </c>
      <c r="V2885" s="215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7" t="str">
        <f t="shared" si="231"/>
        <v/>
      </c>
      <c r="V2886" s="215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7" t="str">
        <f t="shared" si="231"/>
        <v/>
      </c>
      <c r="V2887" s="215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7" t="str">
        <f t="shared" si="231"/>
        <v/>
      </c>
      <c r="V2888" s="215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7" t="str">
        <f t="shared" si="231"/>
        <v/>
      </c>
      <c r="V2889" s="215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7" t="str">
        <f t="shared" si="231"/>
        <v/>
      </c>
      <c r="V2890" s="215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7" t="str">
        <f t="shared" si="231"/>
        <v/>
      </c>
      <c r="V2891" s="215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7" t="str">
        <f t="shared" si="231"/>
        <v/>
      </c>
      <c r="V2892" s="215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7" t="str">
        <f t="shared" si="231"/>
        <v/>
      </c>
      <c r="V2893" s="215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7" t="str">
        <f t="shared" si="231"/>
        <v/>
      </c>
      <c r="V2894" s="215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7" t="str">
        <f t="shared" si="231"/>
        <v/>
      </c>
      <c r="V2895" s="215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7" t="str">
        <f t="shared" si="231"/>
        <v/>
      </c>
      <c r="V2896" s="215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7" t="str">
        <f t="shared" si="231"/>
        <v/>
      </c>
      <c r="V2897" s="215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7" t="str">
        <f t="shared" si="231"/>
        <v/>
      </c>
      <c r="V2898" s="215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7" t="str">
        <f t="shared" si="231"/>
        <v/>
      </c>
      <c r="V2899" s="215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7" t="str">
        <f t="shared" si="231"/>
        <v/>
      </c>
      <c r="V2900" s="215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7" t="str">
        <f t="shared" si="231"/>
        <v/>
      </c>
      <c r="V2901" s="215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7" t="str">
        <f t="shared" si="231"/>
        <v/>
      </c>
      <c r="V2902" s="215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7" t="str">
        <f t="shared" si="231"/>
        <v/>
      </c>
      <c r="V2903" s="215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7" t="str">
        <f t="shared" si="231"/>
        <v/>
      </c>
      <c r="V2904" s="215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7" t="str">
        <f t="shared" si="231"/>
        <v/>
      </c>
      <c r="V2905" s="215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7" t="str">
        <f t="shared" si="231"/>
        <v/>
      </c>
      <c r="V2906" s="215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7" t="str">
        <f t="shared" si="231"/>
        <v/>
      </c>
      <c r="V2907" s="215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7" t="str">
        <f t="shared" si="231"/>
        <v/>
      </c>
      <c r="V2908" s="215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7" t="str">
        <f t="shared" si="231"/>
        <v/>
      </c>
      <c r="V2909" s="215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7" t="str">
        <f t="shared" si="231"/>
        <v/>
      </c>
      <c r="V2910" s="215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7" t="str">
        <f t="shared" si="231"/>
        <v/>
      </c>
      <c r="V2911" s="215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7" t="str">
        <f t="shared" si="231"/>
        <v/>
      </c>
      <c r="V2912" s="215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7" t="str">
        <f t="shared" si="231"/>
        <v/>
      </c>
      <c r="V2913" s="215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7" t="str">
        <f t="shared" si="231"/>
        <v/>
      </c>
      <c r="V2914" s="215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7" t="str">
        <f t="shared" si="231"/>
        <v/>
      </c>
      <c r="V2915" s="215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7" t="str">
        <f t="shared" si="231"/>
        <v/>
      </c>
      <c r="V2916" s="215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7" t="str">
        <f t="shared" si="231"/>
        <v/>
      </c>
      <c r="V2917" s="215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7" t="str">
        <f t="shared" si="231"/>
        <v/>
      </c>
      <c r="V2918" s="215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7" t="str">
        <f t="shared" si="231"/>
        <v/>
      </c>
      <c r="V2919" s="215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7" t="str">
        <f t="shared" si="231"/>
        <v/>
      </c>
      <c r="V2920" s="215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7" t="str">
        <f t="shared" si="231"/>
        <v/>
      </c>
      <c r="V2921" s="215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7" t="str">
        <f t="shared" si="231"/>
        <v/>
      </c>
      <c r="V2922" s="215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7" t="str">
        <f t="shared" si="231"/>
        <v/>
      </c>
      <c r="V2923" s="215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7" t="str">
        <f t="shared" si="231"/>
        <v/>
      </c>
      <c r="V2924" s="215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7" t="str">
        <f t="shared" si="231"/>
        <v/>
      </c>
      <c r="V2925" s="215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7" t="str">
        <f t="shared" si="231"/>
        <v/>
      </c>
      <c r="V2926" s="215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7" t="str">
        <f t="shared" si="231"/>
        <v/>
      </c>
      <c r="V2927" s="215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7" t="str">
        <f t="shared" si="231"/>
        <v/>
      </c>
      <c r="V2928" s="215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7" t="str">
        <f t="shared" si="231"/>
        <v/>
      </c>
      <c r="V2929" s="215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7" t="str">
        <f t="shared" si="231"/>
        <v/>
      </c>
      <c r="V2930" s="215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7" t="str">
        <f t="shared" si="231"/>
        <v/>
      </c>
      <c r="V2931" s="215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7" t="str">
        <f t="shared" si="231"/>
        <v/>
      </c>
      <c r="V2932" s="215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7" t="str">
        <f t="shared" si="231"/>
        <v/>
      </c>
      <c r="V2933" s="215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7" t="str">
        <f t="shared" si="231"/>
        <v/>
      </c>
      <c r="V2934" s="215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7" t="str">
        <f t="shared" si="231"/>
        <v/>
      </c>
      <c r="V2935" s="215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7" t="str">
        <f t="shared" si="231"/>
        <v/>
      </c>
      <c r="V2936" s="215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7" t="str">
        <f t="shared" si="231"/>
        <v/>
      </c>
      <c r="V2937" s="215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7" t="str">
        <f t="shared" si="231"/>
        <v/>
      </c>
      <c r="V2938" s="215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7" t="str">
        <f t="shared" si="231"/>
        <v/>
      </c>
      <c r="V2939" s="215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7" t="str">
        <f t="shared" si="231"/>
        <v/>
      </c>
      <c r="V2940" s="215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7" t="str">
        <f t="shared" si="231"/>
        <v/>
      </c>
      <c r="V2941" s="215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7" t="str">
        <f t="shared" si="231"/>
        <v/>
      </c>
      <c r="V2942" s="215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7" t="str">
        <f t="shared" si="231"/>
        <v/>
      </c>
      <c r="V2943" s="215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7" t="str">
        <f t="shared" si="231"/>
        <v/>
      </c>
      <c r="V2944" s="215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7" t="str">
        <f t="shared" si="231"/>
        <v/>
      </c>
      <c r="V2945" s="215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7" t="str">
        <f t="shared" ref="U2946:U3009" si="236">IF(OR($D2946="",$H2946=""),"",ROUND($D2946+$H2946,2))</f>
        <v/>
      </c>
      <c r="V2946" s="215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7" t="str">
        <f t="shared" si="236"/>
        <v/>
      </c>
      <c r="V2947" s="215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7" t="str">
        <f t="shared" si="236"/>
        <v/>
      </c>
      <c r="V2948" s="215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7" t="str">
        <f t="shared" si="236"/>
        <v/>
      </c>
      <c r="V2949" s="215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7" t="str">
        <f t="shared" si="236"/>
        <v/>
      </c>
      <c r="V2950" s="215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7" t="str">
        <f t="shared" si="236"/>
        <v/>
      </c>
      <c r="V2951" s="215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7" t="str">
        <f t="shared" si="236"/>
        <v/>
      </c>
      <c r="V2952" s="215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7" t="str">
        <f t="shared" si="236"/>
        <v/>
      </c>
      <c r="V2953" s="215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7" t="str">
        <f t="shared" si="236"/>
        <v/>
      </c>
      <c r="V2954" s="215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7" t="str">
        <f t="shared" si="236"/>
        <v/>
      </c>
      <c r="V2955" s="215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7" t="str">
        <f t="shared" si="236"/>
        <v/>
      </c>
      <c r="V2956" s="215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7" t="str">
        <f t="shared" si="236"/>
        <v/>
      </c>
      <c r="V2957" s="215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7" t="str">
        <f t="shared" si="236"/>
        <v/>
      </c>
      <c r="V2958" s="215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7" t="str">
        <f t="shared" si="236"/>
        <v/>
      </c>
      <c r="V2959" s="215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7" t="str">
        <f t="shared" si="236"/>
        <v/>
      </c>
      <c r="V2960" s="215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7" t="str">
        <f t="shared" si="236"/>
        <v/>
      </c>
      <c r="V2961" s="215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7" t="str">
        <f t="shared" si="236"/>
        <v/>
      </c>
      <c r="V2962" s="215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7" t="str">
        <f t="shared" si="236"/>
        <v/>
      </c>
      <c r="V2963" s="215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7" t="str">
        <f t="shared" si="236"/>
        <v/>
      </c>
      <c r="V2964" s="215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7" t="str">
        <f t="shared" si="236"/>
        <v/>
      </c>
      <c r="V2965" s="215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7" t="str">
        <f t="shared" si="236"/>
        <v/>
      </c>
      <c r="V2966" s="215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7" t="str">
        <f t="shared" si="236"/>
        <v/>
      </c>
      <c r="V2967" s="215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7" t="str">
        <f t="shared" si="236"/>
        <v/>
      </c>
      <c r="V2968" s="215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7" t="str">
        <f t="shared" si="236"/>
        <v/>
      </c>
      <c r="V2969" s="215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7" t="str">
        <f t="shared" si="236"/>
        <v/>
      </c>
      <c r="V2970" s="215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7" t="str">
        <f t="shared" si="236"/>
        <v/>
      </c>
      <c r="V2971" s="215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7" t="str">
        <f t="shared" si="236"/>
        <v/>
      </c>
      <c r="V2972" s="215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7" t="str">
        <f t="shared" si="236"/>
        <v/>
      </c>
      <c r="V2973" s="215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7" t="str">
        <f t="shared" si="236"/>
        <v/>
      </c>
      <c r="V2974" s="215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7" t="str">
        <f t="shared" si="236"/>
        <v/>
      </c>
      <c r="V2975" s="215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7" t="str">
        <f t="shared" si="236"/>
        <v/>
      </c>
      <c r="V2976" s="215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7" t="str">
        <f t="shared" si="236"/>
        <v/>
      </c>
      <c r="V2977" s="215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7" t="str">
        <f t="shared" si="236"/>
        <v/>
      </c>
      <c r="V2978" s="215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7" t="str">
        <f t="shared" si="236"/>
        <v/>
      </c>
      <c r="V2979" s="215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7" t="str">
        <f t="shared" si="236"/>
        <v/>
      </c>
      <c r="V2980" s="215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7" t="str">
        <f t="shared" si="236"/>
        <v/>
      </c>
      <c r="V2981" s="215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7" t="str">
        <f t="shared" si="236"/>
        <v/>
      </c>
      <c r="V2982" s="215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7" t="str">
        <f t="shared" si="236"/>
        <v/>
      </c>
      <c r="V2983" s="215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7" t="str">
        <f t="shared" si="236"/>
        <v/>
      </c>
      <c r="V2984" s="215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7" t="str">
        <f t="shared" si="236"/>
        <v/>
      </c>
      <c r="V2985" s="215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7" t="str">
        <f t="shared" si="236"/>
        <v/>
      </c>
      <c r="V2986" s="215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7" t="str">
        <f t="shared" si="236"/>
        <v/>
      </c>
      <c r="V2987" s="215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7" t="str">
        <f t="shared" si="236"/>
        <v/>
      </c>
      <c r="V2988" s="215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7" t="str">
        <f t="shared" si="236"/>
        <v/>
      </c>
      <c r="V2989" s="215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7" t="str">
        <f t="shared" si="236"/>
        <v/>
      </c>
      <c r="V2990" s="215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7" t="str">
        <f t="shared" si="236"/>
        <v/>
      </c>
      <c r="V2991" s="215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7" t="str">
        <f t="shared" si="236"/>
        <v/>
      </c>
      <c r="V2992" s="215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7" t="str">
        <f t="shared" si="236"/>
        <v/>
      </c>
      <c r="V2993" s="215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7" t="str">
        <f t="shared" si="236"/>
        <v/>
      </c>
      <c r="V2994" s="215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7" t="str">
        <f t="shared" si="236"/>
        <v/>
      </c>
      <c r="V2995" s="215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7" t="str">
        <f t="shared" si="236"/>
        <v/>
      </c>
      <c r="V2996" s="215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7" t="str">
        <f t="shared" si="236"/>
        <v/>
      </c>
      <c r="V2997" s="215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7" t="str">
        <f t="shared" si="236"/>
        <v/>
      </c>
      <c r="V2998" s="215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7" t="str">
        <f t="shared" si="236"/>
        <v/>
      </c>
      <c r="V2999" s="215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7" t="str">
        <f t="shared" si="236"/>
        <v/>
      </c>
      <c r="V3000" s="215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7" t="str">
        <f t="shared" si="236"/>
        <v/>
      </c>
      <c r="V3001" s="215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7" t="str">
        <f t="shared" si="236"/>
        <v/>
      </c>
      <c r="V3002" s="215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7" t="str">
        <f t="shared" si="236"/>
        <v/>
      </c>
      <c r="V3003" s="215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7" t="str">
        <f t="shared" si="236"/>
        <v/>
      </c>
      <c r="V3004" s="215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7" t="str">
        <f t="shared" si="236"/>
        <v/>
      </c>
      <c r="V3005" s="215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7" t="str">
        <f t="shared" si="236"/>
        <v/>
      </c>
      <c r="V3006" s="215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7" t="str">
        <f t="shared" si="236"/>
        <v/>
      </c>
      <c r="V3007" s="215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7" t="str">
        <f t="shared" si="236"/>
        <v/>
      </c>
      <c r="V3008" s="215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7" t="str">
        <f t="shared" si="236"/>
        <v/>
      </c>
      <c r="V3009" s="215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7" t="str">
        <f t="shared" ref="U3010:U3073" si="241">IF(OR($D3010="",$H3010=""),"",ROUND($D3010+$H3010,2))</f>
        <v/>
      </c>
      <c r="V3010" s="215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7" t="str">
        <f t="shared" si="241"/>
        <v/>
      </c>
      <c r="V3011" s="215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7" t="str">
        <f t="shared" si="241"/>
        <v/>
      </c>
      <c r="V3012" s="215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7" t="str">
        <f t="shared" si="241"/>
        <v/>
      </c>
      <c r="V3013" s="215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7" t="str">
        <f t="shared" si="241"/>
        <v/>
      </c>
      <c r="V3014" s="215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7" t="str">
        <f t="shared" si="241"/>
        <v/>
      </c>
      <c r="V3015" s="215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7" t="str">
        <f t="shared" si="241"/>
        <v/>
      </c>
      <c r="V3016" s="215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7" t="str">
        <f t="shared" si="241"/>
        <v/>
      </c>
      <c r="V3017" s="215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7" t="str">
        <f t="shared" si="241"/>
        <v/>
      </c>
      <c r="V3018" s="215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7" t="str">
        <f t="shared" si="241"/>
        <v/>
      </c>
      <c r="V3019" s="215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7" t="str">
        <f t="shared" si="241"/>
        <v/>
      </c>
      <c r="V3020" s="215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7" t="str">
        <f t="shared" si="241"/>
        <v/>
      </c>
      <c r="V3021" s="215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7" t="str">
        <f t="shared" si="241"/>
        <v/>
      </c>
      <c r="V3022" s="215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7" t="str">
        <f t="shared" si="241"/>
        <v/>
      </c>
      <c r="V3023" s="215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7" t="str">
        <f t="shared" si="241"/>
        <v/>
      </c>
      <c r="V3024" s="215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7" t="str">
        <f t="shared" si="241"/>
        <v/>
      </c>
      <c r="V3025" s="215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7" t="str">
        <f t="shared" si="241"/>
        <v/>
      </c>
      <c r="V3026" s="215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7" t="str">
        <f t="shared" si="241"/>
        <v/>
      </c>
      <c r="V3027" s="215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7" t="str">
        <f t="shared" si="241"/>
        <v/>
      </c>
      <c r="V3028" s="215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7" t="str">
        <f t="shared" si="241"/>
        <v/>
      </c>
      <c r="V3029" s="215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7" t="str">
        <f t="shared" si="241"/>
        <v/>
      </c>
      <c r="V3030" s="215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7" t="str">
        <f t="shared" si="241"/>
        <v/>
      </c>
      <c r="V3031" s="215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7" t="str">
        <f t="shared" si="241"/>
        <v/>
      </c>
      <c r="V3032" s="215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7" t="str">
        <f t="shared" si="241"/>
        <v/>
      </c>
      <c r="V3033" s="215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7" t="str">
        <f t="shared" si="241"/>
        <v/>
      </c>
      <c r="V3034" s="215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7" t="str">
        <f t="shared" si="241"/>
        <v/>
      </c>
      <c r="V3035" s="215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7" t="str">
        <f t="shared" si="241"/>
        <v/>
      </c>
      <c r="V3036" s="215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7" t="str">
        <f t="shared" si="241"/>
        <v/>
      </c>
      <c r="V3037" s="215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7" t="str">
        <f t="shared" si="241"/>
        <v/>
      </c>
      <c r="V3038" s="215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7" t="str">
        <f t="shared" si="241"/>
        <v/>
      </c>
      <c r="V3039" s="215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7" t="str">
        <f t="shared" si="241"/>
        <v/>
      </c>
      <c r="V3040" s="215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7" t="str">
        <f t="shared" si="241"/>
        <v/>
      </c>
      <c r="V3041" s="215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7" t="str">
        <f t="shared" si="241"/>
        <v/>
      </c>
      <c r="V3042" s="215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7" t="str">
        <f t="shared" si="241"/>
        <v/>
      </c>
      <c r="V3043" s="215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7" t="str">
        <f t="shared" si="241"/>
        <v/>
      </c>
      <c r="V3044" s="215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7" t="str">
        <f t="shared" si="241"/>
        <v/>
      </c>
      <c r="V3045" s="215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7" t="str">
        <f t="shared" si="241"/>
        <v/>
      </c>
      <c r="V3046" s="215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7" t="str">
        <f t="shared" si="241"/>
        <v/>
      </c>
      <c r="V3047" s="215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7" t="str">
        <f t="shared" si="241"/>
        <v/>
      </c>
      <c r="V3048" s="215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7" t="str">
        <f t="shared" si="241"/>
        <v/>
      </c>
      <c r="V3049" s="215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7" t="str">
        <f t="shared" si="241"/>
        <v/>
      </c>
      <c r="V3050" s="215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7" t="str">
        <f t="shared" si="241"/>
        <v/>
      </c>
      <c r="V3051" s="215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7" t="str">
        <f t="shared" si="241"/>
        <v/>
      </c>
      <c r="V3052" s="215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7" t="str">
        <f t="shared" si="241"/>
        <v/>
      </c>
      <c r="V3053" s="215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7" t="str">
        <f t="shared" si="241"/>
        <v/>
      </c>
      <c r="V3054" s="215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7" t="str">
        <f t="shared" si="241"/>
        <v/>
      </c>
      <c r="V3055" s="215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7" t="str">
        <f t="shared" si="241"/>
        <v/>
      </c>
      <c r="V3056" s="215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7" t="str">
        <f t="shared" si="241"/>
        <v/>
      </c>
      <c r="V3057" s="215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7" t="str">
        <f t="shared" si="241"/>
        <v/>
      </c>
      <c r="V3058" s="215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7" t="str">
        <f t="shared" si="241"/>
        <v/>
      </c>
      <c r="V3059" s="215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7" t="str">
        <f t="shared" si="241"/>
        <v/>
      </c>
      <c r="V3060" s="215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7" t="str">
        <f t="shared" si="241"/>
        <v/>
      </c>
      <c r="V3061" s="215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7" t="str">
        <f t="shared" si="241"/>
        <v/>
      </c>
      <c r="V3062" s="215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7" t="str">
        <f t="shared" si="241"/>
        <v/>
      </c>
      <c r="V3063" s="215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7" t="str">
        <f t="shared" si="241"/>
        <v/>
      </c>
      <c r="V3064" s="215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7" t="str">
        <f t="shared" si="241"/>
        <v/>
      </c>
      <c r="V3065" s="215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7" t="str">
        <f t="shared" si="241"/>
        <v/>
      </c>
      <c r="V3066" s="215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7" t="str">
        <f t="shared" si="241"/>
        <v/>
      </c>
      <c r="V3067" s="215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7" t="str">
        <f t="shared" si="241"/>
        <v/>
      </c>
      <c r="V3068" s="215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7" t="str">
        <f t="shared" si="241"/>
        <v/>
      </c>
      <c r="V3069" s="215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7" t="str">
        <f t="shared" si="241"/>
        <v/>
      </c>
      <c r="V3070" s="215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7" t="str">
        <f t="shared" si="241"/>
        <v/>
      </c>
      <c r="V3071" s="215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7" t="str">
        <f t="shared" si="241"/>
        <v/>
      </c>
      <c r="V3072" s="215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7" t="str">
        <f t="shared" si="241"/>
        <v/>
      </c>
      <c r="V3073" s="215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7" t="str">
        <f t="shared" ref="U3074:U3137" si="246">IF(OR($D3074="",$H3074=""),"",ROUND($D3074+$H3074,2))</f>
        <v/>
      </c>
      <c r="V3074" s="215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7" t="str">
        <f t="shared" si="246"/>
        <v/>
      </c>
      <c r="V3075" s="215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7" t="str">
        <f t="shared" si="246"/>
        <v/>
      </c>
      <c r="V3076" s="215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7" t="str">
        <f t="shared" si="246"/>
        <v/>
      </c>
      <c r="V3077" s="215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7" t="str">
        <f t="shared" si="246"/>
        <v/>
      </c>
      <c r="V3078" s="215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7" t="str">
        <f t="shared" si="246"/>
        <v/>
      </c>
      <c r="V3079" s="215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7" t="str">
        <f t="shared" si="246"/>
        <v/>
      </c>
      <c r="V3080" s="215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7" t="str">
        <f t="shared" si="246"/>
        <v/>
      </c>
      <c r="V3081" s="215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7" t="str">
        <f t="shared" si="246"/>
        <v/>
      </c>
      <c r="V3082" s="215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7" t="str">
        <f t="shared" si="246"/>
        <v/>
      </c>
      <c r="V3083" s="215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7" t="str">
        <f t="shared" si="246"/>
        <v/>
      </c>
      <c r="V3084" s="215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7" t="str">
        <f t="shared" si="246"/>
        <v/>
      </c>
      <c r="V3085" s="215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7" t="str">
        <f t="shared" si="246"/>
        <v/>
      </c>
      <c r="V3086" s="215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7" t="str">
        <f t="shared" si="246"/>
        <v/>
      </c>
      <c r="V3087" s="215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7" t="str">
        <f t="shared" si="246"/>
        <v/>
      </c>
      <c r="V3088" s="215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7" t="str">
        <f t="shared" si="246"/>
        <v/>
      </c>
      <c r="V3089" s="215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7" t="str">
        <f t="shared" si="246"/>
        <v/>
      </c>
      <c r="V3090" s="215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7" t="str">
        <f t="shared" si="246"/>
        <v/>
      </c>
      <c r="V3091" s="215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7" t="str">
        <f t="shared" si="246"/>
        <v/>
      </c>
      <c r="V3092" s="215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7" t="str">
        <f t="shared" si="246"/>
        <v/>
      </c>
      <c r="V3093" s="215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7" t="str">
        <f t="shared" si="246"/>
        <v/>
      </c>
      <c r="V3094" s="215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7" t="str">
        <f t="shared" si="246"/>
        <v/>
      </c>
      <c r="V3095" s="215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7" t="str">
        <f t="shared" si="246"/>
        <v/>
      </c>
      <c r="V3096" s="215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7" t="str">
        <f t="shared" si="246"/>
        <v/>
      </c>
      <c r="V3097" s="215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7" t="str">
        <f t="shared" si="246"/>
        <v/>
      </c>
      <c r="V3098" s="215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7" t="str">
        <f t="shared" si="246"/>
        <v/>
      </c>
      <c r="V3099" s="215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7" t="str">
        <f t="shared" si="246"/>
        <v/>
      </c>
      <c r="V3100" s="215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7" t="str">
        <f t="shared" si="246"/>
        <v/>
      </c>
      <c r="V3101" s="215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7" t="str">
        <f t="shared" si="246"/>
        <v/>
      </c>
      <c r="V3102" s="215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7" t="str">
        <f t="shared" si="246"/>
        <v/>
      </c>
      <c r="V3103" s="215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7" t="str">
        <f t="shared" si="246"/>
        <v/>
      </c>
      <c r="V3104" s="215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7" t="str">
        <f t="shared" si="246"/>
        <v/>
      </c>
      <c r="V3105" s="215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7" t="str">
        <f t="shared" si="246"/>
        <v/>
      </c>
      <c r="V3106" s="215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7" t="str">
        <f t="shared" si="246"/>
        <v/>
      </c>
      <c r="V3107" s="215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7" t="str">
        <f t="shared" si="246"/>
        <v/>
      </c>
      <c r="V3108" s="215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7" t="str">
        <f t="shared" si="246"/>
        <v/>
      </c>
      <c r="V3109" s="215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7" t="str">
        <f t="shared" si="246"/>
        <v/>
      </c>
      <c r="V3110" s="215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7" t="str">
        <f t="shared" si="246"/>
        <v/>
      </c>
      <c r="V3111" s="215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7" t="str">
        <f t="shared" si="246"/>
        <v/>
      </c>
      <c r="V3112" s="215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7" t="str">
        <f t="shared" si="246"/>
        <v/>
      </c>
      <c r="V3113" s="215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7" t="str">
        <f t="shared" si="246"/>
        <v/>
      </c>
      <c r="V3114" s="215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7" t="str">
        <f t="shared" si="246"/>
        <v/>
      </c>
      <c r="V3115" s="215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7" t="str">
        <f t="shared" si="246"/>
        <v/>
      </c>
      <c r="V3116" s="215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7" t="str">
        <f t="shared" si="246"/>
        <v/>
      </c>
      <c r="V3117" s="215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7" t="str">
        <f t="shared" si="246"/>
        <v/>
      </c>
      <c r="V3118" s="215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7" t="str">
        <f t="shared" si="246"/>
        <v/>
      </c>
      <c r="V3119" s="215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7" t="str">
        <f t="shared" si="246"/>
        <v/>
      </c>
      <c r="V3120" s="215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7" t="str">
        <f t="shared" si="246"/>
        <v/>
      </c>
      <c r="V3121" s="215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7" t="str">
        <f t="shared" si="246"/>
        <v/>
      </c>
      <c r="V3122" s="215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7" t="str">
        <f t="shared" si="246"/>
        <v/>
      </c>
      <c r="V3123" s="215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7" t="str">
        <f t="shared" si="246"/>
        <v/>
      </c>
      <c r="V3124" s="215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7" t="str">
        <f t="shared" si="246"/>
        <v/>
      </c>
      <c r="V3125" s="215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7" t="str">
        <f t="shared" si="246"/>
        <v/>
      </c>
      <c r="V3126" s="215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7" t="str">
        <f t="shared" si="246"/>
        <v/>
      </c>
      <c r="V3127" s="215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7" t="str">
        <f t="shared" si="246"/>
        <v/>
      </c>
      <c r="V3128" s="215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7" t="str">
        <f t="shared" si="246"/>
        <v/>
      </c>
      <c r="V3129" s="215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7" t="str">
        <f t="shared" si="246"/>
        <v/>
      </c>
      <c r="V3130" s="215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7" t="str">
        <f t="shared" si="246"/>
        <v/>
      </c>
      <c r="V3131" s="215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7" t="str">
        <f t="shared" si="246"/>
        <v/>
      </c>
      <c r="V3132" s="215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7" t="str">
        <f t="shared" si="246"/>
        <v/>
      </c>
      <c r="V3133" s="215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7" t="str">
        <f t="shared" si="246"/>
        <v/>
      </c>
      <c r="V3134" s="215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7" t="str">
        <f t="shared" si="246"/>
        <v/>
      </c>
      <c r="V3135" s="215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7" t="str">
        <f t="shared" si="246"/>
        <v/>
      </c>
      <c r="V3136" s="215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7" t="str">
        <f t="shared" si="246"/>
        <v/>
      </c>
      <c r="V3137" s="215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7" t="str">
        <f t="shared" ref="U3138:U3201" si="251">IF(OR($D3138="",$H3138=""),"",ROUND($D3138+$H3138,2))</f>
        <v/>
      </c>
      <c r="V3138" s="215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7" t="str">
        <f t="shared" si="251"/>
        <v/>
      </c>
      <c r="V3139" s="215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7" t="str">
        <f t="shared" si="251"/>
        <v/>
      </c>
      <c r="V3140" s="215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7" t="str">
        <f t="shared" si="251"/>
        <v/>
      </c>
      <c r="V3141" s="215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7" t="str">
        <f t="shared" si="251"/>
        <v/>
      </c>
      <c r="V3142" s="215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7" t="str">
        <f t="shared" si="251"/>
        <v/>
      </c>
      <c r="V3143" s="215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7" t="str">
        <f t="shared" si="251"/>
        <v/>
      </c>
      <c r="V3144" s="215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7" t="str">
        <f t="shared" si="251"/>
        <v/>
      </c>
      <c r="V3145" s="215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7" t="str">
        <f t="shared" si="251"/>
        <v/>
      </c>
      <c r="V3146" s="215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7" t="str">
        <f t="shared" si="251"/>
        <v/>
      </c>
      <c r="V3147" s="215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7" t="str">
        <f t="shared" si="251"/>
        <v/>
      </c>
      <c r="V3148" s="215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7" t="str">
        <f t="shared" si="251"/>
        <v/>
      </c>
      <c r="V3149" s="215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7" t="str">
        <f t="shared" si="251"/>
        <v/>
      </c>
      <c r="V3150" s="215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7" t="str">
        <f t="shared" si="251"/>
        <v/>
      </c>
      <c r="V3151" s="215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7" t="str">
        <f t="shared" si="251"/>
        <v/>
      </c>
      <c r="V3152" s="215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7" t="str">
        <f t="shared" si="251"/>
        <v/>
      </c>
      <c r="V3153" s="215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7" t="str">
        <f t="shared" si="251"/>
        <v/>
      </c>
      <c r="V3154" s="215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7" t="str">
        <f t="shared" si="251"/>
        <v/>
      </c>
      <c r="V3155" s="215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7" t="str">
        <f t="shared" si="251"/>
        <v/>
      </c>
      <c r="V3156" s="215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7" t="str">
        <f t="shared" si="251"/>
        <v/>
      </c>
      <c r="V3157" s="215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7" t="str">
        <f t="shared" si="251"/>
        <v/>
      </c>
      <c r="V3158" s="215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7" t="str">
        <f t="shared" si="251"/>
        <v/>
      </c>
      <c r="V3159" s="215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7" t="str">
        <f t="shared" si="251"/>
        <v/>
      </c>
      <c r="V3160" s="215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7" t="str">
        <f t="shared" si="251"/>
        <v/>
      </c>
      <c r="V3161" s="215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7" t="str">
        <f t="shared" si="251"/>
        <v/>
      </c>
      <c r="V3162" s="215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7" t="str">
        <f t="shared" si="251"/>
        <v/>
      </c>
      <c r="V3163" s="215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7" t="str">
        <f t="shared" si="251"/>
        <v/>
      </c>
      <c r="V3164" s="215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7" t="str">
        <f t="shared" si="251"/>
        <v/>
      </c>
      <c r="V3165" s="215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7" t="str">
        <f t="shared" si="251"/>
        <v/>
      </c>
      <c r="V3166" s="215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7" t="str">
        <f t="shared" si="251"/>
        <v/>
      </c>
      <c r="V3167" s="215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7" t="str">
        <f t="shared" si="251"/>
        <v/>
      </c>
      <c r="V3168" s="215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7" t="str">
        <f t="shared" si="251"/>
        <v/>
      </c>
      <c r="V3169" s="215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7" t="str">
        <f t="shared" si="251"/>
        <v/>
      </c>
      <c r="V3170" s="215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7" t="str">
        <f t="shared" si="251"/>
        <v/>
      </c>
      <c r="V3171" s="215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7" t="str">
        <f t="shared" si="251"/>
        <v/>
      </c>
      <c r="V3172" s="215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7" t="str">
        <f t="shared" si="251"/>
        <v/>
      </c>
      <c r="V3173" s="215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7" t="str">
        <f t="shared" si="251"/>
        <v/>
      </c>
      <c r="V3174" s="215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7" t="str">
        <f t="shared" si="251"/>
        <v/>
      </c>
      <c r="V3175" s="215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7" t="str">
        <f t="shared" si="251"/>
        <v/>
      </c>
      <c r="V3176" s="215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7" t="str">
        <f t="shared" si="251"/>
        <v/>
      </c>
      <c r="V3177" s="215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7" t="str">
        <f t="shared" si="251"/>
        <v/>
      </c>
      <c r="V3178" s="215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7" t="str">
        <f t="shared" si="251"/>
        <v/>
      </c>
      <c r="V3179" s="215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7" t="str">
        <f t="shared" si="251"/>
        <v/>
      </c>
      <c r="V3180" s="215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7" t="str">
        <f t="shared" si="251"/>
        <v/>
      </c>
      <c r="V3181" s="215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7" t="str">
        <f t="shared" si="251"/>
        <v/>
      </c>
      <c r="V3182" s="215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7" t="str">
        <f t="shared" si="251"/>
        <v/>
      </c>
      <c r="V3183" s="215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7" t="str">
        <f t="shared" si="251"/>
        <v/>
      </c>
      <c r="V3184" s="215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7" t="str">
        <f t="shared" si="251"/>
        <v/>
      </c>
      <c r="V3185" s="215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7" t="str">
        <f t="shared" si="251"/>
        <v/>
      </c>
      <c r="V3186" s="215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7" t="str">
        <f t="shared" si="251"/>
        <v/>
      </c>
      <c r="V3187" s="215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7" t="str">
        <f t="shared" si="251"/>
        <v/>
      </c>
      <c r="V3188" s="215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7" t="str">
        <f t="shared" si="251"/>
        <v/>
      </c>
      <c r="V3189" s="215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7" t="str">
        <f t="shared" si="251"/>
        <v/>
      </c>
      <c r="V3190" s="215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7" t="str">
        <f t="shared" si="251"/>
        <v/>
      </c>
      <c r="V3191" s="215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7" t="str">
        <f t="shared" si="251"/>
        <v/>
      </c>
      <c r="V3192" s="215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7" t="str">
        <f t="shared" si="251"/>
        <v/>
      </c>
      <c r="V3193" s="215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7" t="str">
        <f t="shared" si="251"/>
        <v/>
      </c>
      <c r="V3194" s="215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7" t="str">
        <f t="shared" si="251"/>
        <v/>
      </c>
      <c r="V3195" s="215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7" t="str">
        <f t="shared" si="251"/>
        <v/>
      </c>
      <c r="V3196" s="215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7" t="str">
        <f t="shared" si="251"/>
        <v/>
      </c>
      <c r="V3197" s="215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7" t="str">
        <f t="shared" si="251"/>
        <v/>
      </c>
      <c r="V3198" s="215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7" t="str">
        <f t="shared" si="251"/>
        <v/>
      </c>
      <c r="V3199" s="215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7" t="str">
        <f t="shared" si="251"/>
        <v/>
      </c>
      <c r="V3200" s="215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7" t="str">
        <f t="shared" si="251"/>
        <v/>
      </c>
      <c r="V3201" s="215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7" t="str">
        <f t="shared" ref="U3202:U3265" si="256">IF(OR($D3202="",$H3202=""),"",ROUND($D3202+$H3202,2))</f>
        <v/>
      </c>
      <c r="V3202" s="215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7" t="str">
        <f t="shared" si="256"/>
        <v/>
      </c>
      <c r="V3203" s="215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7" t="str">
        <f t="shared" si="256"/>
        <v/>
      </c>
      <c r="V3204" s="215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7" t="str">
        <f t="shared" si="256"/>
        <v/>
      </c>
      <c r="V3205" s="215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7" t="str">
        <f t="shared" si="256"/>
        <v/>
      </c>
      <c r="V3206" s="215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7" t="str">
        <f t="shared" si="256"/>
        <v/>
      </c>
      <c r="V3207" s="215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7" t="str">
        <f t="shared" si="256"/>
        <v/>
      </c>
      <c r="V3208" s="215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7" t="str">
        <f t="shared" si="256"/>
        <v/>
      </c>
      <c r="V3209" s="215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7" t="str">
        <f t="shared" si="256"/>
        <v/>
      </c>
      <c r="V3210" s="215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7" t="str">
        <f t="shared" si="256"/>
        <v/>
      </c>
      <c r="V3211" s="215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7" t="str">
        <f t="shared" si="256"/>
        <v/>
      </c>
      <c r="V3212" s="215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7" t="str">
        <f t="shared" si="256"/>
        <v/>
      </c>
      <c r="V3213" s="215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7" t="str">
        <f t="shared" si="256"/>
        <v/>
      </c>
      <c r="V3214" s="215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7" t="str">
        <f t="shared" si="256"/>
        <v/>
      </c>
      <c r="V3215" s="215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7" t="str">
        <f t="shared" si="256"/>
        <v/>
      </c>
      <c r="V3216" s="215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7" t="str">
        <f t="shared" si="256"/>
        <v/>
      </c>
      <c r="V3217" s="215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7" t="str">
        <f t="shared" si="256"/>
        <v/>
      </c>
      <c r="V3218" s="215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7" t="str">
        <f t="shared" si="256"/>
        <v/>
      </c>
      <c r="V3219" s="215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7" t="str">
        <f t="shared" si="256"/>
        <v/>
      </c>
      <c r="V3220" s="215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7" t="str">
        <f t="shared" si="256"/>
        <v/>
      </c>
      <c r="V3221" s="215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7" t="str">
        <f t="shared" si="256"/>
        <v/>
      </c>
      <c r="V3222" s="215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7" t="str">
        <f t="shared" si="256"/>
        <v/>
      </c>
      <c r="V3223" s="215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7" t="str">
        <f t="shared" si="256"/>
        <v/>
      </c>
      <c r="V3224" s="215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7" t="str">
        <f t="shared" si="256"/>
        <v/>
      </c>
      <c r="V3225" s="215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7" t="str">
        <f t="shared" si="256"/>
        <v/>
      </c>
      <c r="V3226" s="215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7" t="str">
        <f t="shared" si="256"/>
        <v/>
      </c>
      <c r="V3227" s="215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7" t="str">
        <f t="shared" si="256"/>
        <v/>
      </c>
      <c r="V3228" s="215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7" t="str">
        <f t="shared" si="256"/>
        <v/>
      </c>
      <c r="V3229" s="215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7" t="str">
        <f t="shared" si="256"/>
        <v/>
      </c>
      <c r="V3230" s="215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7" t="str">
        <f t="shared" si="256"/>
        <v/>
      </c>
      <c r="V3231" s="215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7" t="str">
        <f t="shared" si="256"/>
        <v/>
      </c>
      <c r="V3232" s="215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7" t="str">
        <f t="shared" si="256"/>
        <v/>
      </c>
      <c r="V3233" s="215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7" t="str">
        <f t="shared" si="256"/>
        <v/>
      </c>
      <c r="V3234" s="215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7" t="str">
        <f t="shared" si="256"/>
        <v/>
      </c>
      <c r="V3235" s="215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7" t="str">
        <f t="shared" si="256"/>
        <v/>
      </c>
      <c r="V3236" s="215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7" t="str">
        <f t="shared" si="256"/>
        <v/>
      </c>
      <c r="V3237" s="215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7" t="str">
        <f t="shared" si="256"/>
        <v/>
      </c>
      <c r="V3238" s="215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7" t="str">
        <f t="shared" si="256"/>
        <v/>
      </c>
      <c r="V3239" s="215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7" t="str">
        <f t="shared" si="256"/>
        <v/>
      </c>
      <c r="V3240" s="215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7" t="str">
        <f t="shared" si="256"/>
        <v/>
      </c>
      <c r="V3241" s="215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7" t="str">
        <f t="shared" si="256"/>
        <v/>
      </c>
      <c r="V3242" s="215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7" t="str">
        <f t="shared" si="256"/>
        <v/>
      </c>
      <c r="V3243" s="215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7" t="str">
        <f t="shared" si="256"/>
        <v/>
      </c>
      <c r="V3244" s="215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7" t="str">
        <f t="shared" si="256"/>
        <v/>
      </c>
      <c r="V3245" s="215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7" t="str">
        <f t="shared" si="256"/>
        <v/>
      </c>
      <c r="V3246" s="215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7" t="str">
        <f t="shared" si="256"/>
        <v/>
      </c>
      <c r="V3247" s="215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7" t="str">
        <f t="shared" si="256"/>
        <v/>
      </c>
      <c r="V3248" s="215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7" t="str">
        <f t="shared" si="256"/>
        <v/>
      </c>
      <c r="V3249" s="215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7" t="str">
        <f t="shared" si="256"/>
        <v/>
      </c>
      <c r="V3250" s="215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7" t="str">
        <f t="shared" si="256"/>
        <v/>
      </c>
      <c r="V3251" s="215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7" t="str">
        <f t="shared" si="256"/>
        <v/>
      </c>
      <c r="V3252" s="215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7" t="str">
        <f t="shared" si="256"/>
        <v/>
      </c>
      <c r="V3253" s="215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7" t="str">
        <f t="shared" si="256"/>
        <v/>
      </c>
      <c r="V3254" s="215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7" t="str">
        <f t="shared" si="256"/>
        <v/>
      </c>
      <c r="V3255" s="215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7" t="str">
        <f t="shared" si="256"/>
        <v/>
      </c>
      <c r="V3256" s="215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7" t="str">
        <f t="shared" si="256"/>
        <v/>
      </c>
      <c r="V3257" s="215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7" t="str">
        <f t="shared" si="256"/>
        <v/>
      </c>
      <c r="V3258" s="215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7" t="str">
        <f t="shared" si="256"/>
        <v/>
      </c>
      <c r="V3259" s="215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7" t="str">
        <f t="shared" si="256"/>
        <v/>
      </c>
      <c r="V3260" s="215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7" t="str">
        <f t="shared" si="256"/>
        <v/>
      </c>
      <c r="V3261" s="215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7" t="str">
        <f t="shared" si="256"/>
        <v/>
      </c>
      <c r="V3262" s="215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7" t="str">
        <f t="shared" si="256"/>
        <v/>
      </c>
      <c r="V3263" s="215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7" t="str">
        <f t="shared" si="256"/>
        <v/>
      </c>
      <c r="V3264" s="215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7" t="str">
        <f t="shared" si="256"/>
        <v/>
      </c>
      <c r="V3265" s="215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7" t="str">
        <f t="shared" ref="U3266:U3329" si="261">IF(OR($D3266="",$H3266=""),"",ROUND($D3266+$H3266,2))</f>
        <v/>
      </c>
      <c r="V3266" s="215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7" t="str">
        <f t="shared" si="261"/>
        <v/>
      </c>
      <c r="V3267" s="215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7" t="str">
        <f t="shared" si="261"/>
        <v/>
      </c>
      <c r="V3268" s="215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7" t="str">
        <f t="shared" si="261"/>
        <v/>
      </c>
      <c r="V3269" s="215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7" t="str">
        <f t="shared" si="261"/>
        <v/>
      </c>
      <c r="V3270" s="215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7" t="str">
        <f t="shared" si="261"/>
        <v/>
      </c>
      <c r="V3271" s="215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7" t="str">
        <f t="shared" si="261"/>
        <v/>
      </c>
      <c r="V3272" s="215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7" t="str">
        <f t="shared" si="261"/>
        <v/>
      </c>
      <c r="V3273" s="215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7" t="str">
        <f t="shared" si="261"/>
        <v/>
      </c>
      <c r="V3274" s="215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7" t="str">
        <f t="shared" si="261"/>
        <v/>
      </c>
      <c r="V3275" s="215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7" t="str">
        <f t="shared" si="261"/>
        <v/>
      </c>
      <c r="V3276" s="215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7" t="str">
        <f t="shared" si="261"/>
        <v/>
      </c>
      <c r="V3277" s="215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7" t="str">
        <f t="shared" si="261"/>
        <v/>
      </c>
      <c r="V3278" s="215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7" t="str">
        <f t="shared" si="261"/>
        <v/>
      </c>
      <c r="V3279" s="215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7" t="str">
        <f t="shared" si="261"/>
        <v/>
      </c>
      <c r="V3280" s="215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7" t="str">
        <f t="shared" si="261"/>
        <v/>
      </c>
      <c r="V3281" s="215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7" t="str">
        <f t="shared" si="261"/>
        <v/>
      </c>
      <c r="V3282" s="215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7" t="str">
        <f t="shared" si="261"/>
        <v/>
      </c>
      <c r="V3283" s="215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7" t="str">
        <f t="shared" si="261"/>
        <v/>
      </c>
      <c r="V3284" s="215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7" t="str">
        <f t="shared" si="261"/>
        <v/>
      </c>
      <c r="V3285" s="215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7" t="str">
        <f t="shared" si="261"/>
        <v/>
      </c>
      <c r="V3286" s="215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7" t="str">
        <f t="shared" si="261"/>
        <v/>
      </c>
      <c r="V3287" s="215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7" t="str">
        <f t="shared" si="261"/>
        <v/>
      </c>
      <c r="V3288" s="215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7" t="str">
        <f t="shared" si="261"/>
        <v/>
      </c>
      <c r="V3289" s="215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7" t="str">
        <f t="shared" si="261"/>
        <v/>
      </c>
      <c r="V3290" s="215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7" t="str">
        <f t="shared" si="261"/>
        <v/>
      </c>
      <c r="V3291" s="215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7" t="str">
        <f t="shared" si="261"/>
        <v/>
      </c>
      <c r="V3292" s="215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7" t="str">
        <f t="shared" si="261"/>
        <v/>
      </c>
      <c r="V3293" s="215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7" t="str">
        <f t="shared" si="261"/>
        <v/>
      </c>
      <c r="V3294" s="215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7" t="str">
        <f t="shared" si="261"/>
        <v/>
      </c>
      <c r="V3295" s="215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7" t="str">
        <f t="shared" si="261"/>
        <v/>
      </c>
      <c r="V3296" s="215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7" t="str">
        <f t="shared" si="261"/>
        <v/>
      </c>
      <c r="V3297" s="215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7" t="str">
        <f t="shared" si="261"/>
        <v/>
      </c>
      <c r="V3298" s="215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7" t="str">
        <f t="shared" si="261"/>
        <v/>
      </c>
      <c r="V3299" s="215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7" t="str">
        <f t="shared" si="261"/>
        <v/>
      </c>
      <c r="V3300" s="215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7" t="str">
        <f t="shared" si="261"/>
        <v/>
      </c>
      <c r="V3301" s="215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7" t="str">
        <f t="shared" si="261"/>
        <v/>
      </c>
      <c r="V3302" s="215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7" t="str">
        <f t="shared" si="261"/>
        <v/>
      </c>
      <c r="V3303" s="215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7" t="str">
        <f t="shared" si="261"/>
        <v/>
      </c>
      <c r="V3304" s="215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7" t="str">
        <f t="shared" si="261"/>
        <v/>
      </c>
      <c r="V3305" s="215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7" t="str">
        <f t="shared" si="261"/>
        <v/>
      </c>
      <c r="V3306" s="215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7" t="str">
        <f t="shared" si="261"/>
        <v/>
      </c>
      <c r="V3307" s="215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7" t="str">
        <f t="shared" si="261"/>
        <v/>
      </c>
      <c r="V3308" s="215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7" t="str">
        <f t="shared" si="261"/>
        <v/>
      </c>
      <c r="V3309" s="215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7" t="str">
        <f t="shared" si="261"/>
        <v/>
      </c>
      <c r="V3310" s="215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7" t="str">
        <f t="shared" si="261"/>
        <v/>
      </c>
      <c r="V3311" s="215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7" t="str">
        <f t="shared" si="261"/>
        <v/>
      </c>
      <c r="V3312" s="215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7" t="str">
        <f t="shared" si="261"/>
        <v/>
      </c>
      <c r="V3313" s="215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7" t="str">
        <f t="shared" si="261"/>
        <v/>
      </c>
      <c r="V3314" s="215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7" t="str">
        <f t="shared" si="261"/>
        <v/>
      </c>
      <c r="V3315" s="215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7" t="str">
        <f t="shared" si="261"/>
        <v/>
      </c>
      <c r="V3316" s="215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7" t="str">
        <f t="shared" si="261"/>
        <v/>
      </c>
      <c r="V3317" s="215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7" t="str">
        <f t="shared" si="261"/>
        <v/>
      </c>
      <c r="V3318" s="215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7" t="str">
        <f t="shared" si="261"/>
        <v/>
      </c>
      <c r="V3319" s="215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7" t="str">
        <f t="shared" si="261"/>
        <v/>
      </c>
      <c r="V3320" s="215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7" t="str">
        <f t="shared" si="261"/>
        <v/>
      </c>
      <c r="V3321" s="215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7" t="str">
        <f t="shared" si="261"/>
        <v/>
      </c>
      <c r="V3322" s="215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7" t="str">
        <f t="shared" si="261"/>
        <v/>
      </c>
      <c r="V3323" s="215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7" t="str">
        <f t="shared" si="261"/>
        <v/>
      </c>
      <c r="V3324" s="215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7" t="str">
        <f t="shared" si="261"/>
        <v/>
      </c>
      <c r="V3325" s="215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7" t="str">
        <f t="shared" si="261"/>
        <v/>
      </c>
      <c r="V3326" s="215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7" t="str">
        <f t="shared" si="261"/>
        <v/>
      </c>
      <c r="V3327" s="215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7" t="str">
        <f t="shared" si="261"/>
        <v/>
      </c>
      <c r="V3328" s="215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7" t="str">
        <f t="shared" si="261"/>
        <v/>
      </c>
      <c r="V3329" s="215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7" t="str">
        <f t="shared" ref="U3330:U3393" si="266">IF(OR($D3330="",$H3330=""),"",ROUND($D3330+$H3330,2))</f>
        <v/>
      </c>
      <c r="V3330" s="215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7" t="str">
        <f t="shared" si="266"/>
        <v/>
      </c>
      <c r="V3331" s="215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7" t="str">
        <f t="shared" si="266"/>
        <v/>
      </c>
      <c r="V3332" s="215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7" t="str">
        <f t="shared" si="266"/>
        <v/>
      </c>
      <c r="V3333" s="215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7" t="str">
        <f t="shared" si="266"/>
        <v/>
      </c>
      <c r="V3334" s="215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7" t="str">
        <f t="shared" si="266"/>
        <v/>
      </c>
      <c r="V3335" s="215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7" t="str">
        <f t="shared" si="266"/>
        <v/>
      </c>
      <c r="V3336" s="215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7" t="str">
        <f t="shared" si="266"/>
        <v/>
      </c>
      <c r="V3337" s="215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7" t="str">
        <f t="shared" si="266"/>
        <v/>
      </c>
      <c r="V3338" s="215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7" t="str">
        <f t="shared" si="266"/>
        <v/>
      </c>
      <c r="V3339" s="215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7" t="str">
        <f t="shared" si="266"/>
        <v/>
      </c>
      <c r="V3340" s="215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7" t="str">
        <f t="shared" si="266"/>
        <v/>
      </c>
      <c r="V3341" s="215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7" t="str">
        <f t="shared" si="266"/>
        <v/>
      </c>
      <c r="V3342" s="215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7" t="str">
        <f t="shared" si="266"/>
        <v/>
      </c>
      <c r="V3343" s="215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7" t="str">
        <f t="shared" si="266"/>
        <v/>
      </c>
      <c r="V3344" s="215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7" t="str">
        <f t="shared" si="266"/>
        <v/>
      </c>
      <c r="V3345" s="215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7" t="str">
        <f t="shared" si="266"/>
        <v/>
      </c>
      <c r="V3346" s="215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7" t="str">
        <f t="shared" si="266"/>
        <v/>
      </c>
      <c r="V3347" s="215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7" t="str">
        <f t="shared" si="266"/>
        <v/>
      </c>
      <c r="V3348" s="215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7" t="str">
        <f t="shared" si="266"/>
        <v/>
      </c>
      <c r="V3349" s="215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7" t="str">
        <f t="shared" si="266"/>
        <v/>
      </c>
      <c r="V3350" s="215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7" t="str">
        <f t="shared" si="266"/>
        <v/>
      </c>
      <c r="V3351" s="215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7" t="str">
        <f t="shared" si="266"/>
        <v/>
      </c>
      <c r="V3352" s="215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7" t="str">
        <f t="shared" si="266"/>
        <v/>
      </c>
      <c r="V3353" s="215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7" t="str">
        <f t="shared" si="266"/>
        <v/>
      </c>
      <c r="V3354" s="215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7" t="str">
        <f t="shared" si="266"/>
        <v/>
      </c>
      <c r="V3355" s="215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7" t="str">
        <f t="shared" si="266"/>
        <v/>
      </c>
      <c r="V3356" s="215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7" t="str">
        <f t="shared" si="266"/>
        <v/>
      </c>
      <c r="V3357" s="215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7" t="str">
        <f t="shared" si="266"/>
        <v/>
      </c>
      <c r="V3358" s="215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7" t="str">
        <f t="shared" si="266"/>
        <v/>
      </c>
      <c r="V3359" s="215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7" t="str">
        <f t="shared" si="266"/>
        <v/>
      </c>
      <c r="V3360" s="215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7" t="str">
        <f t="shared" si="266"/>
        <v/>
      </c>
      <c r="V3361" s="215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7" t="str">
        <f t="shared" si="266"/>
        <v/>
      </c>
      <c r="V3362" s="215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7" t="str">
        <f t="shared" si="266"/>
        <v/>
      </c>
      <c r="V3363" s="215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7" t="str">
        <f t="shared" si="266"/>
        <v/>
      </c>
      <c r="V3364" s="215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7" t="str">
        <f t="shared" si="266"/>
        <v/>
      </c>
      <c r="V3365" s="215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7" t="str">
        <f t="shared" si="266"/>
        <v/>
      </c>
      <c r="V3366" s="215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7" t="str">
        <f t="shared" si="266"/>
        <v/>
      </c>
      <c r="V3367" s="215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7" t="str">
        <f t="shared" si="266"/>
        <v/>
      </c>
      <c r="V3368" s="215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7" t="str">
        <f t="shared" si="266"/>
        <v/>
      </c>
      <c r="V3369" s="215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7" t="str">
        <f t="shared" si="266"/>
        <v/>
      </c>
      <c r="V3370" s="215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7" t="str">
        <f t="shared" si="266"/>
        <v/>
      </c>
      <c r="V3371" s="215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7" t="str">
        <f t="shared" si="266"/>
        <v/>
      </c>
      <c r="V3372" s="215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7" t="str">
        <f t="shared" si="266"/>
        <v/>
      </c>
      <c r="V3373" s="215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7" t="str">
        <f t="shared" si="266"/>
        <v/>
      </c>
      <c r="V3374" s="215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7" t="str">
        <f t="shared" si="266"/>
        <v/>
      </c>
      <c r="V3375" s="215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7" t="str">
        <f t="shared" si="266"/>
        <v/>
      </c>
      <c r="V3376" s="215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7" t="str">
        <f t="shared" si="266"/>
        <v/>
      </c>
      <c r="V3377" s="215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7" t="str">
        <f t="shared" si="266"/>
        <v/>
      </c>
      <c r="V3378" s="215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7" t="str">
        <f t="shared" si="266"/>
        <v/>
      </c>
      <c r="V3379" s="215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7" t="str">
        <f t="shared" si="266"/>
        <v/>
      </c>
      <c r="V3380" s="215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7" t="str">
        <f t="shared" si="266"/>
        <v/>
      </c>
      <c r="V3381" s="215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7" t="str">
        <f t="shared" si="266"/>
        <v/>
      </c>
      <c r="V3382" s="215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7" t="str">
        <f t="shared" si="266"/>
        <v/>
      </c>
      <c r="V3383" s="215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7" t="str">
        <f t="shared" si="266"/>
        <v/>
      </c>
      <c r="V3384" s="215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7" t="str">
        <f t="shared" si="266"/>
        <v/>
      </c>
      <c r="V3385" s="215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7" t="str">
        <f t="shared" si="266"/>
        <v/>
      </c>
      <c r="V3386" s="215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7" t="str">
        <f t="shared" si="266"/>
        <v/>
      </c>
      <c r="V3387" s="215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7" t="str">
        <f t="shared" si="266"/>
        <v/>
      </c>
      <c r="V3388" s="215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7" t="str">
        <f t="shared" si="266"/>
        <v/>
      </c>
      <c r="V3389" s="215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7" t="str">
        <f t="shared" si="266"/>
        <v/>
      </c>
      <c r="V3390" s="215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7" t="str">
        <f t="shared" si="266"/>
        <v/>
      </c>
      <c r="V3391" s="215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7" t="str">
        <f t="shared" si="266"/>
        <v/>
      </c>
      <c r="V3392" s="215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7" t="str">
        <f t="shared" si="266"/>
        <v/>
      </c>
      <c r="V3393" s="215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7" t="str">
        <f t="shared" ref="U3394:U3457" si="271">IF(OR($D3394="",$H3394=""),"",ROUND($D3394+$H3394,2))</f>
        <v/>
      </c>
      <c r="V3394" s="215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7" t="str">
        <f t="shared" si="271"/>
        <v/>
      </c>
      <c r="V3395" s="215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7" t="str">
        <f t="shared" si="271"/>
        <v/>
      </c>
      <c r="V3396" s="215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7" t="str">
        <f t="shared" si="271"/>
        <v/>
      </c>
      <c r="V3397" s="215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7" t="str">
        <f t="shared" si="271"/>
        <v/>
      </c>
      <c r="V3398" s="215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7" t="str">
        <f t="shared" si="271"/>
        <v/>
      </c>
      <c r="V3399" s="215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7" t="str">
        <f t="shared" si="271"/>
        <v/>
      </c>
      <c r="V3400" s="215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7" t="str">
        <f t="shared" si="271"/>
        <v/>
      </c>
      <c r="V3401" s="215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7" t="str">
        <f t="shared" si="271"/>
        <v/>
      </c>
      <c r="V3402" s="215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7" t="str">
        <f t="shared" si="271"/>
        <v/>
      </c>
      <c r="V3403" s="215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7" t="str">
        <f t="shared" si="271"/>
        <v/>
      </c>
      <c r="V3404" s="215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7" t="str">
        <f t="shared" si="271"/>
        <v/>
      </c>
      <c r="V3405" s="215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7" t="str">
        <f t="shared" si="271"/>
        <v/>
      </c>
      <c r="V3406" s="215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7" t="str">
        <f t="shared" si="271"/>
        <v/>
      </c>
      <c r="V3407" s="215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7" t="str">
        <f t="shared" si="271"/>
        <v/>
      </c>
      <c r="V3408" s="215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7" t="str">
        <f t="shared" si="271"/>
        <v/>
      </c>
      <c r="V3409" s="215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7" t="str">
        <f t="shared" si="271"/>
        <v/>
      </c>
      <c r="V3410" s="215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7" t="str">
        <f t="shared" si="271"/>
        <v/>
      </c>
      <c r="V3411" s="215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7" t="str">
        <f t="shared" si="271"/>
        <v/>
      </c>
      <c r="V3412" s="215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7" t="str">
        <f t="shared" si="271"/>
        <v/>
      </c>
      <c r="V3413" s="215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7" t="str">
        <f t="shared" si="271"/>
        <v/>
      </c>
      <c r="V3414" s="215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7" t="str">
        <f t="shared" si="271"/>
        <v/>
      </c>
      <c r="V3415" s="215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7" t="str">
        <f t="shared" si="271"/>
        <v/>
      </c>
      <c r="V3416" s="215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7" t="str">
        <f t="shared" si="271"/>
        <v/>
      </c>
      <c r="V3417" s="215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7" t="str">
        <f t="shared" si="271"/>
        <v/>
      </c>
      <c r="V3418" s="215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7" t="str">
        <f t="shared" si="271"/>
        <v/>
      </c>
      <c r="V3419" s="215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7" t="str">
        <f t="shared" si="271"/>
        <v/>
      </c>
      <c r="V3420" s="215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7" t="str">
        <f t="shared" si="271"/>
        <v/>
      </c>
      <c r="V3421" s="215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7" t="str">
        <f t="shared" si="271"/>
        <v/>
      </c>
      <c r="V3422" s="215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7" t="str">
        <f t="shared" si="271"/>
        <v/>
      </c>
      <c r="V3423" s="215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7" t="str">
        <f t="shared" si="271"/>
        <v/>
      </c>
      <c r="V3424" s="215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7" t="str">
        <f t="shared" si="271"/>
        <v/>
      </c>
      <c r="V3425" s="215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7" t="str">
        <f t="shared" si="271"/>
        <v/>
      </c>
      <c r="V3426" s="215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7" t="str">
        <f t="shared" si="271"/>
        <v/>
      </c>
      <c r="V3427" s="215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7" t="str">
        <f t="shared" si="271"/>
        <v/>
      </c>
      <c r="V3428" s="215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7" t="str">
        <f t="shared" si="271"/>
        <v/>
      </c>
      <c r="V3429" s="215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7" t="str">
        <f t="shared" si="271"/>
        <v/>
      </c>
      <c r="V3430" s="215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7" t="str">
        <f t="shared" si="271"/>
        <v/>
      </c>
      <c r="V3431" s="215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7" t="str">
        <f t="shared" si="271"/>
        <v/>
      </c>
      <c r="V3432" s="215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7" t="str">
        <f t="shared" si="271"/>
        <v/>
      </c>
      <c r="V3433" s="215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7" t="str">
        <f t="shared" si="271"/>
        <v/>
      </c>
      <c r="V3434" s="215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7" t="str">
        <f t="shared" si="271"/>
        <v/>
      </c>
      <c r="V3435" s="215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7" t="str">
        <f t="shared" si="271"/>
        <v/>
      </c>
      <c r="V3436" s="215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7" t="str">
        <f t="shared" si="271"/>
        <v/>
      </c>
      <c r="V3437" s="215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7" t="str">
        <f t="shared" si="271"/>
        <v/>
      </c>
      <c r="V3438" s="215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7" t="str">
        <f t="shared" si="271"/>
        <v/>
      </c>
      <c r="V3439" s="215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7" t="str">
        <f t="shared" si="271"/>
        <v/>
      </c>
      <c r="V3440" s="215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7" t="str">
        <f t="shared" si="271"/>
        <v/>
      </c>
      <c r="V3441" s="215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7" t="str">
        <f t="shared" si="271"/>
        <v/>
      </c>
      <c r="V3442" s="215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7" t="str">
        <f t="shared" si="271"/>
        <v/>
      </c>
      <c r="V3443" s="215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7" t="str">
        <f t="shared" si="271"/>
        <v/>
      </c>
      <c r="V3444" s="215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7" t="str">
        <f t="shared" si="271"/>
        <v/>
      </c>
      <c r="V3445" s="215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7" t="str">
        <f t="shared" si="271"/>
        <v/>
      </c>
      <c r="V3446" s="215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7" t="str">
        <f t="shared" si="271"/>
        <v/>
      </c>
      <c r="V3447" s="215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7" t="str">
        <f t="shared" si="271"/>
        <v/>
      </c>
      <c r="V3448" s="215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7" t="str">
        <f t="shared" si="271"/>
        <v/>
      </c>
      <c r="V3449" s="215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7" t="str">
        <f t="shared" si="271"/>
        <v/>
      </c>
      <c r="V3450" s="215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7" t="str">
        <f t="shared" si="271"/>
        <v/>
      </c>
      <c r="V3451" s="215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7" t="str">
        <f t="shared" si="271"/>
        <v/>
      </c>
      <c r="V3452" s="215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7" t="str">
        <f t="shared" si="271"/>
        <v/>
      </c>
      <c r="V3453" s="215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7" t="str">
        <f t="shared" si="271"/>
        <v/>
      </c>
      <c r="V3454" s="215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7" t="str">
        <f t="shared" si="271"/>
        <v/>
      </c>
      <c r="V3455" s="215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7" t="str">
        <f t="shared" si="271"/>
        <v/>
      </c>
      <c r="V3456" s="215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7" t="str">
        <f t="shared" si="271"/>
        <v/>
      </c>
      <c r="V3457" s="215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7" t="str">
        <f t="shared" ref="U3458:U3521" si="276">IF(OR($D3458="",$H3458=""),"",ROUND($D3458+$H3458,2))</f>
        <v/>
      </c>
      <c r="V3458" s="215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7" t="str">
        <f t="shared" si="276"/>
        <v/>
      </c>
      <c r="V3459" s="215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7" t="str">
        <f t="shared" si="276"/>
        <v/>
      </c>
      <c r="V3460" s="215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7" t="str">
        <f t="shared" si="276"/>
        <v/>
      </c>
      <c r="V3461" s="215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7" t="str">
        <f t="shared" si="276"/>
        <v/>
      </c>
      <c r="V3462" s="215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7" t="str">
        <f t="shared" si="276"/>
        <v/>
      </c>
      <c r="V3463" s="215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7" t="str">
        <f t="shared" si="276"/>
        <v/>
      </c>
      <c r="V3464" s="215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7" t="str">
        <f t="shared" si="276"/>
        <v/>
      </c>
      <c r="V3465" s="215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7" t="str">
        <f t="shared" si="276"/>
        <v/>
      </c>
      <c r="V3466" s="215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7" t="str">
        <f t="shared" si="276"/>
        <v/>
      </c>
      <c r="V3467" s="215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7" t="str">
        <f t="shared" si="276"/>
        <v/>
      </c>
      <c r="V3468" s="215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7" t="str">
        <f t="shared" si="276"/>
        <v/>
      </c>
      <c r="V3469" s="215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7" t="str">
        <f t="shared" si="276"/>
        <v/>
      </c>
      <c r="V3470" s="215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7" t="str">
        <f t="shared" si="276"/>
        <v/>
      </c>
      <c r="V3471" s="215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7" t="str">
        <f t="shared" si="276"/>
        <v/>
      </c>
      <c r="V3472" s="215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7" t="str">
        <f t="shared" si="276"/>
        <v/>
      </c>
      <c r="V3473" s="215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7" t="str">
        <f t="shared" si="276"/>
        <v/>
      </c>
      <c r="V3474" s="215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7" t="str">
        <f t="shared" si="276"/>
        <v/>
      </c>
      <c r="V3475" s="215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7" t="str">
        <f t="shared" si="276"/>
        <v/>
      </c>
      <c r="V3476" s="215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7" t="str">
        <f t="shared" si="276"/>
        <v/>
      </c>
      <c r="V3477" s="215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7" t="str">
        <f t="shared" si="276"/>
        <v/>
      </c>
      <c r="V3478" s="215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7" t="str">
        <f t="shared" si="276"/>
        <v/>
      </c>
      <c r="V3479" s="215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7" t="str">
        <f t="shared" si="276"/>
        <v/>
      </c>
      <c r="V3480" s="215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7" t="str">
        <f t="shared" si="276"/>
        <v/>
      </c>
      <c r="V3481" s="215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7" t="str">
        <f t="shared" si="276"/>
        <v/>
      </c>
      <c r="V3482" s="215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7" t="str">
        <f t="shared" si="276"/>
        <v/>
      </c>
      <c r="V3483" s="215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7" t="str">
        <f t="shared" si="276"/>
        <v/>
      </c>
      <c r="V3484" s="215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7" t="str">
        <f t="shared" si="276"/>
        <v/>
      </c>
      <c r="V3485" s="215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7" t="str">
        <f t="shared" si="276"/>
        <v/>
      </c>
      <c r="V3486" s="215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7" t="str">
        <f t="shared" si="276"/>
        <v/>
      </c>
      <c r="V3487" s="215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7" t="str">
        <f t="shared" si="276"/>
        <v/>
      </c>
      <c r="V3488" s="215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7" t="str">
        <f t="shared" si="276"/>
        <v/>
      </c>
      <c r="V3489" s="215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7" t="str">
        <f t="shared" si="276"/>
        <v/>
      </c>
      <c r="V3490" s="215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7" t="str">
        <f t="shared" si="276"/>
        <v/>
      </c>
      <c r="V3491" s="215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7" t="str">
        <f t="shared" si="276"/>
        <v/>
      </c>
      <c r="V3492" s="215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7" t="str">
        <f t="shared" si="276"/>
        <v/>
      </c>
      <c r="V3493" s="215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7" t="str">
        <f t="shared" si="276"/>
        <v/>
      </c>
      <c r="V3494" s="215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7" t="str">
        <f t="shared" si="276"/>
        <v/>
      </c>
      <c r="V3495" s="215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7" t="str">
        <f t="shared" si="276"/>
        <v/>
      </c>
      <c r="V3496" s="215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7" t="str">
        <f t="shared" si="276"/>
        <v/>
      </c>
      <c r="V3497" s="215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7" t="str">
        <f t="shared" si="276"/>
        <v/>
      </c>
      <c r="V3498" s="215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7" t="str">
        <f t="shared" si="276"/>
        <v/>
      </c>
      <c r="V3499" s="215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7" t="str">
        <f t="shared" si="276"/>
        <v/>
      </c>
      <c r="V3500" s="215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7" t="str">
        <f t="shared" si="276"/>
        <v/>
      </c>
      <c r="V3501" s="215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7" t="str">
        <f t="shared" si="276"/>
        <v/>
      </c>
      <c r="V3502" s="215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7" t="str">
        <f t="shared" si="276"/>
        <v/>
      </c>
      <c r="V3503" s="215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7" t="str">
        <f t="shared" si="276"/>
        <v/>
      </c>
      <c r="V3504" s="215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7" t="str">
        <f t="shared" si="276"/>
        <v/>
      </c>
      <c r="V3505" s="215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7" t="str">
        <f t="shared" si="276"/>
        <v/>
      </c>
      <c r="V3506" s="215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7" t="str">
        <f t="shared" si="276"/>
        <v/>
      </c>
      <c r="V3507" s="215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7" t="str">
        <f t="shared" si="276"/>
        <v/>
      </c>
      <c r="V3508" s="215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7" t="str">
        <f t="shared" si="276"/>
        <v/>
      </c>
      <c r="V3509" s="215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7" t="str">
        <f t="shared" si="276"/>
        <v/>
      </c>
      <c r="V3510" s="215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7" t="str">
        <f t="shared" si="276"/>
        <v/>
      </c>
      <c r="V3511" s="215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7" t="str">
        <f t="shared" si="276"/>
        <v/>
      </c>
      <c r="V3512" s="215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7" t="str">
        <f t="shared" si="276"/>
        <v/>
      </c>
      <c r="V3513" s="215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7" t="str">
        <f t="shared" si="276"/>
        <v/>
      </c>
      <c r="V3514" s="215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7" t="str">
        <f t="shared" si="276"/>
        <v/>
      </c>
      <c r="V3515" s="215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7" t="str">
        <f t="shared" si="276"/>
        <v/>
      </c>
      <c r="V3516" s="215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7" t="str">
        <f t="shared" si="276"/>
        <v/>
      </c>
      <c r="V3517" s="215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7" t="str">
        <f t="shared" si="276"/>
        <v/>
      </c>
      <c r="V3518" s="215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7" t="str">
        <f t="shared" si="276"/>
        <v/>
      </c>
      <c r="V3519" s="215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7" t="str">
        <f t="shared" si="276"/>
        <v/>
      </c>
      <c r="V3520" s="215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7" t="str">
        <f t="shared" si="276"/>
        <v/>
      </c>
      <c r="V3521" s="215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7" t="str">
        <f t="shared" ref="U3522:U3585" si="281">IF(OR($D3522="",$H3522=""),"",ROUND($D3522+$H3522,2))</f>
        <v/>
      </c>
      <c r="V3522" s="215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7" t="str">
        <f t="shared" si="281"/>
        <v/>
      </c>
      <c r="V3523" s="215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7" t="str">
        <f t="shared" si="281"/>
        <v/>
      </c>
      <c r="V3524" s="215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7" t="str">
        <f t="shared" si="281"/>
        <v/>
      </c>
      <c r="V3525" s="215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7" t="str">
        <f t="shared" si="281"/>
        <v/>
      </c>
      <c r="V3526" s="215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7" t="str">
        <f t="shared" si="281"/>
        <v/>
      </c>
      <c r="V3527" s="215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7" t="str">
        <f t="shared" si="281"/>
        <v/>
      </c>
      <c r="V3528" s="215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7" t="str">
        <f t="shared" si="281"/>
        <v/>
      </c>
      <c r="V3529" s="215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7" t="str">
        <f t="shared" si="281"/>
        <v/>
      </c>
      <c r="V3530" s="215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7" t="str">
        <f t="shared" si="281"/>
        <v/>
      </c>
      <c r="V3531" s="215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7" t="str">
        <f t="shared" si="281"/>
        <v/>
      </c>
      <c r="V3532" s="215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7" t="str">
        <f t="shared" si="281"/>
        <v/>
      </c>
      <c r="V3533" s="215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7" t="str">
        <f t="shared" si="281"/>
        <v/>
      </c>
      <c r="V3534" s="215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7" t="str">
        <f t="shared" si="281"/>
        <v/>
      </c>
      <c r="V3535" s="215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7" t="str">
        <f t="shared" si="281"/>
        <v/>
      </c>
      <c r="V3536" s="215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7" t="str">
        <f t="shared" si="281"/>
        <v/>
      </c>
      <c r="V3537" s="215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7" t="str">
        <f t="shared" si="281"/>
        <v/>
      </c>
      <c r="V3538" s="215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7" t="str">
        <f t="shared" si="281"/>
        <v/>
      </c>
      <c r="V3539" s="215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7" t="str">
        <f t="shared" si="281"/>
        <v/>
      </c>
      <c r="V3540" s="215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7" t="str">
        <f t="shared" si="281"/>
        <v/>
      </c>
      <c r="V3541" s="215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7" t="str">
        <f t="shared" si="281"/>
        <v/>
      </c>
      <c r="V3542" s="215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7" t="str">
        <f t="shared" si="281"/>
        <v/>
      </c>
      <c r="V3543" s="215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7" t="str">
        <f t="shared" si="281"/>
        <v/>
      </c>
      <c r="V3544" s="215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7" t="str">
        <f t="shared" si="281"/>
        <v/>
      </c>
      <c r="V3545" s="215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7" t="str">
        <f t="shared" si="281"/>
        <v/>
      </c>
      <c r="V3546" s="215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7" t="str">
        <f t="shared" si="281"/>
        <v/>
      </c>
      <c r="V3547" s="215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7" t="str">
        <f t="shared" si="281"/>
        <v/>
      </c>
      <c r="V3548" s="215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7" t="str">
        <f t="shared" si="281"/>
        <v/>
      </c>
      <c r="V3549" s="215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7" t="str">
        <f t="shared" si="281"/>
        <v/>
      </c>
      <c r="V3550" s="215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7" t="str">
        <f t="shared" si="281"/>
        <v/>
      </c>
      <c r="V3551" s="215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7" t="str">
        <f t="shared" si="281"/>
        <v/>
      </c>
      <c r="V3552" s="215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7" t="str">
        <f t="shared" si="281"/>
        <v/>
      </c>
      <c r="V3553" s="215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7" t="str">
        <f t="shared" si="281"/>
        <v/>
      </c>
      <c r="V3554" s="215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7" t="str">
        <f t="shared" si="281"/>
        <v/>
      </c>
      <c r="V3555" s="215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7" t="str">
        <f t="shared" si="281"/>
        <v/>
      </c>
      <c r="V3556" s="215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7" t="str">
        <f t="shared" si="281"/>
        <v/>
      </c>
      <c r="V3557" s="215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7" t="str">
        <f t="shared" si="281"/>
        <v/>
      </c>
      <c r="V3558" s="215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7" t="str">
        <f t="shared" si="281"/>
        <v/>
      </c>
      <c r="V3559" s="215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7" t="str">
        <f t="shared" si="281"/>
        <v/>
      </c>
      <c r="V3560" s="215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7" t="str">
        <f t="shared" si="281"/>
        <v/>
      </c>
      <c r="V3561" s="215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7" t="str">
        <f t="shared" si="281"/>
        <v/>
      </c>
      <c r="V3562" s="215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7" t="str">
        <f t="shared" si="281"/>
        <v/>
      </c>
      <c r="V3563" s="215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7" t="str">
        <f t="shared" si="281"/>
        <v/>
      </c>
      <c r="V3564" s="215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7" t="str">
        <f t="shared" si="281"/>
        <v/>
      </c>
      <c r="V3565" s="215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7" t="str">
        <f t="shared" si="281"/>
        <v/>
      </c>
      <c r="V3566" s="215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7" t="str">
        <f t="shared" si="281"/>
        <v/>
      </c>
      <c r="V3567" s="215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7" t="str">
        <f t="shared" si="281"/>
        <v/>
      </c>
      <c r="V3568" s="215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7" t="str">
        <f t="shared" si="281"/>
        <v/>
      </c>
      <c r="V3569" s="215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7" t="str">
        <f t="shared" si="281"/>
        <v/>
      </c>
      <c r="V3570" s="215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7" t="str">
        <f t="shared" si="281"/>
        <v/>
      </c>
      <c r="V3571" s="215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7" t="str">
        <f t="shared" si="281"/>
        <v/>
      </c>
      <c r="V3572" s="215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7" t="str">
        <f t="shared" si="281"/>
        <v/>
      </c>
      <c r="V3573" s="215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7" t="str">
        <f t="shared" si="281"/>
        <v/>
      </c>
      <c r="V3574" s="215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7" t="str">
        <f t="shared" si="281"/>
        <v/>
      </c>
      <c r="V3575" s="215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7" t="str">
        <f t="shared" si="281"/>
        <v/>
      </c>
      <c r="V3576" s="215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7" t="str">
        <f t="shared" si="281"/>
        <v/>
      </c>
      <c r="V3577" s="215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7" t="str">
        <f t="shared" si="281"/>
        <v/>
      </c>
      <c r="V3578" s="215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7" t="str">
        <f t="shared" si="281"/>
        <v/>
      </c>
      <c r="V3579" s="215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7" t="str">
        <f t="shared" si="281"/>
        <v/>
      </c>
      <c r="V3580" s="215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7" t="str">
        <f t="shared" si="281"/>
        <v/>
      </c>
      <c r="V3581" s="215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7" t="str">
        <f t="shared" si="281"/>
        <v/>
      </c>
      <c r="V3582" s="215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7" t="str">
        <f t="shared" si="281"/>
        <v/>
      </c>
      <c r="V3583" s="215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7" t="str">
        <f t="shared" si="281"/>
        <v/>
      </c>
      <c r="V3584" s="215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7" t="str">
        <f t="shared" si="281"/>
        <v/>
      </c>
      <c r="V3585" s="215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7" t="str">
        <f t="shared" ref="U3586:U3649" si="286">IF(OR($D3586="",$H3586=""),"",ROUND($D3586+$H3586,2))</f>
        <v/>
      </c>
      <c r="V3586" s="215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7" t="str">
        <f t="shared" si="286"/>
        <v/>
      </c>
      <c r="V3587" s="215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7" t="str">
        <f t="shared" si="286"/>
        <v/>
      </c>
      <c r="V3588" s="215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7" t="str">
        <f t="shared" si="286"/>
        <v/>
      </c>
      <c r="V3589" s="215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7" t="str">
        <f t="shared" si="286"/>
        <v/>
      </c>
      <c r="V3590" s="215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7" t="str">
        <f t="shared" si="286"/>
        <v/>
      </c>
      <c r="V3591" s="215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7" t="str">
        <f t="shared" si="286"/>
        <v/>
      </c>
      <c r="V3592" s="215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7" t="str">
        <f t="shared" si="286"/>
        <v/>
      </c>
      <c r="V3593" s="215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7" t="str">
        <f t="shared" si="286"/>
        <v/>
      </c>
      <c r="V3594" s="215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7" t="str">
        <f t="shared" si="286"/>
        <v/>
      </c>
      <c r="V3595" s="215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7" t="str">
        <f t="shared" si="286"/>
        <v/>
      </c>
      <c r="V3596" s="215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7" t="str">
        <f t="shared" si="286"/>
        <v/>
      </c>
      <c r="V3597" s="215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7" t="str">
        <f t="shared" si="286"/>
        <v/>
      </c>
      <c r="V3598" s="215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7" t="str">
        <f t="shared" si="286"/>
        <v/>
      </c>
      <c r="V3599" s="215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7" t="str">
        <f t="shared" si="286"/>
        <v/>
      </c>
      <c r="V3600" s="215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7" t="str">
        <f t="shared" si="286"/>
        <v/>
      </c>
      <c r="V3601" s="215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7" t="str">
        <f t="shared" si="286"/>
        <v/>
      </c>
      <c r="V3602" s="215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7" t="str">
        <f t="shared" si="286"/>
        <v/>
      </c>
      <c r="V3603" s="215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7" t="str">
        <f t="shared" si="286"/>
        <v/>
      </c>
      <c r="V3604" s="215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7" t="str">
        <f t="shared" si="286"/>
        <v/>
      </c>
      <c r="V3605" s="215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7" t="str">
        <f t="shared" si="286"/>
        <v/>
      </c>
      <c r="V3606" s="215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7" t="str">
        <f t="shared" si="286"/>
        <v/>
      </c>
      <c r="V3607" s="215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7" t="str">
        <f t="shared" si="286"/>
        <v/>
      </c>
      <c r="V3608" s="215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7" t="str">
        <f t="shared" si="286"/>
        <v/>
      </c>
      <c r="V3609" s="215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7" t="str">
        <f t="shared" si="286"/>
        <v/>
      </c>
      <c r="V3610" s="215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7" t="str">
        <f t="shared" si="286"/>
        <v/>
      </c>
      <c r="V3611" s="215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7" t="str">
        <f t="shared" si="286"/>
        <v/>
      </c>
      <c r="V3612" s="215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7" t="str">
        <f t="shared" si="286"/>
        <v/>
      </c>
      <c r="V3613" s="215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7" t="str">
        <f t="shared" si="286"/>
        <v/>
      </c>
      <c r="V3614" s="215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7" t="str">
        <f t="shared" si="286"/>
        <v/>
      </c>
      <c r="V3615" s="215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7" t="str">
        <f t="shared" si="286"/>
        <v/>
      </c>
      <c r="V3616" s="215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7" t="str">
        <f t="shared" si="286"/>
        <v/>
      </c>
      <c r="V3617" s="215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7" t="str">
        <f t="shared" si="286"/>
        <v/>
      </c>
      <c r="V3618" s="215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7" t="str">
        <f t="shared" si="286"/>
        <v/>
      </c>
      <c r="V3619" s="215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7" t="str">
        <f t="shared" si="286"/>
        <v/>
      </c>
      <c r="V3620" s="215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7" t="str">
        <f t="shared" si="286"/>
        <v/>
      </c>
      <c r="V3621" s="215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7" t="str">
        <f t="shared" si="286"/>
        <v/>
      </c>
      <c r="V3622" s="215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7" t="str">
        <f t="shared" si="286"/>
        <v/>
      </c>
      <c r="V3623" s="215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7" t="str">
        <f t="shared" si="286"/>
        <v/>
      </c>
      <c r="V3624" s="215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7" t="str">
        <f t="shared" si="286"/>
        <v/>
      </c>
      <c r="V3625" s="215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7" t="str">
        <f t="shared" si="286"/>
        <v/>
      </c>
      <c r="V3626" s="215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7" t="str">
        <f t="shared" si="286"/>
        <v/>
      </c>
      <c r="V3627" s="215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7" t="str">
        <f t="shared" si="286"/>
        <v/>
      </c>
      <c r="V3628" s="215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7" t="str">
        <f t="shared" si="286"/>
        <v/>
      </c>
      <c r="V3629" s="215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7" t="str">
        <f t="shared" si="286"/>
        <v/>
      </c>
      <c r="V3630" s="215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7" t="str">
        <f t="shared" si="286"/>
        <v/>
      </c>
      <c r="V3631" s="215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7" t="str">
        <f t="shared" si="286"/>
        <v/>
      </c>
      <c r="V3632" s="215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7" t="str">
        <f t="shared" si="286"/>
        <v/>
      </c>
      <c r="V3633" s="215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7" t="str">
        <f t="shared" si="286"/>
        <v/>
      </c>
      <c r="V3634" s="215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7" t="str">
        <f t="shared" si="286"/>
        <v/>
      </c>
      <c r="V3635" s="215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7" t="str">
        <f t="shared" si="286"/>
        <v/>
      </c>
      <c r="V3636" s="215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7" t="str">
        <f t="shared" si="286"/>
        <v/>
      </c>
      <c r="V3637" s="215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7" t="str">
        <f t="shared" si="286"/>
        <v/>
      </c>
      <c r="V3638" s="215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7" t="str">
        <f t="shared" si="286"/>
        <v/>
      </c>
      <c r="V3639" s="215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7" t="str">
        <f t="shared" si="286"/>
        <v/>
      </c>
      <c r="V3640" s="215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7" t="str">
        <f t="shared" si="286"/>
        <v/>
      </c>
      <c r="V3641" s="215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7" t="str">
        <f t="shared" si="286"/>
        <v/>
      </c>
      <c r="V3642" s="215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7" t="str">
        <f t="shared" si="286"/>
        <v/>
      </c>
      <c r="V3643" s="215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7" t="str">
        <f t="shared" si="286"/>
        <v/>
      </c>
      <c r="V3644" s="215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7" t="str">
        <f t="shared" si="286"/>
        <v/>
      </c>
      <c r="V3645" s="215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7" t="str">
        <f t="shared" si="286"/>
        <v/>
      </c>
      <c r="V3646" s="215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7" t="str">
        <f t="shared" si="286"/>
        <v/>
      </c>
      <c r="V3647" s="215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7" t="str">
        <f t="shared" si="286"/>
        <v/>
      </c>
      <c r="V3648" s="215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7" t="str">
        <f t="shared" si="286"/>
        <v/>
      </c>
      <c r="V3649" s="215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7" t="str">
        <f t="shared" ref="U3650:U3713" si="291">IF(OR($D3650="",$H3650=""),"",ROUND($D3650+$H3650,2))</f>
        <v/>
      </c>
      <c r="V3650" s="215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7" t="str">
        <f t="shared" si="291"/>
        <v/>
      </c>
      <c r="V3651" s="215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7" t="str">
        <f t="shared" si="291"/>
        <v/>
      </c>
      <c r="V3652" s="215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7" t="str">
        <f t="shared" si="291"/>
        <v/>
      </c>
      <c r="V3653" s="215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7" t="str">
        <f t="shared" si="291"/>
        <v/>
      </c>
      <c r="V3654" s="215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7" t="str">
        <f t="shared" si="291"/>
        <v/>
      </c>
      <c r="V3655" s="215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7" t="str">
        <f t="shared" si="291"/>
        <v/>
      </c>
      <c r="V3656" s="215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7" t="str">
        <f t="shared" si="291"/>
        <v/>
      </c>
      <c r="V3657" s="215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7" t="str">
        <f t="shared" si="291"/>
        <v/>
      </c>
      <c r="V3658" s="215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7" t="str">
        <f t="shared" si="291"/>
        <v/>
      </c>
      <c r="V3659" s="215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7" t="str">
        <f t="shared" si="291"/>
        <v/>
      </c>
      <c r="V3660" s="215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7" t="str">
        <f t="shared" si="291"/>
        <v/>
      </c>
      <c r="V3661" s="215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7" t="str">
        <f t="shared" si="291"/>
        <v/>
      </c>
      <c r="V3662" s="215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7" t="str">
        <f t="shared" si="291"/>
        <v/>
      </c>
      <c r="V3663" s="215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7" t="str">
        <f t="shared" si="291"/>
        <v/>
      </c>
      <c r="V3664" s="215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7" t="str">
        <f t="shared" si="291"/>
        <v/>
      </c>
      <c r="V3665" s="215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7" t="str">
        <f t="shared" si="291"/>
        <v/>
      </c>
      <c r="V3666" s="215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7" t="str">
        <f t="shared" si="291"/>
        <v/>
      </c>
      <c r="V3667" s="215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7" t="str">
        <f t="shared" si="291"/>
        <v/>
      </c>
      <c r="V3668" s="215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7" t="str">
        <f t="shared" si="291"/>
        <v/>
      </c>
      <c r="V3669" s="215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7" t="str">
        <f t="shared" si="291"/>
        <v/>
      </c>
      <c r="V3670" s="215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7" t="str">
        <f t="shared" si="291"/>
        <v/>
      </c>
      <c r="V3671" s="215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7" t="str">
        <f t="shared" si="291"/>
        <v/>
      </c>
      <c r="V3672" s="215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7" t="str">
        <f t="shared" si="291"/>
        <v/>
      </c>
      <c r="V3673" s="215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7" t="str">
        <f t="shared" si="291"/>
        <v/>
      </c>
      <c r="V3674" s="215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7" t="str">
        <f t="shared" si="291"/>
        <v/>
      </c>
      <c r="V3675" s="215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7" t="str">
        <f t="shared" si="291"/>
        <v/>
      </c>
      <c r="V3676" s="215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7" t="str">
        <f t="shared" si="291"/>
        <v/>
      </c>
      <c r="V3677" s="215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7" t="str">
        <f t="shared" si="291"/>
        <v/>
      </c>
      <c r="V3678" s="215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7" t="str">
        <f t="shared" si="291"/>
        <v/>
      </c>
      <c r="V3679" s="215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7" t="str">
        <f t="shared" si="291"/>
        <v/>
      </c>
      <c r="V3680" s="215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7" t="str">
        <f t="shared" si="291"/>
        <v/>
      </c>
      <c r="V3681" s="215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7" t="str">
        <f t="shared" si="291"/>
        <v/>
      </c>
      <c r="V3682" s="215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7" t="str">
        <f t="shared" si="291"/>
        <v/>
      </c>
      <c r="V3683" s="215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7" t="str">
        <f t="shared" si="291"/>
        <v/>
      </c>
      <c r="V3684" s="215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7" t="str">
        <f t="shared" si="291"/>
        <v/>
      </c>
      <c r="V3685" s="215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7" t="str">
        <f t="shared" si="291"/>
        <v/>
      </c>
      <c r="V3686" s="215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7" t="str">
        <f t="shared" si="291"/>
        <v/>
      </c>
      <c r="V3687" s="215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7" t="str">
        <f t="shared" si="291"/>
        <v/>
      </c>
      <c r="V3688" s="215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7" t="str">
        <f t="shared" si="291"/>
        <v/>
      </c>
      <c r="V3689" s="215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7" t="str">
        <f t="shared" si="291"/>
        <v/>
      </c>
      <c r="V3690" s="215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7" t="str">
        <f t="shared" si="291"/>
        <v/>
      </c>
      <c r="V3691" s="215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7" t="str">
        <f t="shared" si="291"/>
        <v/>
      </c>
      <c r="V3692" s="215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7" t="str">
        <f t="shared" si="291"/>
        <v/>
      </c>
      <c r="V3693" s="215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7" t="str">
        <f t="shared" si="291"/>
        <v/>
      </c>
      <c r="V3694" s="215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7" t="str">
        <f t="shared" si="291"/>
        <v/>
      </c>
      <c r="V3695" s="215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7" t="str">
        <f t="shared" si="291"/>
        <v/>
      </c>
      <c r="V3696" s="215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7" t="str">
        <f t="shared" si="291"/>
        <v/>
      </c>
      <c r="V3697" s="215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7" t="str">
        <f t="shared" si="291"/>
        <v/>
      </c>
      <c r="V3698" s="215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7" t="str">
        <f t="shared" si="291"/>
        <v/>
      </c>
      <c r="V3699" s="215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7" t="str">
        <f t="shared" si="291"/>
        <v/>
      </c>
      <c r="V3700" s="215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7" t="str">
        <f t="shared" si="291"/>
        <v/>
      </c>
      <c r="V3701" s="215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7" t="str">
        <f t="shared" si="291"/>
        <v/>
      </c>
      <c r="V3702" s="215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7" t="str">
        <f t="shared" si="291"/>
        <v/>
      </c>
      <c r="V3703" s="215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7" t="str">
        <f t="shared" si="291"/>
        <v/>
      </c>
      <c r="V3704" s="215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7" t="str">
        <f t="shared" si="291"/>
        <v/>
      </c>
      <c r="V3705" s="215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7" t="str">
        <f t="shared" si="291"/>
        <v/>
      </c>
      <c r="V3706" s="215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7" t="str">
        <f t="shared" si="291"/>
        <v/>
      </c>
      <c r="V3707" s="215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7" t="str">
        <f t="shared" si="291"/>
        <v/>
      </c>
      <c r="V3708" s="215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7" t="str">
        <f t="shared" si="291"/>
        <v/>
      </c>
      <c r="V3709" s="215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7" t="str">
        <f t="shared" si="291"/>
        <v/>
      </c>
      <c r="V3710" s="215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7" t="str">
        <f t="shared" si="291"/>
        <v/>
      </c>
      <c r="V3711" s="215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7" t="str">
        <f t="shared" si="291"/>
        <v/>
      </c>
      <c r="V3712" s="215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7" t="str">
        <f t="shared" si="291"/>
        <v/>
      </c>
      <c r="V3713" s="215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7" t="str">
        <f t="shared" ref="U3714:U3777" si="296">IF(OR($D3714="",$H3714=""),"",ROUND($D3714+$H3714,2))</f>
        <v/>
      </c>
      <c r="V3714" s="215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7" t="str">
        <f t="shared" si="296"/>
        <v/>
      </c>
      <c r="V3715" s="215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7" t="str">
        <f t="shared" si="296"/>
        <v/>
      </c>
      <c r="V3716" s="215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7" t="str">
        <f t="shared" si="296"/>
        <v/>
      </c>
      <c r="V3717" s="215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7" t="str">
        <f t="shared" si="296"/>
        <v/>
      </c>
      <c r="V3718" s="215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7" t="str">
        <f t="shared" si="296"/>
        <v/>
      </c>
      <c r="V3719" s="215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7" t="str">
        <f t="shared" si="296"/>
        <v/>
      </c>
      <c r="V3720" s="215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7" t="str">
        <f t="shared" si="296"/>
        <v/>
      </c>
      <c r="V3721" s="215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7" t="str">
        <f t="shared" si="296"/>
        <v/>
      </c>
      <c r="V3722" s="215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7" t="str">
        <f t="shared" si="296"/>
        <v/>
      </c>
      <c r="V3723" s="215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7" t="str">
        <f t="shared" si="296"/>
        <v/>
      </c>
      <c r="V3724" s="215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7" t="str">
        <f t="shared" si="296"/>
        <v/>
      </c>
      <c r="V3725" s="215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7" t="str">
        <f t="shared" si="296"/>
        <v/>
      </c>
      <c r="V3726" s="215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7" t="str">
        <f t="shared" si="296"/>
        <v/>
      </c>
      <c r="V3727" s="215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7" t="str">
        <f t="shared" si="296"/>
        <v/>
      </c>
      <c r="V3728" s="215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7" t="str">
        <f t="shared" si="296"/>
        <v/>
      </c>
      <c r="V3729" s="215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7" t="str">
        <f t="shared" si="296"/>
        <v/>
      </c>
      <c r="V3730" s="215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7" t="str">
        <f t="shared" si="296"/>
        <v/>
      </c>
      <c r="V3731" s="215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7" t="str">
        <f t="shared" si="296"/>
        <v/>
      </c>
      <c r="V3732" s="215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7" t="str">
        <f t="shared" si="296"/>
        <v/>
      </c>
      <c r="V3733" s="215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7" t="str">
        <f t="shared" si="296"/>
        <v/>
      </c>
      <c r="V3734" s="215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7" t="str">
        <f t="shared" si="296"/>
        <v/>
      </c>
      <c r="V3735" s="215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7" t="str">
        <f t="shared" si="296"/>
        <v/>
      </c>
      <c r="V3736" s="215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7" t="str">
        <f t="shared" si="296"/>
        <v/>
      </c>
      <c r="V3737" s="215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7" t="str">
        <f t="shared" si="296"/>
        <v/>
      </c>
      <c r="V3738" s="215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7" t="str">
        <f t="shared" si="296"/>
        <v/>
      </c>
      <c r="V3739" s="215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7" t="str">
        <f t="shared" si="296"/>
        <v/>
      </c>
      <c r="V3740" s="215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7" t="str">
        <f t="shared" si="296"/>
        <v/>
      </c>
      <c r="V3741" s="215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7" t="str">
        <f t="shared" si="296"/>
        <v/>
      </c>
      <c r="V3742" s="215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7" t="str">
        <f t="shared" si="296"/>
        <v/>
      </c>
      <c r="V3743" s="215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7" t="str">
        <f t="shared" si="296"/>
        <v/>
      </c>
      <c r="V3744" s="215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7" t="str">
        <f t="shared" si="296"/>
        <v/>
      </c>
      <c r="V3745" s="215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7" t="str">
        <f t="shared" si="296"/>
        <v/>
      </c>
      <c r="V3746" s="215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7" t="str">
        <f t="shared" si="296"/>
        <v/>
      </c>
      <c r="V3747" s="215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7" t="str">
        <f t="shared" si="296"/>
        <v/>
      </c>
      <c r="V3748" s="215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7" t="str">
        <f t="shared" si="296"/>
        <v/>
      </c>
      <c r="V3749" s="215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7" t="str">
        <f t="shared" si="296"/>
        <v/>
      </c>
      <c r="V3750" s="215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7" t="str">
        <f t="shared" si="296"/>
        <v/>
      </c>
      <c r="V3751" s="215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7" t="str">
        <f t="shared" si="296"/>
        <v/>
      </c>
      <c r="V3752" s="215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7" t="str">
        <f t="shared" si="296"/>
        <v/>
      </c>
      <c r="V3753" s="215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7" t="str">
        <f t="shared" si="296"/>
        <v/>
      </c>
      <c r="V3754" s="215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7" t="str">
        <f t="shared" si="296"/>
        <v/>
      </c>
      <c r="V3755" s="215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7" t="str">
        <f t="shared" si="296"/>
        <v/>
      </c>
      <c r="V3756" s="215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7" t="str">
        <f t="shared" si="296"/>
        <v/>
      </c>
      <c r="V3757" s="215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7" t="str">
        <f t="shared" si="296"/>
        <v/>
      </c>
      <c r="V3758" s="215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7" t="str">
        <f t="shared" si="296"/>
        <v/>
      </c>
      <c r="V3759" s="215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7" t="str">
        <f t="shared" si="296"/>
        <v/>
      </c>
      <c r="V3760" s="215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7" t="str">
        <f t="shared" si="296"/>
        <v/>
      </c>
      <c r="V3761" s="215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7" t="str">
        <f t="shared" si="296"/>
        <v/>
      </c>
      <c r="V3762" s="215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7" t="str">
        <f t="shared" si="296"/>
        <v/>
      </c>
      <c r="V3763" s="215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7" t="str">
        <f t="shared" si="296"/>
        <v/>
      </c>
      <c r="V3764" s="215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7" t="str">
        <f t="shared" si="296"/>
        <v/>
      </c>
      <c r="V3765" s="215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7" t="str">
        <f t="shared" si="296"/>
        <v/>
      </c>
      <c r="V3766" s="215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7" t="str">
        <f t="shared" si="296"/>
        <v/>
      </c>
      <c r="V3767" s="215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7" t="str">
        <f t="shared" si="296"/>
        <v/>
      </c>
      <c r="V3768" s="215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7" t="str">
        <f t="shared" si="296"/>
        <v/>
      </c>
      <c r="V3769" s="215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7" t="str">
        <f t="shared" si="296"/>
        <v/>
      </c>
      <c r="V3770" s="215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7" t="str">
        <f t="shared" si="296"/>
        <v/>
      </c>
      <c r="V3771" s="215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7" t="str">
        <f t="shared" si="296"/>
        <v/>
      </c>
      <c r="V3772" s="215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7" t="str">
        <f t="shared" si="296"/>
        <v/>
      </c>
      <c r="V3773" s="215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7" t="str">
        <f t="shared" si="296"/>
        <v/>
      </c>
      <c r="V3774" s="215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7" t="str">
        <f t="shared" si="296"/>
        <v/>
      </c>
      <c r="V3775" s="215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7" t="str">
        <f t="shared" si="296"/>
        <v/>
      </c>
      <c r="V3776" s="215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7" t="str">
        <f t="shared" si="296"/>
        <v/>
      </c>
      <c r="V3777" s="215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7" t="str">
        <f t="shared" ref="U3778:U3841" si="301">IF(OR($D3778="",$H3778=""),"",ROUND($D3778+$H3778,2))</f>
        <v/>
      </c>
      <c r="V3778" s="215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7" t="str">
        <f t="shared" si="301"/>
        <v/>
      </c>
      <c r="V3779" s="215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7" t="str">
        <f t="shared" si="301"/>
        <v/>
      </c>
      <c r="V3780" s="215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7" t="str">
        <f t="shared" si="301"/>
        <v/>
      </c>
      <c r="V3781" s="215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7" t="str">
        <f t="shared" si="301"/>
        <v/>
      </c>
      <c r="V3782" s="215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7" t="str">
        <f t="shared" si="301"/>
        <v/>
      </c>
      <c r="V3783" s="215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7" t="str">
        <f t="shared" si="301"/>
        <v/>
      </c>
      <c r="V3784" s="215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7" t="str">
        <f t="shared" si="301"/>
        <v/>
      </c>
      <c r="V3785" s="215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7" t="str">
        <f t="shared" si="301"/>
        <v/>
      </c>
      <c r="V3786" s="215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7" t="str">
        <f t="shared" si="301"/>
        <v/>
      </c>
      <c r="V3787" s="215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7" t="str">
        <f t="shared" si="301"/>
        <v/>
      </c>
      <c r="V3788" s="215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7" t="str">
        <f t="shared" si="301"/>
        <v/>
      </c>
      <c r="V3789" s="215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7" t="str">
        <f t="shared" si="301"/>
        <v/>
      </c>
      <c r="V3790" s="215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7" t="str">
        <f t="shared" si="301"/>
        <v/>
      </c>
      <c r="V3791" s="215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7" t="str">
        <f t="shared" si="301"/>
        <v/>
      </c>
      <c r="V3792" s="215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7" t="str">
        <f t="shared" si="301"/>
        <v/>
      </c>
      <c r="V3793" s="215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7" t="str">
        <f t="shared" si="301"/>
        <v/>
      </c>
      <c r="V3794" s="215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7" t="str">
        <f t="shared" si="301"/>
        <v/>
      </c>
      <c r="V3795" s="215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7" t="str">
        <f t="shared" si="301"/>
        <v/>
      </c>
      <c r="V3796" s="215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7" t="str">
        <f t="shared" si="301"/>
        <v/>
      </c>
      <c r="V3797" s="215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7" t="str">
        <f t="shared" si="301"/>
        <v/>
      </c>
      <c r="V3798" s="215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7" t="str">
        <f t="shared" si="301"/>
        <v/>
      </c>
      <c r="V3799" s="215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7" t="str">
        <f t="shared" si="301"/>
        <v/>
      </c>
      <c r="V3800" s="215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7" t="str">
        <f t="shared" si="301"/>
        <v/>
      </c>
      <c r="V3801" s="215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7" t="str">
        <f t="shared" si="301"/>
        <v/>
      </c>
      <c r="V3802" s="215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7" t="str">
        <f t="shared" si="301"/>
        <v/>
      </c>
      <c r="V3803" s="215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7" t="str">
        <f t="shared" si="301"/>
        <v/>
      </c>
      <c r="V3804" s="215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7" t="str">
        <f t="shared" si="301"/>
        <v/>
      </c>
      <c r="V3805" s="215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7" t="str">
        <f t="shared" si="301"/>
        <v/>
      </c>
      <c r="V3806" s="215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7" t="str">
        <f t="shared" si="301"/>
        <v/>
      </c>
      <c r="V3807" s="215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7" t="str">
        <f t="shared" si="301"/>
        <v/>
      </c>
      <c r="V3808" s="215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7" t="str">
        <f t="shared" si="301"/>
        <v/>
      </c>
      <c r="V3809" s="215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7" t="str">
        <f t="shared" si="301"/>
        <v/>
      </c>
      <c r="V3810" s="215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7" t="str">
        <f t="shared" si="301"/>
        <v/>
      </c>
      <c r="V3811" s="215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7" t="str">
        <f t="shared" si="301"/>
        <v/>
      </c>
      <c r="V3812" s="215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7" t="str">
        <f t="shared" si="301"/>
        <v/>
      </c>
      <c r="V3813" s="215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7" t="str">
        <f t="shared" si="301"/>
        <v/>
      </c>
      <c r="V3814" s="215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7" t="str">
        <f t="shared" si="301"/>
        <v/>
      </c>
      <c r="V3815" s="215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7" t="str">
        <f t="shared" si="301"/>
        <v/>
      </c>
      <c r="V3816" s="215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7" t="str">
        <f t="shared" si="301"/>
        <v/>
      </c>
      <c r="V3817" s="215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7" t="str">
        <f t="shared" si="301"/>
        <v/>
      </c>
      <c r="V3818" s="215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7" t="str">
        <f t="shared" si="301"/>
        <v/>
      </c>
      <c r="V3819" s="215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7" t="str">
        <f t="shared" si="301"/>
        <v/>
      </c>
      <c r="V3820" s="215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7" t="str">
        <f t="shared" si="301"/>
        <v/>
      </c>
      <c r="V3821" s="215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7" t="str">
        <f t="shared" si="301"/>
        <v/>
      </c>
      <c r="V3822" s="215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7" t="str">
        <f t="shared" si="301"/>
        <v/>
      </c>
      <c r="V3823" s="215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7" t="str">
        <f t="shared" si="301"/>
        <v/>
      </c>
      <c r="V3824" s="215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7" t="str">
        <f t="shared" si="301"/>
        <v/>
      </c>
      <c r="V3825" s="215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7" t="str">
        <f t="shared" si="301"/>
        <v/>
      </c>
      <c r="V3826" s="215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7" t="str">
        <f t="shared" si="301"/>
        <v/>
      </c>
      <c r="V3827" s="215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7" t="str">
        <f t="shared" si="301"/>
        <v/>
      </c>
      <c r="V3828" s="215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7" t="str">
        <f t="shared" si="301"/>
        <v/>
      </c>
      <c r="V3829" s="215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7" t="str">
        <f t="shared" si="301"/>
        <v/>
      </c>
      <c r="V3830" s="215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7" t="str">
        <f t="shared" si="301"/>
        <v/>
      </c>
      <c r="V3831" s="215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7" t="str">
        <f t="shared" si="301"/>
        <v/>
      </c>
      <c r="V3832" s="215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7" t="str">
        <f t="shared" si="301"/>
        <v/>
      </c>
      <c r="V3833" s="215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7" t="str">
        <f t="shared" si="301"/>
        <v/>
      </c>
      <c r="V3834" s="215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7" t="str">
        <f t="shared" si="301"/>
        <v/>
      </c>
      <c r="V3835" s="215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7" t="str">
        <f t="shared" si="301"/>
        <v/>
      </c>
      <c r="V3836" s="215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7" t="str">
        <f t="shared" si="301"/>
        <v/>
      </c>
      <c r="V3837" s="215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7" t="str">
        <f t="shared" si="301"/>
        <v/>
      </c>
      <c r="V3838" s="215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7" t="str">
        <f t="shared" si="301"/>
        <v/>
      </c>
      <c r="V3839" s="215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7" t="str">
        <f t="shared" si="301"/>
        <v/>
      </c>
      <c r="V3840" s="215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7" t="str">
        <f t="shared" si="301"/>
        <v/>
      </c>
      <c r="V3841" s="215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7" t="str">
        <f t="shared" ref="U3842:U3905" si="306">IF(OR($D3842="",$H3842=""),"",ROUND($D3842+$H3842,2))</f>
        <v/>
      </c>
      <c r="V3842" s="215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7" t="str">
        <f t="shared" si="306"/>
        <v/>
      </c>
      <c r="V3843" s="215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7" t="str">
        <f t="shared" si="306"/>
        <v/>
      </c>
      <c r="V3844" s="215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7" t="str">
        <f t="shared" si="306"/>
        <v/>
      </c>
      <c r="V3845" s="215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7" t="str">
        <f t="shared" si="306"/>
        <v/>
      </c>
      <c r="V3846" s="215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7" t="str">
        <f t="shared" si="306"/>
        <v/>
      </c>
      <c r="V3847" s="215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7" t="str">
        <f t="shared" si="306"/>
        <v/>
      </c>
      <c r="V3848" s="215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7" t="str">
        <f t="shared" si="306"/>
        <v/>
      </c>
      <c r="V3849" s="215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7" t="str">
        <f t="shared" si="306"/>
        <v/>
      </c>
      <c r="V3850" s="215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7" t="str">
        <f t="shared" si="306"/>
        <v/>
      </c>
      <c r="V3851" s="215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7" t="str">
        <f t="shared" si="306"/>
        <v/>
      </c>
      <c r="V3852" s="215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7" t="str">
        <f t="shared" si="306"/>
        <v/>
      </c>
      <c r="V3853" s="215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7" t="str">
        <f t="shared" si="306"/>
        <v/>
      </c>
      <c r="V3854" s="215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7" t="str">
        <f t="shared" si="306"/>
        <v/>
      </c>
      <c r="V3855" s="215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7" t="str">
        <f t="shared" si="306"/>
        <v/>
      </c>
      <c r="V3856" s="215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7" t="str">
        <f t="shared" si="306"/>
        <v/>
      </c>
      <c r="V3857" s="215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7" t="str">
        <f t="shared" si="306"/>
        <v/>
      </c>
      <c r="V3858" s="215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7" t="str">
        <f t="shared" si="306"/>
        <v/>
      </c>
      <c r="V3859" s="215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7" t="str">
        <f t="shared" si="306"/>
        <v/>
      </c>
      <c r="V3860" s="215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7" t="str">
        <f t="shared" si="306"/>
        <v/>
      </c>
      <c r="V3861" s="215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7" t="str">
        <f t="shared" si="306"/>
        <v/>
      </c>
      <c r="V3862" s="215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7" t="str">
        <f t="shared" si="306"/>
        <v/>
      </c>
      <c r="V3863" s="215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7" t="str">
        <f t="shared" si="306"/>
        <v/>
      </c>
      <c r="V3864" s="215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7" t="str">
        <f t="shared" si="306"/>
        <v/>
      </c>
      <c r="V3865" s="215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7" t="str">
        <f t="shared" si="306"/>
        <v/>
      </c>
      <c r="V3866" s="215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7" t="str">
        <f t="shared" si="306"/>
        <v/>
      </c>
      <c r="V3867" s="215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7" t="str">
        <f t="shared" si="306"/>
        <v/>
      </c>
      <c r="V3868" s="215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7" t="str">
        <f t="shared" si="306"/>
        <v/>
      </c>
      <c r="V3869" s="215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7" t="str">
        <f t="shared" si="306"/>
        <v/>
      </c>
      <c r="V3870" s="215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7" t="str">
        <f t="shared" si="306"/>
        <v/>
      </c>
      <c r="V3871" s="215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7" t="str">
        <f t="shared" si="306"/>
        <v/>
      </c>
      <c r="V3872" s="215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7" t="str">
        <f t="shared" si="306"/>
        <v/>
      </c>
      <c r="V3873" s="215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7" t="str">
        <f t="shared" si="306"/>
        <v/>
      </c>
      <c r="V3874" s="215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7" t="str">
        <f t="shared" si="306"/>
        <v/>
      </c>
      <c r="V3875" s="215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7" t="str">
        <f t="shared" si="306"/>
        <v/>
      </c>
      <c r="V3876" s="215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7" t="str">
        <f t="shared" si="306"/>
        <v/>
      </c>
      <c r="V3877" s="215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7" t="str">
        <f t="shared" si="306"/>
        <v/>
      </c>
      <c r="V3878" s="215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7" t="str">
        <f t="shared" si="306"/>
        <v/>
      </c>
      <c r="V3879" s="215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7" t="str">
        <f t="shared" si="306"/>
        <v/>
      </c>
      <c r="V3880" s="215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7" t="str">
        <f t="shared" si="306"/>
        <v/>
      </c>
      <c r="V3881" s="215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7" t="str">
        <f t="shared" si="306"/>
        <v/>
      </c>
      <c r="V3882" s="215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7" t="str">
        <f t="shared" si="306"/>
        <v/>
      </c>
      <c r="V3883" s="215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7" t="str">
        <f t="shared" si="306"/>
        <v/>
      </c>
      <c r="V3884" s="215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7" t="str">
        <f t="shared" si="306"/>
        <v/>
      </c>
      <c r="V3885" s="215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7" t="str">
        <f t="shared" si="306"/>
        <v/>
      </c>
      <c r="V3886" s="215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7" t="str">
        <f t="shared" si="306"/>
        <v/>
      </c>
      <c r="V3887" s="215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7" t="str">
        <f t="shared" si="306"/>
        <v/>
      </c>
      <c r="V3888" s="215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7" t="str">
        <f t="shared" si="306"/>
        <v/>
      </c>
      <c r="V3889" s="215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7" t="str">
        <f t="shared" si="306"/>
        <v/>
      </c>
      <c r="V3890" s="215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7" t="str">
        <f t="shared" si="306"/>
        <v/>
      </c>
      <c r="V3891" s="215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7" t="str">
        <f t="shared" si="306"/>
        <v/>
      </c>
      <c r="V3892" s="215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7" t="str">
        <f t="shared" si="306"/>
        <v/>
      </c>
      <c r="V3893" s="215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7" t="str">
        <f t="shared" si="306"/>
        <v/>
      </c>
      <c r="V3894" s="215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7" t="str">
        <f t="shared" si="306"/>
        <v/>
      </c>
      <c r="V3895" s="215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7" t="str">
        <f t="shared" si="306"/>
        <v/>
      </c>
      <c r="V3896" s="215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7" t="str">
        <f t="shared" si="306"/>
        <v/>
      </c>
      <c r="V3897" s="215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7" t="str">
        <f t="shared" si="306"/>
        <v/>
      </c>
      <c r="V3898" s="215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7" t="str">
        <f t="shared" si="306"/>
        <v/>
      </c>
      <c r="V3899" s="215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7" t="str">
        <f t="shared" si="306"/>
        <v/>
      </c>
      <c r="V3900" s="215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7" t="str">
        <f t="shared" si="306"/>
        <v/>
      </c>
      <c r="V3901" s="215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7" t="str">
        <f t="shared" si="306"/>
        <v/>
      </c>
      <c r="V3902" s="215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7" t="str">
        <f t="shared" si="306"/>
        <v/>
      </c>
      <c r="V3903" s="215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7" t="str">
        <f t="shared" si="306"/>
        <v/>
      </c>
      <c r="V3904" s="215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7" t="str">
        <f t="shared" si="306"/>
        <v/>
      </c>
      <c r="V3905" s="215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7" t="str">
        <f t="shared" ref="U3906:U3969" si="311">IF(OR($D3906="",$H3906=""),"",ROUND($D3906+$H3906,2))</f>
        <v/>
      </c>
      <c r="V3906" s="215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7" t="str">
        <f t="shared" si="311"/>
        <v/>
      </c>
      <c r="V3907" s="215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7" t="str">
        <f t="shared" si="311"/>
        <v/>
      </c>
      <c r="V3908" s="215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7" t="str">
        <f t="shared" si="311"/>
        <v/>
      </c>
      <c r="V3909" s="215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7" t="str">
        <f t="shared" si="311"/>
        <v/>
      </c>
      <c r="V3910" s="215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7" t="str">
        <f t="shared" si="311"/>
        <v/>
      </c>
      <c r="V3911" s="215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7" t="str">
        <f t="shared" si="311"/>
        <v/>
      </c>
      <c r="V3912" s="215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7" t="str">
        <f t="shared" si="311"/>
        <v/>
      </c>
      <c r="V3913" s="215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7" t="str">
        <f t="shared" si="311"/>
        <v/>
      </c>
      <c r="V3914" s="215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7" t="str">
        <f t="shared" si="311"/>
        <v/>
      </c>
      <c r="V3915" s="215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7" t="str">
        <f t="shared" si="311"/>
        <v/>
      </c>
      <c r="V3916" s="215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7" t="str">
        <f t="shared" si="311"/>
        <v/>
      </c>
      <c r="V3917" s="215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7" t="str">
        <f t="shared" si="311"/>
        <v/>
      </c>
      <c r="V3918" s="215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7" t="str">
        <f t="shared" si="311"/>
        <v/>
      </c>
      <c r="V3919" s="215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7" t="str">
        <f t="shared" si="311"/>
        <v/>
      </c>
      <c r="V3920" s="215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7" t="str">
        <f t="shared" si="311"/>
        <v/>
      </c>
      <c r="V3921" s="215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7" t="str">
        <f t="shared" si="311"/>
        <v/>
      </c>
      <c r="V3922" s="215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7" t="str">
        <f t="shared" si="311"/>
        <v/>
      </c>
      <c r="V3923" s="215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7" t="str">
        <f t="shared" si="311"/>
        <v/>
      </c>
      <c r="V3924" s="215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7" t="str">
        <f t="shared" si="311"/>
        <v/>
      </c>
      <c r="V3925" s="215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7" t="str">
        <f t="shared" si="311"/>
        <v/>
      </c>
      <c r="V3926" s="215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7" t="str">
        <f t="shared" si="311"/>
        <v/>
      </c>
      <c r="V3927" s="215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7" t="str">
        <f t="shared" si="311"/>
        <v/>
      </c>
      <c r="V3928" s="215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7" t="str">
        <f t="shared" si="311"/>
        <v/>
      </c>
      <c r="V3929" s="215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7" t="str">
        <f t="shared" si="311"/>
        <v/>
      </c>
      <c r="V3930" s="215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7" t="str">
        <f t="shared" si="311"/>
        <v/>
      </c>
      <c r="V3931" s="215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7" t="str">
        <f t="shared" si="311"/>
        <v/>
      </c>
      <c r="V3932" s="215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7" t="str">
        <f t="shared" si="311"/>
        <v/>
      </c>
      <c r="V3933" s="215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7" t="str">
        <f t="shared" si="311"/>
        <v/>
      </c>
      <c r="V3934" s="215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7" t="str">
        <f t="shared" si="311"/>
        <v/>
      </c>
      <c r="V3935" s="215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7" t="str">
        <f t="shared" si="311"/>
        <v/>
      </c>
      <c r="V3936" s="215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7" t="str">
        <f t="shared" si="311"/>
        <v/>
      </c>
      <c r="V3937" s="215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7" t="str">
        <f t="shared" si="311"/>
        <v/>
      </c>
      <c r="V3938" s="215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7" t="str">
        <f t="shared" si="311"/>
        <v/>
      </c>
      <c r="V3939" s="215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7" t="str">
        <f t="shared" si="311"/>
        <v/>
      </c>
      <c r="V3940" s="215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7" t="str">
        <f t="shared" si="311"/>
        <v/>
      </c>
      <c r="V3941" s="215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7" t="str">
        <f t="shared" si="311"/>
        <v/>
      </c>
      <c r="V3942" s="215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7" t="str">
        <f t="shared" si="311"/>
        <v/>
      </c>
      <c r="V3943" s="215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7" t="str">
        <f t="shared" si="311"/>
        <v/>
      </c>
      <c r="V3944" s="215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7" t="str">
        <f t="shared" si="311"/>
        <v/>
      </c>
      <c r="V3945" s="215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7" t="str">
        <f t="shared" si="311"/>
        <v/>
      </c>
      <c r="V3946" s="215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7" t="str">
        <f t="shared" si="311"/>
        <v/>
      </c>
      <c r="V3947" s="215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7" t="str">
        <f t="shared" si="311"/>
        <v/>
      </c>
      <c r="V3948" s="215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7" t="str">
        <f t="shared" si="311"/>
        <v/>
      </c>
      <c r="V3949" s="215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7" t="str">
        <f t="shared" si="311"/>
        <v/>
      </c>
      <c r="V3950" s="215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7" t="str">
        <f t="shared" si="311"/>
        <v/>
      </c>
      <c r="V3951" s="215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7" t="str">
        <f t="shared" si="311"/>
        <v/>
      </c>
      <c r="V3952" s="215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7" t="str">
        <f t="shared" si="311"/>
        <v/>
      </c>
      <c r="V3953" s="215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7" t="str">
        <f t="shared" si="311"/>
        <v/>
      </c>
      <c r="V3954" s="215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7" t="str">
        <f t="shared" si="311"/>
        <v/>
      </c>
      <c r="V3955" s="215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7" t="str">
        <f t="shared" si="311"/>
        <v/>
      </c>
      <c r="V3956" s="215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7" t="str">
        <f t="shared" si="311"/>
        <v/>
      </c>
      <c r="V3957" s="215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7" t="str">
        <f t="shared" si="311"/>
        <v/>
      </c>
      <c r="V3958" s="215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7" t="str">
        <f t="shared" si="311"/>
        <v/>
      </c>
      <c r="V3959" s="215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7" t="str">
        <f t="shared" si="311"/>
        <v/>
      </c>
      <c r="V3960" s="215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7" t="str">
        <f t="shared" si="311"/>
        <v/>
      </c>
      <c r="V3961" s="215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7" t="str">
        <f t="shared" si="311"/>
        <v/>
      </c>
      <c r="V3962" s="215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7" t="str">
        <f t="shared" si="311"/>
        <v/>
      </c>
      <c r="V3963" s="215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7" t="str">
        <f t="shared" si="311"/>
        <v/>
      </c>
      <c r="V3964" s="215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7" t="str">
        <f t="shared" si="311"/>
        <v/>
      </c>
      <c r="V3965" s="215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7" t="str">
        <f t="shared" si="311"/>
        <v/>
      </c>
      <c r="V3966" s="215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7" t="str">
        <f t="shared" si="311"/>
        <v/>
      </c>
      <c r="V3967" s="215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7" t="str">
        <f t="shared" si="311"/>
        <v/>
      </c>
      <c r="V3968" s="215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7" t="str">
        <f t="shared" si="311"/>
        <v/>
      </c>
      <c r="V3969" s="215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7" t="str">
        <f t="shared" ref="U3970:U4033" si="316">IF(OR($D3970="",$H3970=""),"",ROUND($D3970+$H3970,2))</f>
        <v/>
      </c>
      <c r="V3970" s="215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7" t="str">
        <f t="shared" si="316"/>
        <v/>
      </c>
      <c r="V3971" s="215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7" t="str">
        <f t="shared" si="316"/>
        <v/>
      </c>
      <c r="V3972" s="215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7" t="str">
        <f t="shared" si="316"/>
        <v/>
      </c>
      <c r="V3973" s="215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7" t="str">
        <f t="shared" si="316"/>
        <v/>
      </c>
      <c r="V3974" s="215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7" t="str">
        <f t="shared" si="316"/>
        <v/>
      </c>
      <c r="V3975" s="215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7" t="str">
        <f t="shared" si="316"/>
        <v/>
      </c>
      <c r="V3976" s="215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7" t="str">
        <f t="shared" si="316"/>
        <v/>
      </c>
      <c r="V3977" s="215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7" t="str">
        <f t="shared" si="316"/>
        <v/>
      </c>
      <c r="V3978" s="215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7" t="str">
        <f t="shared" si="316"/>
        <v/>
      </c>
      <c r="V3979" s="215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7" t="str">
        <f t="shared" si="316"/>
        <v/>
      </c>
      <c r="V3980" s="215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7" t="str">
        <f t="shared" si="316"/>
        <v/>
      </c>
      <c r="V3981" s="215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7" t="str">
        <f t="shared" si="316"/>
        <v/>
      </c>
      <c r="V3982" s="215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7" t="str">
        <f t="shared" si="316"/>
        <v/>
      </c>
      <c r="V3983" s="215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7" t="str">
        <f t="shared" si="316"/>
        <v/>
      </c>
      <c r="V3984" s="215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7" t="str">
        <f t="shared" si="316"/>
        <v/>
      </c>
      <c r="V3985" s="215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7" t="str">
        <f t="shared" si="316"/>
        <v/>
      </c>
      <c r="V3986" s="215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7" t="str">
        <f t="shared" si="316"/>
        <v/>
      </c>
      <c r="V3987" s="215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7" t="str">
        <f t="shared" si="316"/>
        <v/>
      </c>
      <c r="V3988" s="215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7" t="str">
        <f t="shared" si="316"/>
        <v/>
      </c>
      <c r="V3989" s="215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7" t="str">
        <f t="shared" si="316"/>
        <v/>
      </c>
      <c r="V3990" s="215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7" t="str">
        <f t="shared" si="316"/>
        <v/>
      </c>
      <c r="V3991" s="215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7" t="str">
        <f t="shared" si="316"/>
        <v/>
      </c>
      <c r="V3992" s="215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7" t="str">
        <f t="shared" si="316"/>
        <v/>
      </c>
      <c r="V3993" s="215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7" t="str">
        <f t="shared" si="316"/>
        <v/>
      </c>
      <c r="V3994" s="215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7" t="str">
        <f t="shared" si="316"/>
        <v/>
      </c>
      <c r="V3995" s="215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7" t="str">
        <f t="shared" si="316"/>
        <v/>
      </c>
      <c r="V3996" s="215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7" t="str">
        <f t="shared" si="316"/>
        <v/>
      </c>
      <c r="V3997" s="215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7" t="str">
        <f t="shared" si="316"/>
        <v/>
      </c>
      <c r="V3998" s="215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7" t="str">
        <f t="shared" si="316"/>
        <v/>
      </c>
      <c r="V3999" s="215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7" t="str">
        <f t="shared" si="316"/>
        <v/>
      </c>
      <c r="V4000" s="215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7" t="str">
        <f t="shared" si="316"/>
        <v/>
      </c>
      <c r="V4001" s="215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7" t="str">
        <f t="shared" si="316"/>
        <v/>
      </c>
      <c r="V4002" s="215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7" t="str">
        <f t="shared" si="316"/>
        <v/>
      </c>
      <c r="V4003" s="215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7" t="str">
        <f t="shared" si="316"/>
        <v/>
      </c>
      <c r="V4004" s="215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7" t="str">
        <f t="shared" si="316"/>
        <v/>
      </c>
      <c r="V4005" s="215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7" t="str">
        <f t="shared" si="316"/>
        <v/>
      </c>
      <c r="V4006" s="215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7" t="str">
        <f t="shared" si="316"/>
        <v/>
      </c>
      <c r="V4007" s="215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7" t="str">
        <f t="shared" si="316"/>
        <v/>
      </c>
      <c r="V4008" s="215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7" t="str">
        <f t="shared" si="316"/>
        <v/>
      </c>
      <c r="V4009" s="215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7" t="str">
        <f t="shared" si="316"/>
        <v/>
      </c>
      <c r="V4010" s="215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7" t="str">
        <f t="shared" si="316"/>
        <v/>
      </c>
      <c r="V4011" s="215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7" t="str">
        <f t="shared" si="316"/>
        <v/>
      </c>
      <c r="V4012" s="215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7" t="str">
        <f t="shared" si="316"/>
        <v/>
      </c>
      <c r="V4013" s="215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7" t="str">
        <f t="shared" si="316"/>
        <v/>
      </c>
      <c r="V4014" s="215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7" t="str">
        <f t="shared" si="316"/>
        <v/>
      </c>
      <c r="V4015" s="215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7" t="str">
        <f t="shared" si="316"/>
        <v/>
      </c>
      <c r="V4016" s="215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7" t="str">
        <f t="shared" si="316"/>
        <v/>
      </c>
      <c r="V4017" s="215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7" t="str">
        <f t="shared" si="316"/>
        <v/>
      </c>
      <c r="V4018" s="215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7" t="str">
        <f t="shared" si="316"/>
        <v/>
      </c>
      <c r="V4019" s="215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7" t="str">
        <f t="shared" si="316"/>
        <v/>
      </c>
      <c r="V4020" s="215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7" t="str">
        <f t="shared" si="316"/>
        <v/>
      </c>
      <c r="V4021" s="215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7" t="str">
        <f t="shared" si="316"/>
        <v/>
      </c>
      <c r="V4022" s="215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7" t="str">
        <f t="shared" si="316"/>
        <v/>
      </c>
      <c r="V4023" s="215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7" t="str">
        <f t="shared" si="316"/>
        <v/>
      </c>
      <c r="V4024" s="215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7" t="str">
        <f t="shared" si="316"/>
        <v/>
      </c>
      <c r="V4025" s="215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7" t="str">
        <f t="shared" si="316"/>
        <v/>
      </c>
      <c r="V4026" s="215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7" t="str">
        <f t="shared" si="316"/>
        <v/>
      </c>
      <c r="V4027" s="215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7" t="str">
        <f t="shared" si="316"/>
        <v/>
      </c>
      <c r="V4028" s="215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7" t="str">
        <f t="shared" si="316"/>
        <v/>
      </c>
      <c r="V4029" s="215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7" t="str">
        <f t="shared" si="316"/>
        <v/>
      </c>
      <c r="V4030" s="215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7" t="str">
        <f t="shared" si="316"/>
        <v/>
      </c>
      <c r="V4031" s="215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7" t="str">
        <f t="shared" si="316"/>
        <v/>
      </c>
      <c r="V4032" s="215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7" t="str">
        <f t="shared" si="316"/>
        <v/>
      </c>
      <c r="V4033" s="215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7" t="str">
        <f t="shared" ref="U4034:U4097" si="321">IF(OR($D4034="",$H4034=""),"",ROUND($D4034+$H4034,2))</f>
        <v/>
      </c>
      <c r="V4034" s="215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7" t="str">
        <f t="shared" si="321"/>
        <v/>
      </c>
      <c r="V4035" s="215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7" t="str">
        <f t="shared" si="321"/>
        <v/>
      </c>
      <c r="V4036" s="215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7" t="str">
        <f t="shared" si="321"/>
        <v/>
      </c>
      <c r="V4037" s="215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7" t="str">
        <f t="shared" si="321"/>
        <v/>
      </c>
      <c r="V4038" s="215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7" t="str">
        <f t="shared" si="321"/>
        <v/>
      </c>
      <c r="V4039" s="215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7" t="str">
        <f t="shared" si="321"/>
        <v/>
      </c>
      <c r="V4040" s="215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7" t="str">
        <f t="shared" si="321"/>
        <v/>
      </c>
      <c r="V4041" s="215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7" t="str">
        <f t="shared" si="321"/>
        <v/>
      </c>
      <c r="V4042" s="215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7" t="str">
        <f t="shared" si="321"/>
        <v/>
      </c>
      <c r="V4043" s="215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7" t="str">
        <f t="shared" si="321"/>
        <v/>
      </c>
      <c r="V4044" s="215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7" t="str">
        <f t="shared" si="321"/>
        <v/>
      </c>
      <c r="V4045" s="215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7" t="str">
        <f t="shared" si="321"/>
        <v/>
      </c>
      <c r="V4046" s="215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7" t="str">
        <f t="shared" si="321"/>
        <v/>
      </c>
      <c r="V4047" s="215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7" t="str">
        <f t="shared" si="321"/>
        <v/>
      </c>
      <c r="V4048" s="215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7" t="str">
        <f t="shared" si="321"/>
        <v/>
      </c>
      <c r="V4049" s="215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7" t="str">
        <f t="shared" si="321"/>
        <v/>
      </c>
      <c r="V4050" s="215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7" t="str">
        <f t="shared" si="321"/>
        <v/>
      </c>
      <c r="V4051" s="215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7" t="str">
        <f t="shared" si="321"/>
        <v/>
      </c>
      <c r="V4052" s="215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7" t="str">
        <f t="shared" si="321"/>
        <v/>
      </c>
      <c r="V4053" s="215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7" t="str">
        <f t="shared" si="321"/>
        <v/>
      </c>
      <c r="V4054" s="215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7" t="str">
        <f t="shared" si="321"/>
        <v/>
      </c>
      <c r="V4055" s="215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7" t="str">
        <f t="shared" si="321"/>
        <v/>
      </c>
      <c r="V4056" s="215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7" t="str">
        <f t="shared" si="321"/>
        <v/>
      </c>
      <c r="V4057" s="215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7" t="str">
        <f t="shared" si="321"/>
        <v/>
      </c>
      <c r="V4058" s="215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7" t="str">
        <f t="shared" si="321"/>
        <v/>
      </c>
      <c r="V4059" s="215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7" t="str">
        <f t="shared" si="321"/>
        <v/>
      </c>
      <c r="V4060" s="215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7" t="str">
        <f t="shared" si="321"/>
        <v/>
      </c>
      <c r="V4061" s="215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7" t="str">
        <f t="shared" si="321"/>
        <v/>
      </c>
      <c r="V4062" s="215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7" t="str">
        <f t="shared" si="321"/>
        <v/>
      </c>
      <c r="V4063" s="215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7" t="str">
        <f t="shared" si="321"/>
        <v/>
      </c>
      <c r="V4064" s="215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7" t="str">
        <f t="shared" si="321"/>
        <v/>
      </c>
      <c r="V4065" s="215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7" t="str">
        <f t="shared" si="321"/>
        <v/>
      </c>
      <c r="V4066" s="215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7" t="str">
        <f t="shared" si="321"/>
        <v/>
      </c>
      <c r="V4067" s="215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7" t="str">
        <f t="shared" si="321"/>
        <v/>
      </c>
      <c r="V4068" s="215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7" t="str">
        <f t="shared" si="321"/>
        <v/>
      </c>
      <c r="V4069" s="215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7" t="str">
        <f t="shared" si="321"/>
        <v/>
      </c>
      <c r="V4070" s="215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7" t="str">
        <f t="shared" si="321"/>
        <v/>
      </c>
      <c r="V4071" s="215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7" t="str">
        <f t="shared" si="321"/>
        <v/>
      </c>
      <c r="V4072" s="215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7" t="str">
        <f t="shared" si="321"/>
        <v/>
      </c>
      <c r="V4073" s="215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7" t="str">
        <f t="shared" si="321"/>
        <v/>
      </c>
      <c r="V4074" s="215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7" t="str">
        <f t="shared" si="321"/>
        <v/>
      </c>
      <c r="V4075" s="215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7" t="str">
        <f t="shared" si="321"/>
        <v/>
      </c>
      <c r="V4076" s="215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7" t="str">
        <f t="shared" si="321"/>
        <v/>
      </c>
      <c r="V4077" s="215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7" t="str">
        <f t="shared" si="321"/>
        <v/>
      </c>
      <c r="V4078" s="215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7" t="str">
        <f t="shared" si="321"/>
        <v/>
      </c>
      <c r="V4079" s="215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7" t="str">
        <f t="shared" si="321"/>
        <v/>
      </c>
      <c r="V4080" s="215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7" t="str">
        <f t="shared" si="321"/>
        <v/>
      </c>
      <c r="V4081" s="215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7" t="str">
        <f t="shared" si="321"/>
        <v/>
      </c>
      <c r="V4082" s="215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7" t="str">
        <f t="shared" si="321"/>
        <v/>
      </c>
      <c r="V4083" s="215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7" t="str">
        <f t="shared" si="321"/>
        <v/>
      </c>
      <c r="V4084" s="215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7" t="str">
        <f t="shared" si="321"/>
        <v/>
      </c>
      <c r="V4085" s="215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7" t="str">
        <f t="shared" si="321"/>
        <v/>
      </c>
      <c r="V4086" s="215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7" t="str">
        <f t="shared" si="321"/>
        <v/>
      </c>
      <c r="V4087" s="215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7" t="str">
        <f t="shared" si="321"/>
        <v/>
      </c>
      <c r="V4088" s="215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7" t="str">
        <f t="shared" si="321"/>
        <v/>
      </c>
      <c r="V4089" s="215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7" t="str">
        <f t="shared" si="321"/>
        <v/>
      </c>
      <c r="V4090" s="215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7" t="str">
        <f t="shared" si="321"/>
        <v/>
      </c>
      <c r="V4091" s="215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7" t="str">
        <f t="shared" si="321"/>
        <v/>
      </c>
      <c r="V4092" s="215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7" t="str">
        <f t="shared" si="321"/>
        <v/>
      </c>
      <c r="V4093" s="215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7" t="str">
        <f t="shared" si="321"/>
        <v/>
      </c>
      <c r="V4094" s="215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7" t="str">
        <f t="shared" si="321"/>
        <v/>
      </c>
      <c r="V4095" s="215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7" t="str">
        <f t="shared" si="321"/>
        <v/>
      </c>
      <c r="V4096" s="215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7" t="str">
        <f t="shared" si="321"/>
        <v/>
      </c>
      <c r="V4097" s="215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7" t="str">
        <f t="shared" ref="U4098:U4161" si="326">IF(OR($D4098="",$H4098=""),"",ROUND($D4098+$H4098,2))</f>
        <v/>
      </c>
      <c r="V4098" s="215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7" t="str">
        <f t="shared" si="326"/>
        <v/>
      </c>
      <c r="V4099" s="215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7" t="str">
        <f t="shared" si="326"/>
        <v/>
      </c>
      <c r="V4100" s="215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7" t="str">
        <f t="shared" si="326"/>
        <v/>
      </c>
      <c r="V4101" s="215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7" t="str">
        <f t="shared" si="326"/>
        <v/>
      </c>
      <c r="V4102" s="215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7" t="str">
        <f t="shared" si="326"/>
        <v/>
      </c>
      <c r="V4103" s="215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7" t="str">
        <f t="shared" si="326"/>
        <v/>
      </c>
      <c r="V4104" s="215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7" t="str">
        <f t="shared" si="326"/>
        <v/>
      </c>
      <c r="V4105" s="215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7" t="str">
        <f t="shared" si="326"/>
        <v/>
      </c>
      <c r="V4106" s="215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7" t="str">
        <f t="shared" si="326"/>
        <v/>
      </c>
      <c r="V4107" s="215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7" t="str">
        <f t="shared" si="326"/>
        <v/>
      </c>
      <c r="V4108" s="215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7" t="str">
        <f t="shared" si="326"/>
        <v/>
      </c>
      <c r="V4109" s="215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7" t="str">
        <f t="shared" si="326"/>
        <v/>
      </c>
      <c r="V4110" s="215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7" t="str">
        <f t="shared" si="326"/>
        <v/>
      </c>
      <c r="V4111" s="215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7" t="str">
        <f t="shared" si="326"/>
        <v/>
      </c>
      <c r="V4112" s="215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7" t="str">
        <f t="shared" si="326"/>
        <v/>
      </c>
      <c r="V4113" s="215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7" t="str">
        <f t="shared" si="326"/>
        <v/>
      </c>
      <c r="V4114" s="215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7" t="str">
        <f t="shared" si="326"/>
        <v/>
      </c>
      <c r="V4115" s="215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7" t="str">
        <f t="shared" si="326"/>
        <v/>
      </c>
      <c r="V4116" s="215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7" t="str">
        <f t="shared" si="326"/>
        <v/>
      </c>
      <c r="V4117" s="215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7" t="str">
        <f t="shared" si="326"/>
        <v/>
      </c>
      <c r="V4118" s="215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7" t="str">
        <f t="shared" si="326"/>
        <v/>
      </c>
      <c r="V4119" s="215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7" t="str">
        <f t="shared" si="326"/>
        <v/>
      </c>
      <c r="V4120" s="215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7" t="str">
        <f t="shared" si="326"/>
        <v/>
      </c>
      <c r="V4121" s="215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7" t="str">
        <f t="shared" si="326"/>
        <v/>
      </c>
      <c r="V4122" s="215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7" t="str">
        <f t="shared" si="326"/>
        <v/>
      </c>
      <c r="V4123" s="215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7" t="str">
        <f t="shared" si="326"/>
        <v/>
      </c>
      <c r="V4124" s="215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7" t="str">
        <f t="shared" si="326"/>
        <v/>
      </c>
      <c r="V4125" s="215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7" t="str">
        <f t="shared" si="326"/>
        <v/>
      </c>
      <c r="V4126" s="215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7" t="str">
        <f t="shared" si="326"/>
        <v/>
      </c>
      <c r="V4127" s="215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7" t="str">
        <f t="shared" si="326"/>
        <v/>
      </c>
      <c r="V4128" s="215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7" t="str">
        <f t="shared" si="326"/>
        <v/>
      </c>
      <c r="V4129" s="215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7" t="str">
        <f t="shared" si="326"/>
        <v/>
      </c>
      <c r="V4130" s="215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7" t="str">
        <f t="shared" si="326"/>
        <v/>
      </c>
      <c r="V4131" s="215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7" t="str">
        <f t="shared" si="326"/>
        <v/>
      </c>
      <c r="V4132" s="215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7" t="str">
        <f t="shared" si="326"/>
        <v/>
      </c>
      <c r="V4133" s="215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7" t="str">
        <f t="shared" si="326"/>
        <v/>
      </c>
      <c r="V4134" s="215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7" t="str">
        <f t="shared" si="326"/>
        <v/>
      </c>
      <c r="V4135" s="215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7" t="str">
        <f t="shared" si="326"/>
        <v/>
      </c>
      <c r="V4136" s="215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7" t="str">
        <f t="shared" si="326"/>
        <v/>
      </c>
      <c r="V4137" s="215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7" t="str">
        <f t="shared" si="326"/>
        <v/>
      </c>
      <c r="V4138" s="215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7" t="str">
        <f t="shared" si="326"/>
        <v/>
      </c>
      <c r="V4139" s="215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7" t="str">
        <f t="shared" si="326"/>
        <v/>
      </c>
      <c r="V4140" s="215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7" t="str">
        <f t="shared" si="326"/>
        <v/>
      </c>
      <c r="V4141" s="215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7" t="str">
        <f t="shared" si="326"/>
        <v/>
      </c>
      <c r="V4142" s="215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7" t="str">
        <f t="shared" si="326"/>
        <v/>
      </c>
      <c r="V4143" s="215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7" t="str">
        <f t="shared" si="326"/>
        <v/>
      </c>
      <c r="V4144" s="215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7" t="str">
        <f t="shared" si="326"/>
        <v/>
      </c>
      <c r="V4145" s="215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7" t="str">
        <f t="shared" si="326"/>
        <v/>
      </c>
      <c r="V4146" s="215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7" t="str">
        <f t="shared" si="326"/>
        <v/>
      </c>
      <c r="V4147" s="215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7" t="str">
        <f t="shared" si="326"/>
        <v/>
      </c>
      <c r="V4148" s="215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7" t="str">
        <f t="shared" si="326"/>
        <v/>
      </c>
      <c r="V4149" s="215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7" t="str">
        <f t="shared" si="326"/>
        <v/>
      </c>
      <c r="V4150" s="215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7" t="str">
        <f t="shared" si="326"/>
        <v/>
      </c>
      <c r="V4151" s="215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7" t="str">
        <f t="shared" si="326"/>
        <v/>
      </c>
      <c r="V4152" s="215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7" t="str">
        <f t="shared" si="326"/>
        <v/>
      </c>
      <c r="V4153" s="215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7" t="str">
        <f t="shared" si="326"/>
        <v/>
      </c>
      <c r="V4154" s="215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7" t="str">
        <f t="shared" si="326"/>
        <v/>
      </c>
      <c r="V4155" s="215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7" t="str">
        <f t="shared" si="326"/>
        <v/>
      </c>
      <c r="V4156" s="215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7" t="str">
        <f t="shared" si="326"/>
        <v/>
      </c>
      <c r="V4157" s="215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7" t="str">
        <f t="shared" si="326"/>
        <v/>
      </c>
      <c r="V4158" s="215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7" t="str">
        <f t="shared" si="326"/>
        <v/>
      </c>
      <c r="V4159" s="215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7" t="str">
        <f t="shared" si="326"/>
        <v/>
      </c>
      <c r="V4160" s="215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7" t="str">
        <f t="shared" si="326"/>
        <v/>
      </c>
      <c r="V4161" s="215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7" t="str">
        <f t="shared" ref="U4162:U4225" si="331">IF(OR($D4162="",$H4162=""),"",ROUND($D4162+$H4162,2))</f>
        <v/>
      </c>
      <c r="V4162" s="215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7" t="str">
        <f t="shared" si="331"/>
        <v/>
      </c>
      <c r="V4163" s="215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7" t="str">
        <f t="shared" si="331"/>
        <v/>
      </c>
      <c r="V4164" s="215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7" t="str">
        <f t="shared" si="331"/>
        <v/>
      </c>
      <c r="V4165" s="215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7" t="str">
        <f t="shared" si="331"/>
        <v/>
      </c>
      <c r="V4166" s="215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7" t="str">
        <f t="shared" si="331"/>
        <v/>
      </c>
      <c r="V4167" s="215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7" t="str">
        <f t="shared" si="331"/>
        <v/>
      </c>
      <c r="V4168" s="215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7" t="str">
        <f t="shared" si="331"/>
        <v/>
      </c>
      <c r="V4169" s="215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7" t="str">
        <f t="shared" si="331"/>
        <v/>
      </c>
      <c r="V4170" s="215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7" t="str">
        <f t="shared" si="331"/>
        <v/>
      </c>
      <c r="V4171" s="215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7" t="str">
        <f t="shared" si="331"/>
        <v/>
      </c>
      <c r="V4172" s="215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7" t="str">
        <f t="shared" si="331"/>
        <v/>
      </c>
      <c r="V4173" s="215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7" t="str">
        <f t="shared" si="331"/>
        <v/>
      </c>
      <c r="V4174" s="215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7" t="str">
        <f t="shared" si="331"/>
        <v/>
      </c>
      <c r="V4175" s="215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7" t="str">
        <f t="shared" si="331"/>
        <v/>
      </c>
      <c r="V4176" s="215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7" t="str">
        <f t="shared" si="331"/>
        <v/>
      </c>
      <c r="V4177" s="215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7" t="str">
        <f t="shared" si="331"/>
        <v/>
      </c>
      <c r="V4178" s="215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7" t="str">
        <f t="shared" si="331"/>
        <v/>
      </c>
      <c r="V4179" s="215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7" t="str">
        <f t="shared" si="331"/>
        <v/>
      </c>
      <c r="V4180" s="215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7" t="str">
        <f t="shared" si="331"/>
        <v/>
      </c>
      <c r="V4181" s="215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7" t="str">
        <f t="shared" si="331"/>
        <v/>
      </c>
      <c r="V4182" s="215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7" t="str">
        <f t="shared" si="331"/>
        <v/>
      </c>
      <c r="V4183" s="215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7" t="str">
        <f t="shared" si="331"/>
        <v/>
      </c>
      <c r="V4184" s="215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7" t="str">
        <f t="shared" si="331"/>
        <v/>
      </c>
      <c r="V4185" s="215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7" t="str">
        <f t="shared" si="331"/>
        <v/>
      </c>
      <c r="V4186" s="215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7" t="str">
        <f t="shared" si="331"/>
        <v/>
      </c>
      <c r="V4187" s="215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7" t="str">
        <f t="shared" si="331"/>
        <v/>
      </c>
      <c r="V4188" s="215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7" t="str">
        <f t="shared" si="331"/>
        <v/>
      </c>
      <c r="V4189" s="215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7" t="str">
        <f t="shared" si="331"/>
        <v/>
      </c>
      <c r="V4190" s="215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7" t="str">
        <f t="shared" si="331"/>
        <v/>
      </c>
      <c r="V4191" s="215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7" t="str">
        <f t="shared" si="331"/>
        <v/>
      </c>
      <c r="V4192" s="215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7" t="str">
        <f t="shared" si="331"/>
        <v/>
      </c>
      <c r="V4193" s="215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7" t="str">
        <f t="shared" si="331"/>
        <v/>
      </c>
      <c r="V4194" s="215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7" t="str">
        <f t="shared" si="331"/>
        <v/>
      </c>
      <c r="V4195" s="215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7" t="str">
        <f t="shared" si="331"/>
        <v/>
      </c>
      <c r="V4196" s="215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7" t="str">
        <f t="shared" si="331"/>
        <v/>
      </c>
      <c r="V4197" s="215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7" t="str">
        <f t="shared" si="331"/>
        <v/>
      </c>
      <c r="V4198" s="215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7" t="str">
        <f t="shared" si="331"/>
        <v/>
      </c>
      <c r="V4199" s="215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7" t="str">
        <f t="shared" si="331"/>
        <v/>
      </c>
      <c r="V4200" s="215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7" t="str">
        <f t="shared" si="331"/>
        <v/>
      </c>
      <c r="V4201" s="215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7" t="str">
        <f t="shared" si="331"/>
        <v/>
      </c>
      <c r="V4202" s="215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7" t="str">
        <f t="shared" si="331"/>
        <v/>
      </c>
      <c r="V4203" s="215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7" t="str">
        <f t="shared" si="331"/>
        <v/>
      </c>
      <c r="V4204" s="215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7" t="str">
        <f t="shared" si="331"/>
        <v/>
      </c>
      <c r="V4205" s="215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7" t="str">
        <f t="shared" si="331"/>
        <v/>
      </c>
      <c r="V4206" s="215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7" t="str">
        <f t="shared" si="331"/>
        <v/>
      </c>
      <c r="V4207" s="215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7" t="str">
        <f t="shared" si="331"/>
        <v/>
      </c>
      <c r="V4208" s="215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7" t="str">
        <f t="shared" si="331"/>
        <v/>
      </c>
      <c r="V4209" s="215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7" t="str">
        <f t="shared" si="331"/>
        <v/>
      </c>
      <c r="V4210" s="215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7" t="str">
        <f t="shared" si="331"/>
        <v/>
      </c>
      <c r="V4211" s="215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7" t="str">
        <f t="shared" si="331"/>
        <v/>
      </c>
      <c r="V4212" s="215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7" t="str">
        <f t="shared" si="331"/>
        <v/>
      </c>
      <c r="V4213" s="215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7" t="str">
        <f t="shared" si="331"/>
        <v/>
      </c>
      <c r="V4214" s="215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7" t="str">
        <f t="shared" si="331"/>
        <v/>
      </c>
      <c r="V4215" s="215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7" t="str">
        <f t="shared" si="331"/>
        <v/>
      </c>
      <c r="V4216" s="215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7" t="str">
        <f t="shared" si="331"/>
        <v/>
      </c>
      <c r="V4217" s="215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7" t="str">
        <f t="shared" si="331"/>
        <v/>
      </c>
      <c r="V4218" s="215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7" t="str">
        <f t="shared" si="331"/>
        <v/>
      </c>
      <c r="V4219" s="215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7" t="str">
        <f t="shared" si="331"/>
        <v/>
      </c>
      <c r="V4220" s="215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7" t="str">
        <f t="shared" si="331"/>
        <v/>
      </c>
      <c r="V4221" s="215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7" t="str">
        <f t="shared" si="331"/>
        <v/>
      </c>
      <c r="V4222" s="215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7" t="str">
        <f t="shared" si="331"/>
        <v/>
      </c>
      <c r="V4223" s="215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7" t="str">
        <f t="shared" si="331"/>
        <v/>
      </c>
      <c r="V4224" s="215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7" t="str">
        <f t="shared" si="331"/>
        <v/>
      </c>
      <c r="V4225" s="215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7" t="str">
        <f t="shared" ref="U4226:U4289" si="336">IF(OR($D4226="",$H4226=""),"",ROUND($D4226+$H4226,2))</f>
        <v/>
      </c>
      <c r="V4226" s="215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7" t="str">
        <f t="shared" si="336"/>
        <v/>
      </c>
      <c r="V4227" s="215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7" t="str">
        <f t="shared" si="336"/>
        <v/>
      </c>
      <c r="V4228" s="215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7" t="str">
        <f t="shared" si="336"/>
        <v/>
      </c>
      <c r="V4229" s="215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7" t="str">
        <f t="shared" si="336"/>
        <v/>
      </c>
      <c r="V4230" s="215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7" t="str">
        <f t="shared" si="336"/>
        <v/>
      </c>
      <c r="V4231" s="215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7" t="str">
        <f t="shared" si="336"/>
        <v/>
      </c>
      <c r="V4232" s="215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7" t="str">
        <f t="shared" si="336"/>
        <v/>
      </c>
      <c r="V4233" s="215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7" t="str">
        <f t="shared" si="336"/>
        <v/>
      </c>
      <c r="V4234" s="215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7" t="str">
        <f t="shared" si="336"/>
        <v/>
      </c>
      <c r="V4235" s="215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7" t="str">
        <f t="shared" si="336"/>
        <v/>
      </c>
      <c r="V4236" s="215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7" t="str">
        <f t="shared" si="336"/>
        <v/>
      </c>
      <c r="V4237" s="215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7" t="str">
        <f t="shared" si="336"/>
        <v/>
      </c>
      <c r="V4238" s="215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7" t="str">
        <f t="shared" si="336"/>
        <v/>
      </c>
      <c r="V4239" s="215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7" t="str">
        <f t="shared" si="336"/>
        <v/>
      </c>
      <c r="V4240" s="215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7" t="str">
        <f t="shared" si="336"/>
        <v/>
      </c>
      <c r="V4241" s="215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7" t="str">
        <f t="shared" si="336"/>
        <v/>
      </c>
      <c r="V4242" s="215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7" t="str">
        <f t="shared" si="336"/>
        <v/>
      </c>
      <c r="V4243" s="215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7" t="str">
        <f t="shared" si="336"/>
        <v/>
      </c>
      <c r="V4244" s="215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7" t="str">
        <f t="shared" si="336"/>
        <v/>
      </c>
      <c r="V4245" s="215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7" t="str">
        <f t="shared" si="336"/>
        <v/>
      </c>
      <c r="V4246" s="215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7" t="str">
        <f t="shared" si="336"/>
        <v/>
      </c>
      <c r="V4247" s="215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7" t="str">
        <f t="shared" si="336"/>
        <v/>
      </c>
      <c r="V4248" s="215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7" t="str">
        <f t="shared" si="336"/>
        <v/>
      </c>
      <c r="V4249" s="215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7" t="str">
        <f t="shared" si="336"/>
        <v/>
      </c>
      <c r="V4250" s="215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7" t="str">
        <f t="shared" si="336"/>
        <v/>
      </c>
      <c r="V4251" s="215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7" t="str">
        <f t="shared" si="336"/>
        <v/>
      </c>
      <c r="V4252" s="215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7" t="str">
        <f t="shared" si="336"/>
        <v/>
      </c>
      <c r="V4253" s="215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7" t="str">
        <f t="shared" si="336"/>
        <v/>
      </c>
      <c r="V4254" s="215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7" t="str">
        <f t="shared" si="336"/>
        <v/>
      </c>
      <c r="V4255" s="215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7" t="str">
        <f t="shared" si="336"/>
        <v/>
      </c>
      <c r="V4256" s="215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7" t="str">
        <f t="shared" si="336"/>
        <v/>
      </c>
      <c r="V4257" s="215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7" t="str">
        <f t="shared" si="336"/>
        <v/>
      </c>
      <c r="V4258" s="215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7" t="str">
        <f t="shared" si="336"/>
        <v/>
      </c>
      <c r="V4259" s="215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7" t="str">
        <f t="shared" si="336"/>
        <v/>
      </c>
      <c r="V4260" s="215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7" t="str">
        <f t="shared" si="336"/>
        <v/>
      </c>
      <c r="V4261" s="215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7" t="str">
        <f t="shared" si="336"/>
        <v/>
      </c>
      <c r="V4262" s="215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7" t="str">
        <f t="shared" si="336"/>
        <v/>
      </c>
      <c r="V4263" s="215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7" t="str">
        <f t="shared" si="336"/>
        <v/>
      </c>
      <c r="V4264" s="215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7" t="str">
        <f t="shared" si="336"/>
        <v/>
      </c>
      <c r="V4265" s="215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7" t="str">
        <f t="shared" si="336"/>
        <v/>
      </c>
      <c r="V4266" s="215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7" t="str">
        <f t="shared" si="336"/>
        <v/>
      </c>
      <c r="V4267" s="215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7" t="str">
        <f t="shared" si="336"/>
        <v/>
      </c>
      <c r="V4268" s="215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7" t="str">
        <f t="shared" si="336"/>
        <v/>
      </c>
      <c r="V4269" s="215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7" t="str">
        <f t="shared" si="336"/>
        <v/>
      </c>
      <c r="V4270" s="215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7" t="str">
        <f t="shared" si="336"/>
        <v/>
      </c>
      <c r="V4271" s="215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7" t="str">
        <f t="shared" si="336"/>
        <v/>
      </c>
      <c r="V4272" s="215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7" t="str">
        <f t="shared" si="336"/>
        <v/>
      </c>
      <c r="V4273" s="215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7" t="str">
        <f t="shared" si="336"/>
        <v/>
      </c>
      <c r="V4274" s="215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7" t="str">
        <f t="shared" si="336"/>
        <v/>
      </c>
      <c r="V4275" s="215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7" t="str">
        <f t="shared" si="336"/>
        <v/>
      </c>
      <c r="V4276" s="215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7" t="str">
        <f t="shared" si="336"/>
        <v/>
      </c>
      <c r="V4277" s="215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7" t="str">
        <f t="shared" si="336"/>
        <v/>
      </c>
      <c r="V4278" s="215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7" t="str">
        <f t="shared" si="336"/>
        <v/>
      </c>
      <c r="V4279" s="215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7" t="str">
        <f t="shared" si="336"/>
        <v/>
      </c>
      <c r="V4280" s="215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7" t="str">
        <f t="shared" si="336"/>
        <v/>
      </c>
      <c r="V4281" s="215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7" t="str">
        <f t="shared" si="336"/>
        <v/>
      </c>
      <c r="V4282" s="215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7" t="str">
        <f t="shared" si="336"/>
        <v/>
      </c>
      <c r="V4283" s="215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7" t="str">
        <f t="shared" si="336"/>
        <v/>
      </c>
      <c r="V4284" s="215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7" t="str">
        <f t="shared" si="336"/>
        <v/>
      </c>
      <c r="V4285" s="215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7" t="str">
        <f t="shared" si="336"/>
        <v/>
      </c>
      <c r="V4286" s="215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7" t="str">
        <f t="shared" si="336"/>
        <v/>
      </c>
      <c r="V4287" s="215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7" t="str">
        <f t="shared" si="336"/>
        <v/>
      </c>
      <c r="V4288" s="215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7" t="str">
        <f t="shared" si="336"/>
        <v/>
      </c>
      <c r="V4289" s="215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7" t="str">
        <f t="shared" ref="U4290:U4353" si="341">IF(OR($D4290="",$H4290=""),"",ROUND($D4290+$H4290,2))</f>
        <v/>
      </c>
      <c r="V4290" s="215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7" t="str">
        <f t="shared" si="341"/>
        <v/>
      </c>
      <c r="V4291" s="215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7" t="str">
        <f t="shared" si="341"/>
        <v/>
      </c>
      <c r="V4292" s="215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7" t="str">
        <f t="shared" si="341"/>
        <v/>
      </c>
      <c r="V4293" s="215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7" t="str">
        <f t="shared" si="341"/>
        <v/>
      </c>
      <c r="V4294" s="215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7" t="str">
        <f t="shared" si="341"/>
        <v/>
      </c>
      <c r="V4295" s="215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7" t="str">
        <f t="shared" si="341"/>
        <v/>
      </c>
      <c r="V4296" s="215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7" t="str">
        <f t="shared" si="341"/>
        <v/>
      </c>
      <c r="V4297" s="215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7" t="str">
        <f t="shared" si="341"/>
        <v/>
      </c>
      <c r="V4298" s="215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7" t="str">
        <f t="shared" si="341"/>
        <v/>
      </c>
      <c r="V4299" s="215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7" t="str">
        <f t="shared" si="341"/>
        <v/>
      </c>
      <c r="V4300" s="215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7" t="str">
        <f t="shared" si="341"/>
        <v/>
      </c>
      <c r="V4301" s="215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7" t="str">
        <f t="shared" si="341"/>
        <v/>
      </c>
      <c r="V4302" s="215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7" t="str">
        <f t="shared" si="341"/>
        <v/>
      </c>
      <c r="V4303" s="215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7" t="str">
        <f t="shared" si="341"/>
        <v/>
      </c>
      <c r="V4304" s="215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7" t="str">
        <f t="shared" si="341"/>
        <v/>
      </c>
      <c r="V4305" s="215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7" t="str">
        <f t="shared" si="341"/>
        <v/>
      </c>
      <c r="V4306" s="215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7" t="str">
        <f t="shared" si="341"/>
        <v/>
      </c>
      <c r="V4307" s="215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7" t="str">
        <f t="shared" si="341"/>
        <v/>
      </c>
      <c r="V4308" s="215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7" t="str">
        <f t="shared" si="341"/>
        <v/>
      </c>
      <c r="V4309" s="215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7" t="str">
        <f t="shared" si="341"/>
        <v/>
      </c>
      <c r="V4310" s="215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7" t="str">
        <f t="shared" si="341"/>
        <v/>
      </c>
      <c r="V4311" s="215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7" t="str">
        <f t="shared" si="341"/>
        <v/>
      </c>
      <c r="V4312" s="215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7" t="str">
        <f t="shared" si="341"/>
        <v/>
      </c>
      <c r="V4313" s="215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7" t="str">
        <f t="shared" si="341"/>
        <v/>
      </c>
      <c r="V4314" s="215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7" t="str">
        <f t="shared" si="341"/>
        <v/>
      </c>
      <c r="V4315" s="215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7" t="str">
        <f t="shared" si="341"/>
        <v/>
      </c>
      <c r="V4316" s="215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7" t="str">
        <f t="shared" si="341"/>
        <v/>
      </c>
      <c r="V4317" s="215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7" t="str">
        <f t="shared" si="341"/>
        <v/>
      </c>
      <c r="V4318" s="215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7" t="str">
        <f t="shared" si="341"/>
        <v/>
      </c>
      <c r="V4319" s="215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7" t="str">
        <f t="shared" si="341"/>
        <v/>
      </c>
      <c r="V4320" s="215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7" t="str">
        <f t="shared" si="341"/>
        <v/>
      </c>
      <c r="V4321" s="215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7" t="str">
        <f t="shared" si="341"/>
        <v/>
      </c>
      <c r="V4322" s="215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7" t="str">
        <f t="shared" si="341"/>
        <v/>
      </c>
      <c r="V4323" s="215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7" t="str">
        <f t="shared" si="341"/>
        <v/>
      </c>
      <c r="V4324" s="215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7" t="str">
        <f t="shared" si="341"/>
        <v/>
      </c>
      <c r="V4325" s="215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7" t="str">
        <f t="shared" si="341"/>
        <v/>
      </c>
      <c r="V4326" s="215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7" t="str">
        <f t="shared" si="341"/>
        <v/>
      </c>
      <c r="V4327" s="215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7" t="str">
        <f t="shared" si="341"/>
        <v/>
      </c>
      <c r="V4328" s="215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7" t="str">
        <f t="shared" si="341"/>
        <v/>
      </c>
      <c r="V4329" s="215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7" t="str">
        <f t="shared" si="341"/>
        <v/>
      </c>
      <c r="V4330" s="215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7" t="str">
        <f t="shared" si="341"/>
        <v/>
      </c>
      <c r="V4331" s="215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7" t="str">
        <f t="shared" si="341"/>
        <v/>
      </c>
      <c r="V4332" s="215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7" t="str">
        <f t="shared" si="341"/>
        <v/>
      </c>
      <c r="V4333" s="215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7" t="str">
        <f t="shared" si="341"/>
        <v/>
      </c>
      <c r="V4334" s="215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7" t="str">
        <f t="shared" si="341"/>
        <v/>
      </c>
      <c r="V4335" s="215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7" t="str">
        <f t="shared" si="341"/>
        <v/>
      </c>
      <c r="V4336" s="215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7" t="str">
        <f t="shared" si="341"/>
        <v/>
      </c>
      <c r="V4337" s="215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7" t="str">
        <f t="shared" si="341"/>
        <v/>
      </c>
      <c r="V4338" s="215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7" t="str">
        <f t="shared" si="341"/>
        <v/>
      </c>
      <c r="V4339" s="215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7" t="str">
        <f t="shared" si="341"/>
        <v/>
      </c>
      <c r="V4340" s="215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7" t="str">
        <f t="shared" si="341"/>
        <v/>
      </c>
      <c r="V4341" s="215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7" t="str">
        <f t="shared" si="341"/>
        <v/>
      </c>
      <c r="V4342" s="215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7" t="str">
        <f t="shared" si="341"/>
        <v/>
      </c>
      <c r="V4343" s="215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7" t="str">
        <f t="shared" si="341"/>
        <v/>
      </c>
      <c r="V4344" s="215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7" t="str">
        <f t="shared" si="341"/>
        <v/>
      </c>
      <c r="V4345" s="215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7" t="str">
        <f t="shared" si="341"/>
        <v/>
      </c>
      <c r="V4346" s="215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7" t="str">
        <f t="shared" si="341"/>
        <v/>
      </c>
      <c r="V4347" s="215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7" t="str">
        <f t="shared" si="341"/>
        <v/>
      </c>
      <c r="V4348" s="215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7" t="str">
        <f t="shared" si="341"/>
        <v/>
      </c>
      <c r="V4349" s="215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7" t="str">
        <f t="shared" si="341"/>
        <v/>
      </c>
      <c r="V4350" s="215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7" t="str">
        <f t="shared" si="341"/>
        <v/>
      </c>
      <c r="V4351" s="215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7" t="str">
        <f t="shared" si="341"/>
        <v/>
      </c>
      <c r="V4352" s="215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7" t="str">
        <f t="shared" si="341"/>
        <v/>
      </c>
      <c r="V4353" s="215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7" t="str">
        <f t="shared" ref="U4354:U4417" si="346">IF(OR($D4354="",$H4354=""),"",ROUND($D4354+$H4354,2))</f>
        <v/>
      </c>
      <c r="V4354" s="215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7" t="str">
        <f t="shared" si="346"/>
        <v/>
      </c>
      <c r="V4355" s="215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7" t="str">
        <f t="shared" si="346"/>
        <v/>
      </c>
      <c r="V4356" s="215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7" t="str">
        <f t="shared" si="346"/>
        <v/>
      </c>
      <c r="V4357" s="215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7" t="str">
        <f t="shared" si="346"/>
        <v/>
      </c>
      <c r="V4358" s="215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7" t="str">
        <f t="shared" si="346"/>
        <v/>
      </c>
      <c r="V4359" s="215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7" t="str">
        <f t="shared" si="346"/>
        <v/>
      </c>
      <c r="V4360" s="215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7" t="str">
        <f t="shared" si="346"/>
        <v/>
      </c>
      <c r="V4361" s="215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7" t="str">
        <f t="shared" si="346"/>
        <v/>
      </c>
      <c r="V4362" s="215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7" t="str">
        <f t="shared" si="346"/>
        <v/>
      </c>
      <c r="V4363" s="215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7" t="str">
        <f t="shared" si="346"/>
        <v/>
      </c>
      <c r="V4364" s="215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7" t="str">
        <f t="shared" si="346"/>
        <v/>
      </c>
      <c r="V4365" s="215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7" t="str">
        <f t="shared" si="346"/>
        <v/>
      </c>
      <c r="V4366" s="215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7" t="str">
        <f t="shared" si="346"/>
        <v/>
      </c>
      <c r="V4367" s="215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7" t="str">
        <f t="shared" si="346"/>
        <v/>
      </c>
      <c r="V4368" s="215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7" t="str">
        <f t="shared" si="346"/>
        <v/>
      </c>
      <c r="V4369" s="215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7" t="str">
        <f t="shared" si="346"/>
        <v/>
      </c>
      <c r="V4370" s="215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7" t="str">
        <f t="shared" si="346"/>
        <v/>
      </c>
      <c r="V4371" s="215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7" t="str">
        <f t="shared" si="346"/>
        <v/>
      </c>
      <c r="V4372" s="215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7" t="str">
        <f t="shared" si="346"/>
        <v/>
      </c>
      <c r="V4373" s="215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7" t="str">
        <f t="shared" si="346"/>
        <v/>
      </c>
      <c r="V4374" s="215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7" t="str">
        <f t="shared" si="346"/>
        <v/>
      </c>
      <c r="V4375" s="215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7" t="str">
        <f t="shared" si="346"/>
        <v/>
      </c>
      <c r="V4376" s="215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7" t="str">
        <f t="shared" si="346"/>
        <v/>
      </c>
      <c r="V4377" s="215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7" t="str">
        <f t="shared" si="346"/>
        <v/>
      </c>
      <c r="V4378" s="215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7" t="str">
        <f t="shared" si="346"/>
        <v/>
      </c>
      <c r="V4379" s="215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7" t="str">
        <f t="shared" si="346"/>
        <v/>
      </c>
      <c r="V4380" s="215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7" t="str">
        <f t="shared" si="346"/>
        <v/>
      </c>
      <c r="V4381" s="215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7" t="str">
        <f t="shared" si="346"/>
        <v/>
      </c>
      <c r="V4382" s="215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7" t="str">
        <f t="shared" si="346"/>
        <v/>
      </c>
      <c r="V4383" s="215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7" t="str">
        <f t="shared" si="346"/>
        <v/>
      </c>
      <c r="V4384" s="215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7" t="str">
        <f t="shared" si="346"/>
        <v/>
      </c>
      <c r="V4385" s="215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7" t="str">
        <f t="shared" si="346"/>
        <v/>
      </c>
      <c r="V4386" s="215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7" t="str">
        <f t="shared" si="346"/>
        <v/>
      </c>
      <c r="V4387" s="215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7" t="str">
        <f t="shared" si="346"/>
        <v/>
      </c>
      <c r="V4388" s="215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7" t="str">
        <f t="shared" si="346"/>
        <v/>
      </c>
      <c r="V4389" s="215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7" t="str">
        <f t="shared" si="346"/>
        <v/>
      </c>
      <c r="V4390" s="215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7" t="str">
        <f t="shared" si="346"/>
        <v/>
      </c>
      <c r="V4391" s="215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7" t="str">
        <f t="shared" si="346"/>
        <v/>
      </c>
      <c r="V4392" s="215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7" t="str">
        <f t="shared" si="346"/>
        <v/>
      </c>
      <c r="V4393" s="215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7" t="str">
        <f t="shared" si="346"/>
        <v/>
      </c>
      <c r="V4394" s="215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7" t="str">
        <f t="shared" si="346"/>
        <v/>
      </c>
      <c r="V4395" s="215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7" t="str">
        <f t="shared" si="346"/>
        <v/>
      </c>
      <c r="V4396" s="215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7" t="str">
        <f t="shared" si="346"/>
        <v/>
      </c>
      <c r="V4397" s="215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7" t="str">
        <f t="shared" si="346"/>
        <v/>
      </c>
      <c r="V4398" s="215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7" t="str">
        <f t="shared" si="346"/>
        <v/>
      </c>
      <c r="V4399" s="215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7" t="str">
        <f t="shared" si="346"/>
        <v/>
      </c>
      <c r="V4400" s="215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7" t="str">
        <f t="shared" si="346"/>
        <v/>
      </c>
      <c r="V4401" s="215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7" t="str">
        <f t="shared" si="346"/>
        <v/>
      </c>
      <c r="V4402" s="215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7" t="str">
        <f t="shared" si="346"/>
        <v/>
      </c>
      <c r="V4403" s="215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7" t="str">
        <f t="shared" si="346"/>
        <v/>
      </c>
      <c r="V4404" s="215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7" t="str">
        <f t="shared" si="346"/>
        <v/>
      </c>
      <c r="V4405" s="215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7" t="str">
        <f t="shared" si="346"/>
        <v/>
      </c>
      <c r="V4406" s="215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7" t="str">
        <f t="shared" si="346"/>
        <v/>
      </c>
      <c r="V4407" s="215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7" t="str">
        <f t="shared" si="346"/>
        <v/>
      </c>
      <c r="V4408" s="215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7" t="str">
        <f t="shared" si="346"/>
        <v/>
      </c>
      <c r="V4409" s="215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7" t="str">
        <f t="shared" si="346"/>
        <v/>
      </c>
      <c r="V4410" s="215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7" t="str">
        <f t="shared" si="346"/>
        <v/>
      </c>
      <c r="V4411" s="215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7" t="str">
        <f t="shared" si="346"/>
        <v/>
      </c>
      <c r="V4412" s="215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7" t="str">
        <f t="shared" si="346"/>
        <v/>
      </c>
      <c r="V4413" s="215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7" t="str">
        <f t="shared" si="346"/>
        <v/>
      </c>
      <c r="V4414" s="215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7" t="str">
        <f t="shared" si="346"/>
        <v/>
      </c>
      <c r="V4415" s="215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7" t="str">
        <f t="shared" si="346"/>
        <v/>
      </c>
      <c r="V4416" s="215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7" t="str">
        <f t="shared" si="346"/>
        <v/>
      </c>
      <c r="V4417" s="215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7" t="str">
        <f t="shared" ref="U4418:U4481" si="351">IF(OR($D4418="",$H4418=""),"",ROUND($D4418+$H4418,2))</f>
        <v/>
      </c>
      <c r="V4418" s="215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7" t="str">
        <f t="shared" si="351"/>
        <v/>
      </c>
      <c r="V4419" s="215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7" t="str">
        <f t="shared" si="351"/>
        <v/>
      </c>
      <c r="V4420" s="215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7" t="str">
        <f t="shared" si="351"/>
        <v/>
      </c>
      <c r="V4421" s="215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7" t="str">
        <f t="shared" si="351"/>
        <v/>
      </c>
      <c r="V4422" s="215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7" t="str">
        <f t="shared" si="351"/>
        <v/>
      </c>
      <c r="V4423" s="215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7" t="str">
        <f t="shared" si="351"/>
        <v/>
      </c>
      <c r="V4424" s="215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7" t="str">
        <f t="shared" si="351"/>
        <v/>
      </c>
      <c r="V4425" s="215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7" t="str">
        <f t="shared" si="351"/>
        <v/>
      </c>
      <c r="V4426" s="215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7" t="str">
        <f t="shared" si="351"/>
        <v/>
      </c>
      <c r="V4427" s="215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7" t="str">
        <f t="shared" si="351"/>
        <v/>
      </c>
      <c r="V4428" s="215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7" t="str">
        <f t="shared" si="351"/>
        <v/>
      </c>
      <c r="V4429" s="215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7" t="str">
        <f t="shared" si="351"/>
        <v/>
      </c>
      <c r="V4430" s="215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7" t="str">
        <f t="shared" si="351"/>
        <v/>
      </c>
      <c r="V4431" s="215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7" t="str">
        <f t="shared" si="351"/>
        <v/>
      </c>
      <c r="V4432" s="215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7" t="str">
        <f t="shared" si="351"/>
        <v/>
      </c>
      <c r="V4433" s="215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7" t="str">
        <f t="shared" si="351"/>
        <v/>
      </c>
      <c r="V4434" s="215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7" t="str">
        <f t="shared" si="351"/>
        <v/>
      </c>
      <c r="V4435" s="215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7" t="str">
        <f t="shared" si="351"/>
        <v/>
      </c>
      <c r="V4436" s="215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7" t="str">
        <f t="shared" si="351"/>
        <v/>
      </c>
      <c r="V4437" s="215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7" t="str">
        <f t="shared" si="351"/>
        <v/>
      </c>
      <c r="V4438" s="215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7" t="str">
        <f t="shared" si="351"/>
        <v/>
      </c>
      <c r="V4439" s="215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7" t="str">
        <f t="shared" si="351"/>
        <v/>
      </c>
      <c r="V4440" s="215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7" t="str">
        <f t="shared" si="351"/>
        <v/>
      </c>
      <c r="V4441" s="215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7" t="str">
        <f t="shared" si="351"/>
        <v/>
      </c>
      <c r="V4442" s="215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7" t="str">
        <f t="shared" si="351"/>
        <v/>
      </c>
      <c r="V4443" s="215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7" t="str">
        <f t="shared" si="351"/>
        <v/>
      </c>
      <c r="V4444" s="215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7" t="str">
        <f t="shared" si="351"/>
        <v/>
      </c>
      <c r="V4445" s="215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7" t="str">
        <f t="shared" si="351"/>
        <v/>
      </c>
      <c r="V4446" s="215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7" t="str">
        <f t="shared" si="351"/>
        <v/>
      </c>
      <c r="V4447" s="215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7" t="str">
        <f t="shared" si="351"/>
        <v/>
      </c>
      <c r="V4448" s="215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7" t="str">
        <f t="shared" si="351"/>
        <v/>
      </c>
      <c r="V4449" s="215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7" t="str">
        <f t="shared" si="351"/>
        <v/>
      </c>
      <c r="V4450" s="215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7" t="str">
        <f t="shared" si="351"/>
        <v/>
      </c>
      <c r="V4451" s="215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7" t="str">
        <f t="shared" si="351"/>
        <v/>
      </c>
      <c r="V4452" s="215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7" t="str">
        <f t="shared" si="351"/>
        <v/>
      </c>
      <c r="V4453" s="215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7" t="str">
        <f t="shared" si="351"/>
        <v/>
      </c>
      <c r="V4454" s="215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7" t="str">
        <f t="shared" si="351"/>
        <v/>
      </c>
      <c r="V4455" s="215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7" t="str">
        <f t="shared" si="351"/>
        <v/>
      </c>
      <c r="V4456" s="215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7" t="str">
        <f t="shared" si="351"/>
        <v/>
      </c>
      <c r="V4457" s="215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7" t="str">
        <f t="shared" si="351"/>
        <v/>
      </c>
      <c r="V4458" s="215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7" t="str">
        <f t="shared" si="351"/>
        <v/>
      </c>
      <c r="V4459" s="215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7" t="str">
        <f t="shared" si="351"/>
        <v/>
      </c>
      <c r="V4460" s="215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7" t="str">
        <f t="shared" si="351"/>
        <v/>
      </c>
      <c r="V4461" s="215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7" t="str">
        <f t="shared" si="351"/>
        <v/>
      </c>
      <c r="V4462" s="215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7" t="str">
        <f t="shared" si="351"/>
        <v/>
      </c>
      <c r="V4463" s="215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7" t="str">
        <f t="shared" si="351"/>
        <v/>
      </c>
      <c r="V4464" s="215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7" t="str">
        <f t="shared" si="351"/>
        <v/>
      </c>
      <c r="V4465" s="215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7" t="str">
        <f t="shared" si="351"/>
        <v/>
      </c>
      <c r="V4466" s="215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7" t="str">
        <f t="shared" si="351"/>
        <v/>
      </c>
      <c r="V4467" s="215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7" t="str">
        <f t="shared" si="351"/>
        <v/>
      </c>
      <c r="V4468" s="215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7" t="str">
        <f t="shared" si="351"/>
        <v/>
      </c>
      <c r="V4469" s="215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7" t="str">
        <f t="shared" si="351"/>
        <v/>
      </c>
      <c r="V4470" s="215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7" t="str">
        <f t="shared" si="351"/>
        <v/>
      </c>
      <c r="V4471" s="215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7" t="str">
        <f t="shared" si="351"/>
        <v/>
      </c>
      <c r="V4472" s="215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7" t="str">
        <f t="shared" si="351"/>
        <v/>
      </c>
      <c r="V4473" s="215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7" t="str">
        <f t="shared" si="351"/>
        <v/>
      </c>
      <c r="V4474" s="215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7" t="str">
        <f t="shared" si="351"/>
        <v/>
      </c>
      <c r="V4475" s="215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7" t="str">
        <f t="shared" si="351"/>
        <v/>
      </c>
      <c r="V4476" s="215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7" t="str">
        <f t="shared" si="351"/>
        <v/>
      </c>
      <c r="V4477" s="215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7" t="str">
        <f t="shared" si="351"/>
        <v/>
      </c>
      <c r="V4478" s="215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7" t="str">
        <f t="shared" si="351"/>
        <v/>
      </c>
      <c r="V4479" s="215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7" t="str">
        <f t="shared" si="351"/>
        <v/>
      </c>
      <c r="V4480" s="215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7" t="str">
        <f t="shared" si="351"/>
        <v/>
      </c>
      <c r="V4481" s="215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7" t="str">
        <f t="shared" ref="U4482:U4545" si="356">IF(OR($D4482="",$H4482=""),"",ROUND($D4482+$H4482,2))</f>
        <v/>
      </c>
      <c r="V4482" s="215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7" t="str">
        <f t="shared" si="356"/>
        <v/>
      </c>
      <c r="V4483" s="215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7" t="str">
        <f t="shared" si="356"/>
        <v/>
      </c>
      <c r="V4484" s="215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7" t="str">
        <f t="shared" si="356"/>
        <v/>
      </c>
      <c r="V4485" s="215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7" t="str">
        <f t="shared" si="356"/>
        <v/>
      </c>
      <c r="V4486" s="215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7" t="str">
        <f t="shared" si="356"/>
        <v/>
      </c>
      <c r="V4487" s="215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7" t="str">
        <f t="shared" si="356"/>
        <v/>
      </c>
      <c r="V4488" s="215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7" t="str">
        <f t="shared" si="356"/>
        <v/>
      </c>
      <c r="V4489" s="215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7" t="str">
        <f t="shared" si="356"/>
        <v/>
      </c>
      <c r="V4490" s="215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7" t="str">
        <f t="shared" si="356"/>
        <v/>
      </c>
      <c r="V4491" s="215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7" t="str">
        <f t="shared" si="356"/>
        <v/>
      </c>
      <c r="V4492" s="215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7" t="str">
        <f t="shared" si="356"/>
        <v/>
      </c>
      <c r="V4493" s="215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7" t="str">
        <f t="shared" si="356"/>
        <v/>
      </c>
      <c r="V4494" s="215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7" t="str">
        <f t="shared" si="356"/>
        <v/>
      </c>
      <c r="V4495" s="215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7" t="str">
        <f t="shared" si="356"/>
        <v/>
      </c>
      <c r="V4496" s="215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7" t="str">
        <f t="shared" si="356"/>
        <v/>
      </c>
      <c r="V4497" s="215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7" t="str">
        <f t="shared" si="356"/>
        <v/>
      </c>
      <c r="V4498" s="215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7" t="str">
        <f t="shared" si="356"/>
        <v/>
      </c>
      <c r="V4499" s="215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7" t="str">
        <f t="shared" si="356"/>
        <v/>
      </c>
      <c r="V4500" s="215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7" t="str">
        <f t="shared" si="356"/>
        <v/>
      </c>
      <c r="V4501" s="215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7" t="str">
        <f t="shared" si="356"/>
        <v/>
      </c>
      <c r="V4502" s="215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7" t="str">
        <f t="shared" si="356"/>
        <v/>
      </c>
      <c r="V4503" s="215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7" t="str">
        <f t="shared" si="356"/>
        <v/>
      </c>
      <c r="V4504" s="215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7" t="str">
        <f t="shared" si="356"/>
        <v/>
      </c>
      <c r="V4505" s="215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7" t="str">
        <f t="shared" si="356"/>
        <v/>
      </c>
      <c r="V4506" s="215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7" t="str">
        <f t="shared" si="356"/>
        <v/>
      </c>
      <c r="V4507" s="215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7" t="str">
        <f t="shared" si="356"/>
        <v/>
      </c>
      <c r="V4508" s="215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7" t="str">
        <f t="shared" si="356"/>
        <v/>
      </c>
      <c r="V4509" s="215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7" t="str">
        <f t="shared" si="356"/>
        <v/>
      </c>
      <c r="V4510" s="215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7" t="str">
        <f t="shared" si="356"/>
        <v/>
      </c>
      <c r="V4511" s="215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7" t="str">
        <f t="shared" si="356"/>
        <v/>
      </c>
      <c r="V4512" s="215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7" t="str">
        <f t="shared" si="356"/>
        <v/>
      </c>
      <c r="V4513" s="215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7" t="str">
        <f t="shared" si="356"/>
        <v/>
      </c>
      <c r="V4514" s="215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7" t="str">
        <f t="shared" si="356"/>
        <v/>
      </c>
      <c r="V4515" s="215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7" t="str">
        <f t="shared" si="356"/>
        <v/>
      </c>
      <c r="V4516" s="215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7" t="str">
        <f t="shared" si="356"/>
        <v/>
      </c>
      <c r="V4517" s="215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7" t="str">
        <f t="shared" si="356"/>
        <v/>
      </c>
      <c r="V4518" s="215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7" t="str">
        <f t="shared" si="356"/>
        <v/>
      </c>
      <c r="V4519" s="215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7" t="str">
        <f t="shared" si="356"/>
        <v/>
      </c>
      <c r="V4520" s="215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7" t="str">
        <f t="shared" si="356"/>
        <v/>
      </c>
      <c r="V4521" s="215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7" t="str">
        <f t="shared" si="356"/>
        <v/>
      </c>
      <c r="V4522" s="215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7" t="str">
        <f t="shared" si="356"/>
        <v/>
      </c>
      <c r="V4523" s="215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7" t="str">
        <f t="shared" si="356"/>
        <v/>
      </c>
      <c r="V4524" s="215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7" t="str">
        <f t="shared" si="356"/>
        <v/>
      </c>
      <c r="V4525" s="215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7" t="str">
        <f t="shared" si="356"/>
        <v/>
      </c>
      <c r="V4526" s="215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7" t="str">
        <f t="shared" si="356"/>
        <v/>
      </c>
      <c r="V4527" s="215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7" t="str">
        <f t="shared" si="356"/>
        <v/>
      </c>
      <c r="V4528" s="215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7" t="str">
        <f t="shared" si="356"/>
        <v/>
      </c>
      <c r="V4529" s="215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7" t="str">
        <f t="shared" si="356"/>
        <v/>
      </c>
      <c r="V4530" s="215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7" t="str">
        <f t="shared" si="356"/>
        <v/>
      </c>
      <c r="V4531" s="215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7" t="str">
        <f t="shared" si="356"/>
        <v/>
      </c>
      <c r="V4532" s="215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7" t="str">
        <f t="shared" si="356"/>
        <v/>
      </c>
      <c r="V4533" s="215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7" t="str">
        <f t="shared" si="356"/>
        <v/>
      </c>
      <c r="V4534" s="215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7" t="str">
        <f t="shared" si="356"/>
        <v/>
      </c>
      <c r="V4535" s="215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7" t="str">
        <f t="shared" si="356"/>
        <v/>
      </c>
      <c r="V4536" s="215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7" t="str">
        <f t="shared" si="356"/>
        <v/>
      </c>
      <c r="V4537" s="215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7" t="str">
        <f t="shared" si="356"/>
        <v/>
      </c>
      <c r="V4538" s="215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7" t="str">
        <f t="shared" si="356"/>
        <v/>
      </c>
      <c r="V4539" s="215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7" t="str">
        <f t="shared" si="356"/>
        <v/>
      </c>
      <c r="V4540" s="215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7" t="str">
        <f t="shared" si="356"/>
        <v/>
      </c>
      <c r="V4541" s="215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7" t="str">
        <f t="shared" si="356"/>
        <v/>
      </c>
      <c r="V4542" s="215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7" t="str">
        <f t="shared" si="356"/>
        <v/>
      </c>
      <c r="V4543" s="215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7" t="str">
        <f t="shared" si="356"/>
        <v/>
      </c>
      <c r="V4544" s="215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7" t="str">
        <f t="shared" si="356"/>
        <v/>
      </c>
      <c r="V4545" s="215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7" t="str">
        <f t="shared" ref="U4546:U4609" si="361">IF(OR($D4546="",$H4546=""),"",ROUND($D4546+$H4546,2))</f>
        <v/>
      </c>
      <c r="V4546" s="215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7" t="str">
        <f t="shared" si="361"/>
        <v/>
      </c>
      <c r="V4547" s="215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7" t="str">
        <f t="shared" si="361"/>
        <v/>
      </c>
      <c r="V4548" s="215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7" t="str">
        <f t="shared" si="361"/>
        <v/>
      </c>
      <c r="V4549" s="215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7" t="str">
        <f t="shared" si="361"/>
        <v/>
      </c>
      <c r="V4550" s="215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7" t="str">
        <f t="shared" si="361"/>
        <v/>
      </c>
      <c r="V4551" s="215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7" t="str">
        <f t="shared" si="361"/>
        <v/>
      </c>
      <c r="V4552" s="215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7" t="str">
        <f t="shared" si="361"/>
        <v/>
      </c>
      <c r="V4553" s="215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7" t="str">
        <f t="shared" si="361"/>
        <v/>
      </c>
      <c r="V4554" s="215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7" t="str">
        <f t="shared" si="361"/>
        <v/>
      </c>
      <c r="V4555" s="215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7" t="str">
        <f t="shared" si="361"/>
        <v/>
      </c>
      <c r="V4556" s="215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7" t="str">
        <f t="shared" si="361"/>
        <v/>
      </c>
      <c r="V4557" s="215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7" t="str">
        <f t="shared" si="361"/>
        <v/>
      </c>
      <c r="V4558" s="215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7" t="str">
        <f t="shared" si="361"/>
        <v/>
      </c>
      <c r="V4559" s="215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7" t="str">
        <f t="shared" si="361"/>
        <v/>
      </c>
      <c r="V4560" s="215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7" t="str">
        <f t="shared" si="361"/>
        <v/>
      </c>
      <c r="V4561" s="215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7" t="str">
        <f t="shared" si="361"/>
        <v/>
      </c>
      <c r="V4562" s="215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7" t="str">
        <f t="shared" si="361"/>
        <v/>
      </c>
      <c r="V4563" s="215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7" t="str">
        <f t="shared" si="361"/>
        <v/>
      </c>
      <c r="V4564" s="215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7" t="str">
        <f t="shared" si="361"/>
        <v/>
      </c>
      <c r="V4565" s="215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7" t="str">
        <f t="shared" si="361"/>
        <v/>
      </c>
      <c r="V4566" s="215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7" t="str">
        <f t="shared" si="361"/>
        <v/>
      </c>
      <c r="V4567" s="215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7" t="str">
        <f t="shared" si="361"/>
        <v/>
      </c>
      <c r="V4568" s="215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7" t="str">
        <f t="shared" si="361"/>
        <v/>
      </c>
      <c r="V4569" s="215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7" t="str">
        <f t="shared" si="361"/>
        <v/>
      </c>
      <c r="V4570" s="215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7" t="str">
        <f t="shared" si="361"/>
        <v/>
      </c>
      <c r="V4571" s="215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7" t="str">
        <f t="shared" si="361"/>
        <v/>
      </c>
      <c r="V4572" s="215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7" t="str">
        <f t="shared" si="361"/>
        <v/>
      </c>
      <c r="V4573" s="215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7" t="str">
        <f t="shared" si="361"/>
        <v/>
      </c>
      <c r="V4574" s="215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7" t="str">
        <f t="shared" si="361"/>
        <v/>
      </c>
      <c r="V4575" s="215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7" t="str">
        <f t="shared" si="361"/>
        <v/>
      </c>
      <c r="V4576" s="215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7" t="str">
        <f t="shared" si="361"/>
        <v/>
      </c>
      <c r="V4577" s="215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7" t="str">
        <f t="shared" si="361"/>
        <v/>
      </c>
      <c r="V4578" s="215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7" t="str">
        <f t="shared" si="361"/>
        <v/>
      </c>
      <c r="V4579" s="215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7" t="str">
        <f t="shared" si="361"/>
        <v/>
      </c>
      <c r="V4580" s="215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7" t="str">
        <f t="shared" si="361"/>
        <v/>
      </c>
      <c r="V4581" s="215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7" t="str">
        <f t="shared" si="361"/>
        <v/>
      </c>
      <c r="V4582" s="215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7" t="str">
        <f t="shared" si="361"/>
        <v/>
      </c>
      <c r="V4583" s="215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7" t="str">
        <f t="shared" si="361"/>
        <v/>
      </c>
      <c r="V4584" s="215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7" t="str">
        <f t="shared" si="361"/>
        <v/>
      </c>
      <c r="V4585" s="215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7" t="str">
        <f t="shared" si="361"/>
        <v/>
      </c>
      <c r="V4586" s="215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7" t="str">
        <f t="shared" si="361"/>
        <v/>
      </c>
      <c r="V4587" s="215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7" t="str">
        <f t="shared" si="361"/>
        <v/>
      </c>
      <c r="V4588" s="215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7" t="str">
        <f t="shared" si="361"/>
        <v/>
      </c>
      <c r="V4589" s="215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7" t="str">
        <f t="shared" si="361"/>
        <v/>
      </c>
      <c r="V4590" s="215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7" t="str">
        <f t="shared" si="361"/>
        <v/>
      </c>
      <c r="V4591" s="215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7" t="str">
        <f t="shared" si="361"/>
        <v/>
      </c>
      <c r="V4592" s="215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7" t="str">
        <f t="shared" si="361"/>
        <v/>
      </c>
      <c r="V4593" s="215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7" t="str">
        <f t="shared" si="361"/>
        <v/>
      </c>
      <c r="V4594" s="215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7" t="str">
        <f t="shared" si="361"/>
        <v/>
      </c>
      <c r="V4595" s="215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7" t="str">
        <f t="shared" si="361"/>
        <v/>
      </c>
      <c r="V4596" s="215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7" t="str">
        <f t="shared" si="361"/>
        <v/>
      </c>
      <c r="V4597" s="215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7" t="str">
        <f t="shared" si="361"/>
        <v/>
      </c>
      <c r="V4598" s="215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7" t="str">
        <f t="shared" si="361"/>
        <v/>
      </c>
      <c r="V4599" s="215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7" t="str">
        <f t="shared" si="361"/>
        <v/>
      </c>
      <c r="V4600" s="215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7" t="str">
        <f t="shared" si="361"/>
        <v/>
      </c>
      <c r="V4601" s="215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7" t="str">
        <f t="shared" si="361"/>
        <v/>
      </c>
      <c r="V4602" s="215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7" t="str">
        <f t="shared" si="361"/>
        <v/>
      </c>
      <c r="V4603" s="215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7" t="str">
        <f t="shared" si="361"/>
        <v/>
      </c>
      <c r="V4604" s="215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7" t="str">
        <f t="shared" si="361"/>
        <v/>
      </c>
      <c r="V4605" s="215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7" t="str">
        <f t="shared" si="361"/>
        <v/>
      </c>
      <c r="V4606" s="215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7" t="str">
        <f t="shared" si="361"/>
        <v/>
      </c>
      <c r="V4607" s="215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7" t="str">
        <f t="shared" si="361"/>
        <v/>
      </c>
      <c r="V4608" s="215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7" t="str">
        <f t="shared" si="361"/>
        <v/>
      </c>
      <c r="V4609" s="215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7" t="str">
        <f t="shared" ref="U4610:U4673" si="366">IF(OR($D4610="",$H4610=""),"",ROUND($D4610+$H4610,2))</f>
        <v/>
      </c>
      <c r="V4610" s="215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7" t="str">
        <f t="shared" si="366"/>
        <v/>
      </c>
      <c r="V4611" s="215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7" t="str">
        <f t="shared" si="366"/>
        <v/>
      </c>
      <c r="V4612" s="215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7" t="str">
        <f t="shared" si="366"/>
        <v/>
      </c>
      <c r="V4613" s="215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7" t="str">
        <f t="shared" si="366"/>
        <v/>
      </c>
      <c r="V4614" s="215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7" t="str">
        <f t="shared" si="366"/>
        <v/>
      </c>
      <c r="V4615" s="215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7" t="str">
        <f t="shared" si="366"/>
        <v/>
      </c>
      <c r="V4616" s="215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7" t="str">
        <f t="shared" si="366"/>
        <v/>
      </c>
      <c r="V4617" s="215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7" t="str">
        <f t="shared" si="366"/>
        <v/>
      </c>
      <c r="V4618" s="215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7" t="str">
        <f t="shared" si="366"/>
        <v/>
      </c>
      <c r="V4619" s="215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7" t="str">
        <f t="shared" si="366"/>
        <v/>
      </c>
      <c r="V4620" s="215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7" t="str">
        <f t="shared" si="366"/>
        <v/>
      </c>
      <c r="V4621" s="215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7" t="str">
        <f t="shared" si="366"/>
        <v/>
      </c>
      <c r="V4622" s="215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7" t="str">
        <f t="shared" si="366"/>
        <v/>
      </c>
      <c r="V4623" s="215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7" t="str">
        <f t="shared" si="366"/>
        <v/>
      </c>
      <c r="V4624" s="215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7" t="str">
        <f t="shared" si="366"/>
        <v/>
      </c>
      <c r="V4625" s="215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7" t="str">
        <f t="shared" si="366"/>
        <v/>
      </c>
      <c r="V4626" s="215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7" t="str">
        <f t="shared" si="366"/>
        <v/>
      </c>
      <c r="V4627" s="215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7" t="str">
        <f t="shared" si="366"/>
        <v/>
      </c>
      <c r="V4628" s="215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7" t="str">
        <f t="shared" si="366"/>
        <v/>
      </c>
      <c r="V4629" s="215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7" t="str">
        <f t="shared" si="366"/>
        <v/>
      </c>
      <c r="V4630" s="215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7" t="str">
        <f t="shared" si="366"/>
        <v/>
      </c>
      <c r="V4631" s="215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7" t="str">
        <f t="shared" si="366"/>
        <v/>
      </c>
      <c r="V4632" s="215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7" t="str">
        <f t="shared" si="366"/>
        <v/>
      </c>
      <c r="V4633" s="215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7" t="str">
        <f t="shared" si="366"/>
        <v/>
      </c>
      <c r="V4634" s="215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7" t="str">
        <f t="shared" si="366"/>
        <v/>
      </c>
      <c r="V4635" s="215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7" t="str">
        <f t="shared" si="366"/>
        <v/>
      </c>
      <c r="V4636" s="215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7" t="str">
        <f t="shared" si="366"/>
        <v/>
      </c>
      <c r="V4637" s="215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7" t="str">
        <f t="shared" si="366"/>
        <v/>
      </c>
      <c r="V4638" s="215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7" t="str">
        <f t="shared" si="366"/>
        <v/>
      </c>
      <c r="V4639" s="215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7" t="str">
        <f t="shared" si="366"/>
        <v/>
      </c>
      <c r="V4640" s="215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7" t="str">
        <f t="shared" si="366"/>
        <v/>
      </c>
      <c r="V4641" s="215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7" t="str">
        <f t="shared" si="366"/>
        <v/>
      </c>
      <c r="V4642" s="215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7" t="str">
        <f t="shared" si="366"/>
        <v/>
      </c>
      <c r="V4643" s="215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7" t="str">
        <f t="shared" si="366"/>
        <v/>
      </c>
      <c r="V4644" s="215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7" t="str">
        <f t="shared" si="366"/>
        <v/>
      </c>
      <c r="V4645" s="215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7" t="str">
        <f t="shared" si="366"/>
        <v/>
      </c>
      <c r="V4646" s="215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7" t="str">
        <f t="shared" si="366"/>
        <v/>
      </c>
      <c r="V4647" s="215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7" t="str">
        <f t="shared" si="366"/>
        <v/>
      </c>
      <c r="V4648" s="215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7" t="str">
        <f t="shared" si="366"/>
        <v/>
      </c>
      <c r="V4649" s="215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7" t="str">
        <f t="shared" si="366"/>
        <v/>
      </c>
      <c r="V4650" s="215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7" t="str">
        <f t="shared" si="366"/>
        <v/>
      </c>
      <c r="V4651" s="215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7" t="str">
        <f t="shared" si="366"/>
        <v/>
      </c>
      <c r="V4652" s="215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7" t="str">
        <f t="shared" si="366"/>
        <v/>
      </c>
      <c r="V4653" s="215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7" t="str">
        <f t="shared" si="366"/>
        <v/>
      </c>
      <c r="V4654" s="215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7" t="str">
        <f t="shared" si="366"/>
        <v/>
      </c>
      <c r="V4655" s="215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7" t="str">
        <f t="shared" si="366"/>
        <v/>
      </c>
      <c r="V4656" s="215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7" t="str">
        <f t="shared" si="366"/>
        <v/>
      </c>
      <c r="V4657" s="215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7" t="str">
        <f t="shared" si="366"/>
        <v/>
      </c>
      <c r="V4658" s="215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7" t="str">
        <f t="shared" si="366"/>
        <v/>
      </c>
      <c r="V4659" s="215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7" t="str">
        <f t="shared" si="366"/>
        <v/>
      </c>
      <c r="V4660" s="215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7" t="str">
        <f t="shared" si="366"/>
        <v/>
      </c>
      <c r="V4661" s="215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7" t="str">
        <f t="shared" si="366"/>
        <v/>
      </c>
      <c r="V4662" s="215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7" t="str">
        <f t="shared" si="366"/>
        <v/>
      </c>
      <c r="V4663" s="215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7" t="str">
        <f t="shared" si="366"/>
        <v/>
      </c>
      <c r="V4664" s="215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7" t="str">
        <f t="shared" si="366"/>
        <v/>
      </c>
      <c r="V4665" s="215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7" t="str">
        <f t="shared" si="366"/>
        <v/>
      </c>
      <c r="V4666" s="215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7" t="str">
        <f t="shared" si="366"/>
        <v/>
      </c>
      <c r="V4667" s="215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7" t="str">
        <f t="shared" si="366"/>
        <v/>
      </c>
      <c r="V4668" s="215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7" t="str">
        <f t="shared" si="366"/>
        <v/>
      </c>
      <c r="V4669" s="215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7" t="str">
        <f t="shared" si="366"/>
        <v/>
      </c>
      <c r="V4670" s="215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7" t="str">
        <f t="shared" si="366"/>
        <v/>
      </c>
      <c r="V4671" s="215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7" t="str">
        <f t="shared" si="366"/>
        <v/>
      </c>
      <c r="V4672" s="215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7" t="str">
        <f t="shared" si="366"/>
        <v/>
      </c>
      <c r="V4673" s="215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7" t="str">
        <f t="shared" ref="U4674:U4737" si="371">IF(OR($D4674="",$H4674=""),"",ROUND($D4674+$H4674,2))</f>
        <v/>
      </c>
      <c r="V4674" s="215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7" t="str">
        <f t="shared" si="371"/>
        <v/>
      </c>
      <c r="V4675" s="215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7" t="str">
        <f t="shared" si="371"/>
        <v/>
      </c>
      <c r="V4676" s="215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7" t="str">
        <f t="shared" si="371"/>
        <v/>
      </c>
      <c r="V4677" s="215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7" t="str">
        <f t="shared" si="371"/>
        <v/>
      </c>
      <c r="V4678" s="215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7" t="str">
        <f t="shared" si="371"/>
        <v/>
      </c>
      <c r="V4679" s="215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7" t="str">
        <f t="shared" si="371"/>
        <v/>
      </c>
      <c r="V4680" s="215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7" t="str">
        <f t="shared" si="371"/>
        <v/>
      </c>
      <c r="V4681" s="215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7" t="str">
        <f t="shared" si="371"/>
        <v/>
      </c>
      <c r="V4682" s="215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7" t="str">
        <f t="shared" si="371"/>
        <v/>
      </c>
      <c r="V4683" s="215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7" t="str">
        <f t="shared" si="371"/>
        <v/>
      </c>
      <c r="V4684" s="215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7" t="str">
        <f t="shared" si="371"/>
        <v/>
      </c>
      <c r="V4685" s="215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7" t="str">
        <f t="shared" si="371"/>
        <v/>
      </c>
      <c r="V4686" s="215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7" t="str">
        <f t="shared" si="371"/>
        <v/>
      </c>
      <c r="V4687" s="215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7" t="str">
        <f t="shared" si="371"/>
        <v/>
      </c>
      <c r="V4688" s="215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7" t="str">
        <f t="shared" si="371"/>
        <v/>
      </c>
      <c r="V4689" s="215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7" t="str">
        <f t="shared" si="371"/>
        <v/>
      </c>
      <c r="V4690" s="215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7" t="str">
        <f t="shared" si="371"/>
        <v/>
      </c>
      <c r="V4691" s="215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7" t="str">
        <f t="shared" si="371"/>
        <v/>
      </c>
      <c r="V4692" s="215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7" t="str">
        <f t="shared" si="371"/>
        <v/>
      </c>
      <c r="V4693" s="215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7" t="str">
        <f t="shared" si="371"/>
        <v/>
      </c>
      <c r="V4694" s="215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7" t="str">
        <f t="shared" si="371"/>
        <v/>
      </c>
      <c r="V4695" s="215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7" t="str">
        <f t="shared" si="371"/>
        <v/>
      </c>
      <c r="V4696" s="215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7" t="str">
        <f t="shared" si="371"/>
        <v/>
      </c>
      <c r="V4697" s="215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7" t="str">
        <f t="shared" si="371"/>
        <v/>
      </c>
      <c r="V4698" s="215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7" t="str">
        <f t="shared" si="371"/>
        <v/>
      </c>
      <c r="V4699" s="215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7" t="str">
        <f t="shared" si="371"/>
        <v/>
      </c>
      <c r="V4700" s="215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7" t="str">
        <f t="shared" si="371"/>
        <v/>
      </c>
      <c r="V4701" s="215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7" t="str">
        <f t="shared" si="371"/>
        <v/>
      </c>
      <c r="V4702" s="215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7" t="str">
        <f t="shared" si="371"/>
        <v/>
      </c>
      <c r="V4703" s="215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7" t="str">
        <f t="shared" si="371"/>
        <v/>
      </c>
      <c r="V4704" s="215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7" t="str">
        <f t="shared" si="371"/>
        <v/>
      </c>
      <c r="V4705" s="215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7" t="str">
        <f t="shared" si="371"/>
        <v/>
      </c>
      <c r="V4706" s="215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7" t="str">
        <f t="shared" si="371"/>
        <v/>
      </c>
      <c r="V4707" s="215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7" t="str">
        <f t="shared" si="371"/>
        <v/>
      </c>
      <c r="V4708" s="215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7" t="str">
        <f t="shared" si="371"/>
        <v/>
      </c>
      <c r="V4709" s="215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7" t="str">
        <f t="shared" si="371"/>
        <v/>
      </c>
      <c r="V4710" s="215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7" t="str">
        <f t="shared" si="371"/>
        <v/>
      </c>
      <c r="V4711" s="215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7" t="str">
        <f t="shared" si="371"/>
        <v/>
      </c>
      <c r="V4712" s="215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7" t="str">
        <f t="shared" si="371"/>
        <v/>
      </c>
      <c r="V4713" s="215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7" t="str">
        <f t="shared" si="371"/>
        <v/>
      </c>
      <c r="V4714" s="215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7" t="str">
        <f t="shared" si="371"/>
        <v/>
      </c>
      <c r="V4715" s="215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7" t="str">
        <f t="shared" si="371"/>
        <v/>
      </c>
      <c r="V4716" s="215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7" t="str">
        <f t="shared" si="371"/>
        <v/>
      </c>
      <c r="V4717" s="215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7" t="str">
        <f t="shared" si="371"/>
        <v/>
      </c>
      <c r="V4718" s="215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7" t="str">
        <f t="shared" si="371"/>
        <v/>
      </c>
      <c r="V4719" s="215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7" t="str">
        <f t="shared" si="371"/>
        <v/>
      </c>
      <c r="V4720" s="215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7" t="str">
        <f t="shared" si="371"/>
        <v/>
      </c>
      <c r="V4721" s="215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7" t="str">
        <f t="shared" si="371"/>
        <v/>
      </c>
      <c r="V4722" s="215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7" t="str">
        <f t="shared" si="371"/>
        <v/>
      </c>
      <c r="V4723" s="215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7" t="str">
        <f t="shared" si="371"/>
        <v/>
      </c>
      <c r="V4724" s="215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7" t="str">
        <f t="shared" si="371"/>
        <v/>
      </c>
      <c r="V4725" s="215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7" t="str">
        <f t="shared" si="371"/>
        <v/>
      </c>
      <c r="V4726" s="215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7" t="str">
        <f t="shared" si="371"/>
        <v/>
      </c>
      <c r="V4727" s="215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7" t="str">
        <f t="shared" si="371"/>
        <v/>
      </c>
      <c r="V4728" s="215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7" t="str">
        <f t="shared" si="371"/>
        <v/>
      </c>
      <c r="V4729" s="215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7" t="str">
        <f t="shared" si="371"/>
        <v/>
      </c>
      <c r="V4730" s="215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7" t="str">
        <f t="shared" si="371"/>
        <v/>
      </c>
      <c r="V4731" s="215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7" t="str">
        <f t="shared" si="371"/>
        <v/>
      </c>
      <c r="V4732" s="215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7" t="str">
        <f t="shared" si="371"/>
        <v/>
      </c>
      <c r="V4733" s="215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7" t="str">
        <f t="shared" si="371"/>
        <v/>
      </c>
      <c r="V4734" s="215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7" t="str">
        <f t="shared" si="371"/>
        <v/>
      </c>
      <c r="V4735" s="215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7" t="str">
        <f t="shared" si="371"/>
        <v/>
      </c>
      <c r="V4736" s="215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7" t="str">
        <f t="shared" si="371"/>
        <v/>
      </c>
      <c r="V4737" s="215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7" t="str">
        <f t="shared" ref="U4738:U4801" si="376">IF(OR($D4738="",$H4738=""),"",ROUND($D4738+$H4738,2))</f>
        <v/>
      </c>
      <c r="V4738" s="215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7" t="str">
        <f t="shared" si="376"/>
        <v/>
      </c>
      <c r="V4739" s="215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7" t="str">
        <f t="shared" si="376"/>
        <v/>
      </c>
      <c r="V4740" s="215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7" t="str">
        <f t="shared" si="376"/>
        <v/>
      </c>
      <c r="V4741" s="215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7" t="str">
        <f t="shared" si="376"/>
        <v/>
      </c>
      <c r="V4742" s="215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7" t="str">
        <f t="shared" si="376"/>
        <v/>
      </c>
      <c r="V4743" s="215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7" t="str">
        <f t="shared" si="376"/>
        <v/>
      </c>
      <c r="V4744" s="215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7" t="str">
        <f t="shared" si="376"/>
        <v/>
      </c>
      <c r="V4745" s="215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7" t="str">
        <f t="shared" si="376"/>
        <v/>
      </c>
      <c r="V4746" s="215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7" t="str">
        <f t="shared" si="376"/>
        <v/>
      </c>
      <c r="V4747" s="215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7" t="str">
        <f t="shared" si="376"/>
        <v/>
      </c>
      <c r="V4748" s="215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7" t="str">
        <f t="shared" si="376"/>
        <v/>
      </c>
      <c r="V4749" s="215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7" t="str">
        <f t="shared" si="376"/>
        <v/>
      </c>
      <c r="V4750" s="215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7" t="str">
        <f t="shared" si="376"/>
        <v/>
      </c>
      <c r="V4751" s="215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7" t="str">
        <f t="shared" si="376"/>
        <v/>
      </c>
      <c r="V4752" s="215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7" t="str">
        <f t="shared" si="376"/>
        <v/>
      </c>
      <c r="V4753" s="215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7" t="str">
        <f t="shared" si="376"/>
        <v/>
      </c>
      <c r="V4754" s="215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7" t="str">
        <f t="shared" si="376"/>
        <v/>
      </c>
      <c r="V4755" s="215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7" t="str">
        <f t="shared" si="376"/>
        <v/>
      </c>
      <c r="V4756" s="215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7" t="str">
        <f t="shared" si="376"/>
        <v/>
      </c>
      <c r="V4757" s="215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7" t="str">
        <f t="shared" si="376"/>
        <v/>
      </c>
      <c r="V4758" s="215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7" t="str">
        <f t="shared" si="376"/>
        <v/>
      </c>
      <c r="V4759" s="215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7" t="str">
        <f t="shared" si="376"/>
        <v/>
      </c>
      <c r="V4760" s="215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7" t="str">
        <f t="shared" si="376"/>
        <v/>
      </c>
      <c r="V4761" s="215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7" t="str">
        <f t="shared" si="376"/>
        <v/>
      </c>
      <c r="V4762" s="215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7" t="str">
        <f t="shared" si="376"/>
        <v/>
      </c>
      <c r="V4763" s="215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7" t="str">
        <f t="shared" si="376"/>
        <v/>
      </c>
      <c r="V4764" s="215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7" t="str">
        <f t="shared" si="376"/>
        <v/>
      </c>
      <c r="V4765" s="215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7" t="str">
        <f t="shared" si="376"/>
        <v/>
      </c>
      <c r="V4766" s="215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7" t="str">
        <f t="shared" si="376"/>
        <v/>
      </c>
      <c r="V4767" s="215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7" t="str">
        <f t="shared" si="376"/>
        <v/>
      </c>
      <c r="V4768" s="215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7" t="str">
        <f t="shared" si="376"/>
        <v/>
      </c>
      <c r="V4769" s="215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7" t="str">
        <f t="shared" si="376"/>
        <v/>
      </c>
      <c r="V4770" s="215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7" t="str">
        <f t="shared" si="376"/>
        <v/>
      </c>
      <c r="V4771" s="215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7" t="str">
        <f t="shared" si="376"/>
        <v/>
      </c>
      <c r="V4772" s="215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7" t="str">
        <f t="shared" si="376"/>
        <v/>
      </c>
      <c r="V4773" s="215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7" t="str">
        <f t="shared" si="376"/>
        <v/>
      </c>
      <c r="V4774" s="215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7" t="str">
        <f t="shared" si="376"/>
        <v/>
      </c>
      <c r="V4775" s="215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7" t="str">
        <f t="shared" si="376"/>
        <v/>
      </c>
      <c r="V4776" s="215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7" t="str">
        <f t="shared" si="376"/>
        <v/>
      </c>
      <c r="V4777" s="215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7" t="str">
        <f t="shared" si="376"/>
        <v/>
      </c>
      <c r="V4778" s="215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7" t="str">
        <f t="shared" si="376"/>
        <v/>
      </c>
      <c r="V4779" s="215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7" t="str">
        <f t="shared" si="376"/>
        <v/>
      </c>
      <c r="V4780" s="215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7" t="str">
        <f t="shared" si="376"/>
        <v/>
      </c>
      <c r="V4781" s="215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7" t="str">
        <f t="shared" si="376"/>
        <v/>
      </c>
      <c r="V4782" s="215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7" t="str">
        <f t="shared" si="376"/>
        <v/>
      </c>
      <c r="V4783" s="215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7" t="str">
        <f t="shared" si="376"/>
        <v/>
      </c>
      <c r="V4784" s="215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7" t="str">
        <f t="shared" si="376"/>
        <v/>
      </c>
      <c r="V4785" s="215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7" t="str">
        <f t="shared" si="376"/>
        <v/>
      </c>
      <c r="V4786" s="215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7" t="str">
        <f t="shared" si="376"/>
        <v/>
      </c>
      <c r="V4787" s="215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7" t="str">
        <f t="shared" si="376"/>
        <v/>
      </c>
      <c r="V4788" s="215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7" t="str">
        <f t="shared" si="376"/>
        <v/>
      </c>
      <c r="V4789" s="215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7" t="str">
        <f t="shared" si="376"/>
        <v/>
      </c>
      <c r="V4790" s="215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7" t="str">
        <f t="shared" si="376"/>
        <v/>
      </c>
      <c r="V4791" s="215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7" t="str">
        <f t="shared" si="376"/>
        <v/>
      </c>
      <c r="V4792" s="215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7" t="str">
        <f t="shared" si="376"/>
        <v/>
      </c>
      <c r="V4793" s="215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7" t="str">
        <f t="shared" si="376"/>
        <v/>
      </c>
      <c r="V4794" s="215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7" t="str">
        <f t="shared" si="376"/>
        <v/>
      </c>
      <c r="V4795" s="215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7" t="str">
        <f t="shared" si="376"/>
        <v/>
      </c>
      <c r="V4796" s="215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7" t="str">
        <f t="shared" si="376"/>
        <v/>
      </c>
      <c r="V4797" s="215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7" t="str">
        <f t="shared" si="376"/>
        <v/>
      </c>
      <c r="V4798" s="215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7" t="str">
        <f t="shared" si="376"/>
        <v/>
      </c>
      <c r="V4799" s="215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7" t="str">
        <f t="shared" si="376"/>
        <v/>
      </c>
      <c r="V4800" s="215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7" t="str">
        <f t="shared" si="376"/>
        <v/>
      </c>
      <c r="V4801" s="215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7" t="str">
        <f t="shared" ref="U4802:U4865" si="381">IF(OR($D4802="",$H4802=""),"",ROUND($D4802+$H4802,2))</f>
        <v/>
      </c>
      <c r="V4802" s="215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7" t="str">
        <f t="shared" si="381"/>
        <v/>
      </c>
      <c r="V4803" s="215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7" t="str">
        <f t="shared" si="381"/>
        <v/>
      </c>
      <c r="V4804" s="215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7" t="str">
        <f t="shared" si="381"/>
        <v/>
      </c>
      <c r="V4805" s="215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7" t="str">
        <f t="shared" si="381"/>
        <v/>
      </c>
      <c r="V4806" s="215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7" t="str">
        <f t="shared" si="381"/>
        <v/>
      </c>
      <c r="V4807" s="215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7" t="str">
        <f t="shared" si="381"/>
        <v/>
      </c>
      <c r="V4808" s="215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7" t="str">
        <f t="shared" si="381"/>
        <v/>
      </c>
      <c r="V4809" s="215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7" t="str">
        <f t="shared" si="381"/>
        <v/>
      </c>
      <c r="V4810" s="215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7" t="str">
        <f t="shared" si="381"/>
        <v/>
      </c>
      <c r="V4811" s="215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7" t="str">
        <f t="shared" si="381"/>
        <v/>
      </c>
      <c r="V4812" s="215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7" t="str">
        <f t="shared" si="381"/>
        <v/>
      </c>
      <c r="V4813" s="215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7" t="str">
        <f t="shared" si="381"/>
        <v/>
      </c>
      <c r="V4814" s="215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7" t="str">
        <f t="shared" si="381"/>
        <v/>
      </c>
      <c r="V4815" s="215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7" t="str">
        <f t="shared" si="381"/>
        <v/>
      </c>
      <c r="V4816" s="215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7" t="str">
        <f t="shared" si="381"/>
        <v/>
      </c>
      <c r="V4817" s="215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7" t="str">
        <f t="shared" si="381"/>
        <v/>
      </c>
      <c r="V4818" s="215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7" t="str">
        <f t="shared" si="381"/>
        <v/>
      </c>
      <c r="V4819" s="215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7" t="str">
        <f t="shared" si="381"/>
        <v/>
      </c>
      <c r="V4820" s="215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7" t="str">
        <f t="shared" si="381"/>
        <v/>
      </c>
      <c r="V4821" s="215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7" t="str">
        <f t="shared" si="381"/>
        <v/>
      </c>
      <c r="V4822" s="215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7" t="str">
        <f t="shared" si="381"/>
        <v/>
      </c>
      <c r="V4823" s="215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7" t="str">
        <f t="shared" si="381"/>
        <v/>
      </c>
      <c r="V4824" s="215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7" t="str">
        <f t="shared" si="381"/>
        <v/>
      </c>
      <c r="V4825" s="215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7" t="str">
        <f t="shared" si="381"/>
        <v/>
      </c>
      <c r="V4826" s="215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7" t="str">
        <f t="shared" si="381"/>
        <v/>
      </c>
      <c r="V4827" s="215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7" t="str">
        <f t="shared" si="381"/>
        <v/>
      </c>
      <c r="V4828" s="215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7" t="str">
        <f t="shared" si="381"/>
        <v/>
      </c>
      <c r="V4829" s="215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7" t="str">
        <f t="shared" si="381"/>
        <v/>
      </c>
      <c r="V4830" s="215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7" t="str">
        <f t="shared" si="381"/>
        <v/>
      </c>
      <c r="V4831" s="215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7" t="str">
        <f t="shared" si="381"/>
        <v/>
      </c>
      <c r="V4832" s="215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7" t="str">
        <f t="shared" si="381"/>
        <v/>
      </c>
      <c r="V4833" s="215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7" t="str">
        <f t="shared" si="381"/>
        <v/>
      </c>
      <c r="V4834" s="215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7" t="str">
        <f t="shared" si="381"/>
        <v/>
      </c>
      <c r="V4835" s="215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7" t="str">
        <f t="shared" si="381"/>
        <v/>
      </c>
      <c r="V4836" s="215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7" t="str">
        <f t="shared" si="381"/>
        <v/>
      </c>
      <c r="V4837" s="215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7" t="str">
        <f t="shared" si="381"/>
        <v/>
      </c>
      <c r="V4838" s="215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7" t="str">
        <f t="shared" si="381"/>
        <v/>
      </c>
      <c r="V4839" s="215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7" t="str">
        <f t="shared" si="381"/>
        <v/>
      </c>
      <c r="V4840" s="215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7" t="str">
        <f t="shared" si="381"/>
        <v/>
      </c>
      <c r="V4841" s="215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7" t="str">
        <f t="shared" si="381"/>
        <v/>
      </c>
      <c r="V4842" s="215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7" t="str">
        <f t="shared" si="381"/>
        <v/>
      </c>
      <c r="V4843" s="215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7" t="str">
        <f t="shared" si="381"/>
        <v/>
      </c>
      <c r="V4844" s="215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7" t="str">
        <f t="shared" si="381"/>
        <v/>
      </c>
      <c r="V4845" s="215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7" t="str">
        <f t="shared" si="381"/>
        <v/>
      </c>
      <c r="V4846" s="215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7" t="str">
        <f t="shared" si="381"/>
        <v/>
      </c>
      <c r="V4847" s="215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7" t="str">
        <f t="shared" si="381"/>
        <v/>
      </c>
      <c r="V4848" s="215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7" t="str">
        <f t="shared" si="381"/>
        <v/>
      </c>
      <c r="V4849" s="215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7" t="str">
        <f t="shared" si="381"/>
        <v/>
      </c>
      <c r="V4850" s="215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7" t="str">
        <f t="shared" si="381"/>
        <v/>
      </c>
      <c r="V4851" s="215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7" t="str">
        <f t="shared" si="381"/>
        <v/>
      </c>
      <c r="V4852" s="215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7" t="str">
        <f t="shared" si="381"/>
        <v/>
      </c>
      <c r="V4853" s="215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7" t="str">
        <f t="shared" si="381"/>
        <v/>
      </c>
      <c r="V4854" s="215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7" t="str">
        <f t="shared" si="381"/>
        <v/>
      </c>
      <c r="V4855" s="215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7" t="str">
        <f t="shared" si="381"/>
        <v/>
      </c>
      <c r="V4856" s="215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7" t="str">
        <f t="shared" si="381"/>
        <v/>
      </c>
      <c r="V4857" s="215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7" t="str">
        <f t="shared" si="381"/>
        <v/>
      </c>
      <c r="V4858" s="215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7" t="str">
        <f t="shared" si="381"/>
        <v/>
      </c>
      <c r="V4859" s="215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7" t="str">
        <f t="shared" si="381"/>
        <v/>
      </c>
      <c r="V4860" s="215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7" t="str">
        <f t="shared" si="381"/>
        <v/>
      </c>
      <c r="V4861" s="215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7" t="str">
        <f t="shared" si="381"/>
        <v/>
      </c>
      <c r="V4862" s="215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7" t="str">
        <f t="shared" si="381"/>
        <v/>
      </c>
      <c r="V4863" s="215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7" t="str">
        <f t="shared" si="381"/>
        <v/>
      </c>
      <c r="V4864" s="215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7" t="str">
        <f t="shared" si="381"/>
        <v/>
      </c>
      <c r="V4865" s="215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7" t="str">
        <f t="shared" ref="U4866:U4929" si="386">IF(OR($D4866="",$H4866=""),"",ROUND($D4866+$H4866,2))</f>
        <v/>
      </c>
      <c r="V4866" s="215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7" t="str">
        <f t="shared" si="386"/>
        <v/>
      </c>
      <c r="V4867" s="215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7" t="str">
        <f t="shared" si="386"/>
        <v/>
      </c>
      <c r="V4868" s="215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7" t="str">
        <f t="shared" si="386"/>
        <v/>
      </c>
      <c r="V4869" s="215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7" t="str">
        <f t="shared" si="386"/>
        <v/>
      </c>
      <c r="V4870" s="215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7" t="str">
        <f t="shared" si="386"/>
        <v/>
      </c>
      <c r="V4871" s="215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7" t="str">
        <f t="shared" si="386"/>
        <v/>
      </c>
      <c r="V4872" s="215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7" t="str">
        <f t="shared" si="386"/>
        <v/>
      </c>
      <c r="V4873" s="215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7" t="str">
        <f t="shared" si="386"/>
        <v/>
      </c>
      <c r="V4874" s="215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7" t="str">
        <f t="shared" si="386"/>
        <v/>
      </c>
      <c r="V4875" s="215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7" t="str">
        <f t="shared" si="386"/>
        <v/>
      </c>
      <c r="V4876" s="215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7" t="str">
        <f t="shared" si="386"/>
        <v/>
      </c>
      <c r="V4877" s="215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7" t="str">
        <f t="shared" si="386"/>
        <v/>
      </c>
      <c r="V4878" s="215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7" t="str">
        <f t="shared" si="386"/>
        <v/>
      </c>
      <c r="V4879" s="215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7" t="str">
        <f t="shared" si="386"/>
        <v/>
      </c>
      <c r="V4880" s="215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7" t="str">
        <f t="shared" si="386"/>
        <v/>
      </c>
      <c r="V4881" s="215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7" t="str">
        <f t="shared" si="386"/>
        <v/>
      </c>
      <c r="V4882" s="215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7" t="str">
        <f t="shared" si="386"/>
        <v/>
      </c>
      <c r="V4883" s="215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7" t="str">
        <f t="shared" si="386"/>
        <v/>
      </c>
      <c r="V4884" s="215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7" t="str">
        <f t="shared" si="386"/>
        <v/>
      </c>
      <c r="V4885" s="215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7" t="str">
        <f t="shared" si="386"/>
        <v/>
      </c>
      <c r="V4886" s="215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7" t="str">
        <f t="shared" si="386"/>
        <v/>
      </c>
      <c r="V4887" s="215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7" t="str">
        <f t="shared" si="386"/>
        <v/>
      </c>
      <c r="V4888" s="215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7" t="str">
        <f t="shared" si="386"/>
        <v/>
      </c>
      <c r="V4889" s="215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7" t="str">
        <f t="shared" si="386"/>
        <v/>
      </c>
      <c r="V4890" s="215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7" t="str">
        <f t="shared" si="386"/>
        <v/>
      </c>
      <c r="V4891" s="215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7" t="str">
        <f t="shared" si="386"/>
        <v/>
      </c>
      <c r="V4892" s="215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7" t="str">
        <f t="shared" si="386"/>
        <v/>
      </c>
      <c r="V4893" s="215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7" t="str">
        <f t="shared" si="386"/>
        <v/>
      </c>
      <c r="V4894" s="215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7" t="str">
        <f t="shared" si="386"/>
        <v/>
      </c>
      <c r="V4895" s="215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7" t="str">
        <f t="shared" si="386"/>
        <v/>
      </c>
      <c r="V4896" s="215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7" t="str">
        <f t="shared" si="386"/>
        <v/>
      </c>
      <c r="V4897" s="215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7" t="str">
        <f t="shared" si="386"/>
        <v/>
      </c>
      <c r="V4898" s="215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7" t="str">
        <f t="shared" si="386"/>
        <v/>
      </c>
      <c r="V4899" s="215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7" t="str">
        <f t="shared" si="386"/>
        <v/>
      </c>
      <c r="V4900" s="215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7" t="str">
        <f t="shared" si="386"/>
        <v/>
      </c>
      <c r="V4901" s="215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7" t="str">
        <f t="shared" si="386"/>
        <v/>
      </c>
      <c r="V4902" s="215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7" t="str">
        <f t="shared" si="386"/>
        <v/>
      </c>
      <c r="V4903" s="215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7" t="str">
        <f t="shared" si="386"/>
        <v/>
      </c>
      <c r="V4904" s="215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7" t="str">
        <f t="shared" si="386"/>
        <v/>
      </c>
      <c r="V4905" s="215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7" t="str">
        <f t="shared" si="386"/>
        <v/>
      </c>
      <c r="V4906" s="215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7" t="str">
        <f t="shared" si="386"/>
        <v/>
      </c>
      <c r="V4907" s="215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7" t="str">
        <f t="shared" si="386"/>
        <v/>
      </c>
      <c r="V4908" s="215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7" t="str">
        <f t="shared" si="386"/>
        <v/>
      </c>
      <c r="V4909" s="215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7" t="str">
        <f t="shared" si="386"/>
        <v/>
      </c>
      <c r="V4910" s="215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7" t="str">
        <f t="shared" si="386"/>
        <v/>
      </c>
      <c r="V4911" s="215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7" t="str">
        <f t="shared" si="386"/>
        <v/>
      </c>
      <c r="V4912" s="215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7" t="str">
        <f t="shared" si="386"/>
        <v/>
      </c>
      <c r="V4913" s="215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7" t="str">
        <f t="shared" si="386"/>
        <v/>
      </c>
      <c r="V4914" s="215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7" t="str">
        <f t="shared" si="386"/>
        <v/>
      </c>
      <c r="V4915" s="215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7" t="str">
        <f t="shared" si="386"/>
        <v/>
      </c>
      <c r="V4916" s="215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7" t="str">
        <f t="shared" si="386"/>
        <v/>
      </c>
      <c r="V4917" s="215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7" t="str">
        <f t="shared" si="386"/>
        <v/>
      </c>
      <c r="V4918" s="215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7" t="str">
        <f t="shared" si="386"/>
        <v/>
      </c>
      <c r="V4919" s="215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7" t="str">
        <f t="shared" si="386"/>
        <v/>
      </c>
      <c r="V4920" s="215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7" t="str">
        <f t="shared" si="386"/>
        <v/>
      </c>
      <c r="V4921" s="215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7" t="str">
        <f t="shared" si="386"/>
        <v/>
      </c>
      <c r="V4922" s="215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7" t="str">
        <f t="shared" si="386"/>
        <v/>
      </c>
      <c r="V4923" s="215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7" t="str">
        <f t="shared" si="386"/>
        <v/>
      </c>
      <c r="V4924" s="215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7" t="str">
        <f t="shared" si="386"/>
        <v/>
      </c>
      <c r="V4925" s="215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7" t="str">
        <f t="shared" si="386"/>
        <v/>
      </c>
      <c r="V4926" s="215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7" t="str">
        <f t="shared" si="386"/>
        <v/>
      </c>
      <c r="V4927" s="215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7" t="str">
        <f t="shared" si="386"/>
        <v/>
      </c>
      <c r="V4928" s="215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7" t="str">
        <f t="shared" si="386"/>
        <v/>
      </c>
      <c r="V4929" s="215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7" t="str">
        <f t="shared" ref="U4930:U4993" si="391">IF(OR($D4930="",$H4930=""),"",ROUND($D4930+$H4930,2))</f>
        <v/>
      </c>
      <c r="V4930" s="215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7" t="str">
        <f t="shared" si="391"/>
        <v/>
      </c>
      <c r="V4931" s="215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7" t="str">
        <f t="shared" si="391"/>
        <v/>
      </c>
      <c r="V4932" s="215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7" t="str">
        <f t="shared" si="391"/>
        <v/>
      </c>
      <c r="V4933" s="215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7" t="str">
        <f t="shared" si="391"/>
        <v/>
      </c>
      <c r="V4934" s="215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7" t="str">
        <f t="shared" si="391"/>
        <v/>
      </c>
      <c r="V4935" s="215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7" t="str">
        <f t="shared" si="391"/>
        <v/>
      </c>
      <c r="V4936" s="215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7" t="str">
        <f t="shared" si="391"/>
        <v/>
      </c>
      <c r="V4937" s="215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7" t="str">
        <f t="shared" si="391"/>
        <v/>
      </c>
      <c r="V4938" s="215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7" t="str">
        <f t="shared" si="391"/>
        <v/>
      </c>
      <c r="V4939" s="215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7" t="str">
        <f t="shared" si="391"/>
        <v/>
      </c>
      <c r="V4940" s="215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7" t="str">
        <f t="shared" si="391"/>
        <v/>
      </c>
      <c r="V4941" s="215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7" t="str">
        <f t="shared" si="391"/>
        <v/>
      </c>
      <c r="V4942" s="215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7" t="str">
        <f t="shared" si="391"/>
        <v/>
      </c>
      <c r="V4943" s="215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7" t="str">
        <f t="shared" si="391"/>
        <v/>
      </c>
      <c r="V4944" s="215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7" t="str">
        <f t="shared" si="391"/>
        <v/>
      </c>
      <c r="V4945" s="215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7" t="str">
        <f t="shared" si="391"/>
        <v/>
      </c>
      <c r="V4946" s="215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7" t="str">
        <f t="shared" si="391"/>
        <v/>
      </c>
      <c r="V4947" s="215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7" t="str">
        <f t="shared" si="391"/>
        <v/>
      </c>
      <c r="V4948" s="215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7" t="str">
        <f t="shared" si="391"/>
        <v/>
      </c>
      <c r="V4949" s="215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7" t="str">
        <f t="shared" si="391"/>
        <v/>
      </c>
      <c r="V4950" s="215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7" t="str">
        <f t="shared" si="391"/>
        <v/>
      </c>
      <c r="V4951" s="215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7" t="str">
        <f t="shared" si="391"/>
        <v/>
      </c>
      <c r="V4952" s="215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7" t="str">
        <f t="shared" si="391"/>
        <v/>
      </c>
      <c r="V4953" s="215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7" t="str">
        <f t="shared" si="391"/>
        <v/>
      </c>
      <c r="V4954" s="215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7" t="str">
        <f t="shared" si="391"/>
        <v/>
      </c>
      <c r="V4955" s="215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7" t="str">
        <f t="shared" si="391"/>
        <v/>
      </c>
      <c r="V4956" s="215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7" t="str">
        <f t="shared" si="391"/>
        <v/>
      </c>
      <c r="V4957" s="215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7" t="str">
        <f t="shared" si="391"/>
        <v/>
      </c>
      <c r="V4958" s="215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7" t="str">
        <f t="shared" si="391"/>
        <v/>
      </c>
      <c r="V4959" s="215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7" t="str">
        <f t="shared" si="391"/>
        <v/>
      </c>
      <c r="V4960" s="215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7" t="str">
        <f t="shared" si="391"/>
        <v/>
      </c>
      <c r="V4961" s="215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7" t="str">
        <f t="shared" si="391"/>
        <v/>
      </c>
      <c r="V4962" s="215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7" t="str">
        <f t="shared" si="391"/>
        <v/>
      </c>
      <c r="V4963" s="215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7" t="str">
        <f t="shared" si="391"/>
        <v/>
      </c>
      <c r="V4964" s="215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7" t="str">
        <f t="shared" si="391"/>
        <v/>
      </c>
      <c r="V4965" s="215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7" t="str">
        <f t="shared" si="391"/>
        <v/>
      </c>
      <c r="V4966" s="215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7" t="str">
        <f t="shared" si="391"/>
        <v/>
      </c>
      <c r="V4967" s="215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7" t="str">
        <f t="shared" si="391"/>
        <v/>
      </c>
      <c r="V4968" s="215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7" t="str">
        <f t="shared" si="391"/>
        <v/>
      </c>
      <c r="V4969" s="215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7" t="str">
        <f t="shared" si="391"/>
        <v/>
      </c>
      <c r="V4970" s="215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7" t="str">
        <f t="shared" si="391"/>
        <v/>
      </c>
      <c r="V4971" s="215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7" t="str">
        <f t="shared" si="391"/>
        <v/>
      </c>
      <c r="V4972" s="215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7" t="str">
        <f t="shared" si="391"/>
        <v/>
      </c>
      <c r="V4973" s="215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7" t="str">
        <f t="shared" si="391"/>
        <v/>
      </c>
      <c r="V4974" s="215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7" t="str">
        <f t="shared" si="391"/>
        <v/>
      </c>
      <c r="V4975" s="215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7" t="str">
        <f t="shared" si="391"/>
        <v/>
      </c>
      <c r="V4976" s="215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7" t="str">
        <f t="shared" si="391"/>
        <v/>
      </c>
      <c r="V4977" s="215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7" t="str">
        <f t="shared" si="391"/>
        <v/>
      </c>
      <c r="V4978" s="215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7" t="str">
        <f t="shared" si="391"/>
        <v/>
      </c>
      <c r="V4979" s="215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7" t="str">
        <f t="shared" si="391"/>
        <v/>
      </c>
      <c r="V4980" s="215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7" t="str">
        <f t="shared" si="391"/>
        <v/>
      </c>
      <c r="V4981" s="215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7" t="str">
        <f t="shared" si="391"/>
        <v/>
      </c>
      <c r="V4982" s="215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7" t="str">
        <f t="shared" si="391"/>
        <v/>
      </c>
      <c r="V4983" s="215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7" t="str">
        <f t="shared" si="391"/>
        <v/>
      </c>
      <c r="V4984" s="215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7" t="str">
        <f t="shared" si="391"/>
        <v/>
      </c>
      <c r="V4985" s="215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7" t="str">
        <f t="shared" si="391"/>
        <v/>
      </c>
      <c r="V4986" s="215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7" t="str">
        <f t="shared" si="391"/>
        <v/>
      </c>
      <c r="V4987" s="215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7" t="str">
        <f t="shared" si="391"/>
        <v/>
      </c>
      <c r="V4988" s="215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7" t="str">
        <f t="shared" si="391"/>
        <v/>
      </c>
      <c r="V4989" s="215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7" t="str">
        <f t="shared" si="391"/>
        <v/>
      </c>
      <c r="V4990" s="215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7" t="str">
        <f t="shared" si="391"/>
        <v/>
      </c>
      <c r="V4991" s="215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7" t="str">
        <f t="shared" si="391"/>
        <v/>
      </c>
      <c r="V4992" s="215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7" t="str">
        <f t="shared" si="391"/>
        <v/>
      </c>
      <c r="V4993" s="215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7" t="str">
        <f t="shared" ref="U4994:U5001" si="396">IF(OR($D4994="",$H4994=""),"",ROUND($D4994+$H4994,2))</f>
        <v/>
      </c>
      <c r="V4994" s="215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7" t="str">
        <f t="shared" si="396"/>
        <v/>
      </c>
      <c r="V4995" s="215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7" t="str">
        <f t="shared" si="396"/>
        <v/>
      </c>
      <c r="V4996" s="215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7" t="str">
        <f t="shared" si="396"/>
        <v/>
      </c>
      <c r="V4997" s="215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7" t="str">
        <f t="shared" si="396"/>
        <v/>
      </c>
      <c r="V4998" s="215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7" t="str">
        <f t="shared" si="396"/>
        <v/>
      </c>
      <c r="V4999" s="215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7" t="str">
        <f t="shared" si="396"/>
        <v/>
      </c>
      <c r="V5000" s="215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7" t="str">
        <f t="shared" si="396"/>
        <v/>
      </c>
      <c r="V5001" s="215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27:T27"/>
    <mergeCell ref="M28:T28"/>
    <mergeCell ref="M29:T29"/>
    <mergeCell ref="M23:T23"/>
    <mergeCell ref="M24:T24"/>
    <mergeCell ref="M25:T25"/>
    <mergeCell ref="M26:T26"/>
    <mergeCell ref="M1:T1"/>
    <mergeCell ref="M10:T10"/>
    <mergeCell ref="M20:T20"/>
    <mergeCell ref="M21:T21"/>
    <mergeCell ref="M22:T22"/>
    <mergeCell ref="M19:R19"/>
    <mergeCell ref="S19:T19"/>
  </mergeCells>
  <conditionalFormatting sqref="A2:L5001">
    <cfRule type="expression" dxfId="89" priority="1" stopIfTrue="1">
      <formula>AND(OR($A2&lt;&gt;"",$B2&lt;&gt;"",$D2&lt;&gt;"",$G2&lt;&gt;""),$L2="")</formula>
    </cfRule>
    <cfRule type="expression" dxfId="88" priority="2">
      <formula>$L2="Nao"</formula>
    </cfRule>
  </conditionalFormatting>
  <conditionalFormatting sqref="S3:S9">
    <cfRule type="expression" dxfId="87" priority="3" stopIfTrue="1">
      <formula>N($S3)&lt;&gt;0</formula>
    </cfRule>
  </conditionalFormatting>
  <conditionalFormatting sqref="S12:S18">
    <cfRule type="expression" dxfId="86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O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  <col min="14" max="14" width="34.6328125" customWidth="1"/>
    <col min="15" max="15" width="0" hidden="1" customWidth="1"/>
  </cols>
  <sheetData>
    <row r="1" spans="1:15" ht="95" customHeight="1" x14ac:dyDescent="0.35">
      <c r="A1" s="34" t="s">
        <v>468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162" t="s">
        <v>82</v>
      </c>
      <c r="N1" s="605" t="s">
        <v>742</v>
      </c>
      <c r="O1" s="609" t="s">
        <v>743</v>
      </c>
    </row>
    <row r="2" spans="1:15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IF(OR($A2="",$C2=""),"",IF(OR(($O2)="",($O2)&gt;(MIN(MATCH($C2,{"C0","C1","C2","C3","C4"},0)-1,COUNT(parametros!$F$2:$F$6)-1)),NOT(ISNUMBER(INDEX(parametros!$F$2:$F$6,(MIN(MATCH($C2,{"C0","C1","C2","C3","C4"},0)-1,COUNT(parametros!$F$2:$F$6)-1))+1))),NOT(ISNUMBER(INDEX(parametros!$F$2:$F$6,($O2)+1)))),"",INDEX(parametros!$F$2:$F$6,(MIN(MATCH($C2,{"C0","C1","C2","C3","C4"},0)-1,COUNT(parametros!$F$2:$F$6)-1))+1)/INDEX(parametros!$F$2:$F$6,($O2)+1))),"")</f>
        <v/>
      </c>
      <c r="J2" s="107" t="str">
        <f>IF(OR(L2="",F2=""),"",IF(UPPER(H2)="SIM",IF(ISNUMBER(I2),ROUND(L2*ROUND(F2*I2,2),2),""),ROUND(L2*F2,2)))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606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TIPO_INVALIDO",IF(AND(ISNUMBER(SEARCH("NOVO",D2)),OR(INDEX(posicao_contratual!$C$2:$C$200,MATCH(A2,posicao_contratual!$A$2:$A$200,0))&lt;&gt;0,F2="",COUNTIFS($A$2:$A$200,A2,$B$2:$B$200,"&lt;"&amp;B2,$L$2:$L$200,"&gt;0")&gt;0)),"ALERTA: NOVO ITEM INVALIDO - use Acrescimo se o item ja existia; novo item exige QTD_BASE_ORIGINAL 0, VU_ORIGINAL e ser o 1o acrescimo do item.",IF(AND(ISNUMBER(SEARCH("NOVO",D2)),OR(N2="",ISERROR(MATCH(N2,{"C0","C1","C2","C3","C4"},0)))),"ALERTA: BASE_VU_OBRIGATORIA",IF(AND(NOT(ISNUMBER(SEARCH("NOVO",D2))),N2&lt;&gt;""),"ALERTA: BASE_VU_NAO_APLICAVEL",IF(AND(UPPER(H2)="SIM",NOT(ISNUMBER(I2))),"ALERTA: BASE_VU_INVALIDA_OU_POSTERIOR_AO_FATOR_ALVO","OK"))))))))))</f>
        <v/>
      </c>
      <c r="N2" s="607"/>
      <c r="O2" s="610" t="str">
        <f>IFERROR(IF((COUNTIFS($A$2:$A$200,$A2,$D$2:$D$200,"*novo*",$N$2:$N$200,"C0")+COUNTIFS($A$2:$A$200,$A2,$D$2:$D$200,"*novo*",$N$2:$N$200,"C1")+COUNTIFS($A$2:$A$200,$A2,$D$2:$D$200,"*novo*",$N$2:$N$200,"C2")+COUNTIFS($A$2:$A$200,$A2,$D$2:$D$200,"*novo*",$N$2:$N$200,"C3")+COUNTIFS($A$2:$A$200,$A2,$D$2:$D$200,"*novo*",$N$2:$N$200,"C4"))=1,IF(COUNTIFS($A$2:$A$200,$A2,$D$2:$D$200,"*novo*",$N$2:$N$200,"C4")&gt;0,4,IF(COUNTIFS($A$2:$A$200,$A2,$D$2:$D$200,"*novo*",$N$2:$N$200,"C3")&gt;0,3,IF(COUNTIFS($A$2:$A$200,$A2,$D$2:$D$200,"*novo*",$N$2:$N$200,"C2")&gt;0,2,IF(COUNTIFS($A$2:$A$200,$A2,$D$2:$D$200,"*novo*",$N$2:$N$200,"C1")&gt;0,1,IF(COUNTIFS($A$2:$A$200,$A2,$D$2:$D$200,"*novo*",$N$2:$N$200,"C0")&gt;0,0,""))))),IF(AND((COUNTIFS($A$2:$A$200,$A2,$D$2:$D$200,"*novo*",$N$2:$N$200,"C0")+COUNTIFS($A$2:$A$200,$A2,$D$2:$D$200,"*novo*",$N$2:$N$200,"C1")+COUNTIFS($A$2:$A$200,$A2,$D$2:$D$200,"*novo*",$N$2:$N$200,"C2")+COUNTIFS($A$2:$A$200,$A2,$D$2:$D$200,"*novo*",$N$2:$N$200,"C3")+COUNTIFS($A$2:$A$200,$A2,$D$2:$D$200,"*novo*",$N$2:$N$200,"C4"))=0,INDEX(posicao_contratual!$Y$2:$Y$200,MATCH($A2,posicao_contratual!$A$2:$A$200,0))=0),0,"")),"")</f>
        <v/>
      </c>
    </row>
    <row r="3" spans="1:15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IF(OR($A3="",$C3=""),"",IF(OR(($O3)="",($O3)&gt;(MIN(MATCH($C3,{"C0","C1","C2","C3","C4"},0)-1,COUNT(parametros!$F$2:$F$6)-1)),NOT(ISNUMBER(INDEX(parametros!$F$2:$F$6,(MIN(MATCH($C3,{"C0","C1","C2","C3","C4"},0)-1,COUNT(parametros!$F$2:$F$6)-1))+1))),NOT(ISNUMBER(INDEX(parametros!$F$2:$F$6,($O3)+1)))),"",INDEX(parametros!$F$2:$F$6,(MIN(MATCH($C3,{"C0","C1","C2","C3","C4"},0)-1,COUNT(parametros!$F$2:$F$6)-1))+1)/INDEX(parametros!$F$2:$F$6,($O3)+1))),"")</f>
        <v/>
      </c>
      <c r="J3" s="107" t="str">
        <f>IF(OR(L3="",F3=""),"",IF(UPPER(H3)="SIM",IF(ISNUMBER(I3),ROUND(L3*ROUND(F3*I3,2),2),""),ROUND(L3*F3,2)))</f>
        <v/>
      </c>
      <c r="K3" s="105"/>
      <c r="L3" s="85" t="str">
        <f t="shared" si="1"/>
        <v/>
      </c>
      <c r="M3" s="606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TIPO_INVALIDO",IF(AND(ISNUMBER(SEARCH("NOVO",D3)),OR(INDEX(posicao_contratual!$C$2:$C$200,MATCH(A3,posicao_contratual!$A$2:$A$200,0))&lt;&gt;0,F3="",COUNTIFS($A$2:$A$200,A3,$B$2:$B$200,"&lt;"&amp;B3,$L$2:$L$200,"&gt;0")&gt;0)),"ALERTA: NOVO ITEM INVALIDO - use Acrescimo se o item ja existia; novo item exige QTD_BASE_ORIGINAL 0, VU_ORIGINAL e ser o 1o acrescimo do item.",IF(AND(ISNUMBER(SEARCH("NOVO",D3)),OR(N3="",ISERROR(MATCH(N3,{"C0","C1","C2","C3","C4"},0)))),"ALERTA: BASE_VU_OBRIGATORIA",IF(AND(NOT(ISNUMBER(SEARCH("NOVO",D3))),N3&lt;&gt;""),"ALERTA: BASE_VU_NAO_APLICAVEL",IF(AND(UPPER(H3)="SIM",NOT(ISNUMBER(I3))),"ALERTA: BASE_VU_INVALIDA_OU_POSTERIOR_AO_FATOR_ALVO","OK"))))))))))</f>
        <v/>
      </c>
      <c r="N3" s="608"/>
      <c r="O3" s="610" t="str">
        <f>IFERROR(IF((COUNTIFS($A$2:$A$200,$A3,$D$2:$D$200,"*novo*",$N$2:$N$200,"C0")+COUNTIFS($A$2:$A$200,$A3,$D$2:$D$200,"*novo*",$N$2:$N$200,"C1")+COUNTIFS($A$2:$A$200,$A3,$D$2:$D$200,"*novo*",$N$2:$N$200,"C2")+COUNTIFS($A$2:$A$200,$A3,$D$2:$D$200,"*novo*",$N$2:$N$200,"C3")+COUNTIFS($A$2:$A$200,$A3,$D$2:$D$200,"*novo*",$N$2:$N$200,"C4"))=1,IF(COUNTIFS($A$2:$A$200,$A3,$D$2:$D$200,"*novo*",$N$2:$N$200,"C4")&gt;0,4,IF(COUNTIFS($A$2:$A$200,$A3,$D$2:$D$200,"*novo*",$N$2:$N$200,"C3")&gt;0,3,IF(COUNTIFS($A$2:$A$200,$A3,$D$2:$D$200,"*novo*",$N$2:$N$200,"C2")&gt;0,2,IF(COUNTIFS($A$2:$A$200,$A3,$D$2:$D$200,"*novo*",$N$2:$N$200,"C1")&gt;0,1,IF(COUNTIFS($A$2:$A$200,$A3,$D$2:$D$200,"*novo*",$N$2:$N$200,"C0")&gt;0,0,""))))),IF(AND((COUNTIFS($A$2:$A$200,$A3,$D$2:$D$200,"*novo*",$N$2:$N$200,"C0")+COUNTIFS($A$2:$A$200,$A3,$D$2:$D$200,"*novo*",$N$2:$N$200,"C1")+COUNTIFS($A$2:$A$200,$A3,$D$2:$D$200,"*novo*",$N$2:$N$200,"C2")+COUNTIFS($A$2:$A$200,$A3,$D$2:$D$200,"*novo*",$N$2:$N$200,"C3")+COUNTIFS($A$2:$A$200,$A3,$D$2:$D$200,"*novo*",$N$2:$N$200,"C4"))=0,INDEX(posicao_contratual!$Y$2:$Y$200,MATCH($A3,posicao_contratual!$A$2:$A$200,0))=0),0,"")),"")</f>
        <v/>
      </c>
    </row>
    <row r="4" spans="1:15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IF(OR($A4="",$C4=""),"",IF(OR(($O4)="",($O4)&gt;(MIN(MATCH($C4,{"C0","C1","C2","C3","C4"},0)-1,COUNT(parametros!$F$2:$F$6)-1)),NOT(ISNUMBER(INDEX(parametros!$F$2:$F$6,(MIN(MATCH($C4,{"C0","C1","C2","C3","C4"},0)-1,COUNT(parametros!$F$2:$F$6)-1))+1))),NOT(ISNUMBER(INDEX(parametros!$F$2:$F$6,($O4)+1)))),"",INDEX(parametros!$F$2:$F$6,(MIN(MATCH($C4,{"C0","C1","C2","C3","C4"},0)-1,COUNT(parametros!$F$2:$F$6)-1))+1)/INDEX(parametros!$F$2:$F$6,($O4)+1))),"")</f>
        <v/>
      </c>
      <c r="J4" s="107" t="str">
        <f>IF(OR(L4="",F4=""),"",IF(UPPER(H4)="SIM",IF(ISNUMBER(I4),ROUND(L4*ROUND(F4*I4,2),2),""),ROUND(L4*F4,2)))</f>
        <v/>
      </c>
      <c r="K4" s="105"/>
      <c r="L4" s="85" t="str">
        <f t="shared" si="1"/>
        <v/>
      </c>
      <c r="M4" s="606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TIPO_INVALIDO",IF(AND(ISNUMBER(SEARCH("NOVO",D4)),OR(INDEX(posicao_contratual!$C$2:$C$200,MATCH(A4,posicao_contratual!$A$2:$A$200,0))&lt;&gt;0,F4="",COUNTIFS($A$2:$A$200,A4,$B$2:$B$200,"&lt;"&amp;B4,$L$2:$L$200,"&gt;0")&gt;0)),"ALERTA: NOVO ITEM INVALIDO - use Acrescimo se o item ja existia; novo item exige QTD_BASE_ORIGINAL 0, VU_ORIGINAL e ser o 1o acrescimo do item.",IF(AND(ISNUMBER(SEARCH("NOVO",D4)),OR(N4="",ISERROR(MATCH(N4,{"C0","C1","C2","C3","C4"},0)))),"ALERTA: BASE_VU_OBRIGATORIA",IF(AND(NOT(ISNUMBER(SEARCH("NOVO",D4))),N4&lt;&gt;""),"ALERTA: BASE_VU_NAO_APLICAVEL",IF(AND(UPPER(H4)="SIM",NOT(ISNUMBER(I4))),"ALERTA: BASE_VU_INVALIDA_OU_POSTERIOR_AO_FATOR_ALVO","OK"))))))))))</f>
        <v/>
      </c>
      <c r="N4" s="608"/>
      <c r="O4" s="610" t="str">
        <f>IFERROR(IF((COUNTIFS($A$2:$A$200,$A4,$D$2:$D$200,"*novo*",$N$2:$N$200,"C0")+COUNTIFS($A$2:$A$200,$A4,$D$2:$D$200,"*novo*",$N$2:$N$200,"C1")+COUNTIFS($A$2:$A$200,$A4,$D$2:$D$200,"*novo*",$N$2:$N$200,"C2")+COUNTIFS($A$2:$A$200,$A4,$D$2:$D$200,"*novo*",$N$2:$N$200,"C3")+COUNTIFS($A$2:$A$200,$A4,$D$2:$D$200,"*novo*",$N$2:$N$200,"C4"))=1,IF(COUNTIFS($A$2:$A$200,$A4,$D$2:$D$200,"*novo*",$N$2:$N$200,"C4")&gt;0,4,IF(COUNTIFS($A$2:$A$200,$A4,$D$2:$D$200,"*novo*",$N$2:$N$200,"C3")&gt;0,3,IF(COUNTIFS($A$2:$A$200,$A4,$D$2:$D$200,"*novo*",$N$2:$N$200,"C2")&gt;0,2,IF(COUNTIFS($A$2:$A$200,$A4,$D$2:$D$200,"*novo*",$N$2:$N$200,"C1")&gt;0,1,IF(COUNTIFS($A$2:$A$200,$A4,$D$2:$D$200,"*novo*",$N$2:$N$200,"C0")&gt;0,0,""))))),IF(AND((COUNTIFS($A$2:$A$200,$A4,$D$2:$D$200,"*novo*",$N$2:$N$200,"C0")+COUNTIFS($A$2:$A$200,$A4,$D$2:$D$200,"*novo*",$N$2:$N$200,"C1")+COUNTIFS($A$2:$A$200,$A4,$D$2:$D$200,"*novo*",$N$2:$N$200,"C2")+COUNTIFS($A$2:$A$200,$A4,$D$2:$D$200,"*novo*",$N$2:$N$200,"C3")+COUNTIFS($A$2:$A$200,$A4,$D$2:$D$200,"*novo*",$N$2:$N$200,"C4"))=0,INDEX(posicao_contratual!$Y$2:$Y$200,MATCH($A4,posicao_contratual!$A$2:$A$200,0))=0),0,"")),"")</f>
        <v/>
      </c>
    </row>
    <row r="5" spans="1:15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IF(OR($A5="",$C5=""),"",IF(OR(($O5)="",($O5)&gt;(MIN(MATCH($C5,{"C0","C1","C2","C3","C4"},0)-1,COUNT(parametros!$F$2:$F$6)-1)),NOT(ISNUMBER(INDEX(parametros!$F$2:$F$6,(MIN(MATCH($C5,{"C0","C1","C2","C3","C4"},0)-1,COUNT(parametros!$F$2:$F$6)-1))+1))),NOT(ISNUMBER(INDEX(parametros!$F$2:$F$6,($O5)+1)))),"",INDEX(parametros!$F$2:$F$6,(MIN(MATCH($C5,{"C0","C1","C2","C3","C4"},0)-1,COUNT(parametros!$F$2:$F$6)-1))+1)/INDEX(parametros!$F$2:$F$6,($O5)+1))),"")</f>
        <v/>
      </c>
      <c r="J5" s="107" t="str">
        <f>IF(OR(L5="",F5=""),"",IF(UPPER(H5)="SIM",IF(ISNUMBER(I5),ROUND(L5*ROUND(F5*I5,2),2),""),ROUND(L5*F5,2)))</f>
        <v/>
      </c>
      <c r="K5" s="105"/>
      <c r="L5" s="85" t="str">
        <f t="shared" si="1"/>
        <v/>
      </c>
      <c r="M5" s="606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TIPO_INVALIDO",IF(AND(ISNUMBER(SEARCH("NOVO",D5)),OR(INDEX(posicao_contratual!$C$2:$C$200,MATCH(A5,posicao_contratual!$A$2:$A$200,0))&lt;&gt;0,F5="",COUNTIFS($A$2:$A$200,A5,$B$2:$B$200,"&lt;"&amp;B5,$L$2:$L$200,"&gt;0")&gt;0)),"ALERTA: NOVO ITEM INVALIDO - use Acrescimo se o item ja existia; novo item exige QTD_BASE_ORIGINAL 0, VU_ORIGINAL e ser o 1o acrescimo do item.",IF(AND(ISNUMBER(SEARCH("NOVO",D5)),OR(N5="",ISERROR(MATCH(N5,{"C0","C1","C2","C3","C4"},0)))),"ALERTA: BASE_VU_OBRIGATORIA",IF(AND(NOT(ISNUMBER(SEARCH("NOVO",D5))),N5&lt;&gt;""),"ALERTA: BASE_VU_NAO_APLICAVEL",IF(AND(UPPER(H5)="SIM",NOT(ISNUMBER(I5))),"ALERTA: BASE_VU_INVALIDA_OU_POSTERIOR_AO_FATOR_ALVO","OK"))))))))))</f>
        <v/>
      </c>
      <c r="N5" s="608"/>
      <c r="O5" s="610" t="str">
        <f>IFERROR(IF((COUNTIFS($A$2:$A$200,$A5,$D$2:$D$200,"*novo*",$N$2:$N$200,"C0")+COUNTIFS($A$2:$A$200,$A5,$D$2:$D$200,"*novo*",$N$2:$N$200,"C1")+COUNTIFS($A$2:$A$200,$A5,$D$2:$D$200,"*novo*",$N$2:$N$200,"C2")+COUNTIFS($A$2:$A$200,$A5,$D$2:$D$200,"*novo*",$N$2:$N$200,"C3")+COUNTIFS($A$2:$A$200,$A5,$D$2:$D$200,"*novo*",$N$2:$N$200,"C4"))=1,IF(COUNTIFS($A$2:$A$200,$A5,$D$2:$D$200,"*novo*",$N$2:$N$200,"C4")&gt;0,4,IF(COUNTIFS($A$2:$A$200,$A5,$D$2:$D$200,"*novo*",$N$2:$N$200,"C3")&gt;0,3,IF(COUNTIFS($A$2:$A$200,$A5,$D$2:$D$200,"*novo*",$N$2:$N$200,"C2")&gt;0,2,IF(COUNTIFS($A$2:$A$200,$A5,$D$2:$D$200,"*novo*",$N$2:$N$200,"C1")&gt;0,1,IF(COUNTIFS($A$2:$A$200,$A5,$D$2:$D$200,"*novo*",$N$2:$N$200,"C0")&gt;0,0,""))))),IF(AND((COUNTIFS($A$2:$A$200,$A5,$D$2:$D$200,"*novo*",$N$2:$N$200,"C0")+COUNTIFS($A$2:$A$200,$A5,$D$2:$D$200,"*novo*",$N$2:$N$200,"C1")+COUNTIFS($A$2:$A$200,$A5,$D$2:$D$200,"*novo*",$N$2:$N$200,"C2")+COUNTIFS($A$2:$A$200,$A5,$D$2:$D$200,"*novo*",$N$2:$N$200,"C3")+COUNTIFS($A$2:$A$200,$A5,$D$2:$D$200,"*novo*",$N$2:$N$200,"C4"))=0,INDEX(posicao_contratual!$Y$2:$Y$200,MATCH($A5,posicao_contratual!$A$2:$A$200,0))=0),0,"")),"")</f>
        <v/>
      </c>
    </row>
    <row r="6" spans="1:15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IF(OR($A6="",$C6=""),"",IF(OR(($O6)="",($O6)&gt;(MIN(MATCH($C6,{"C0","C1","C2","C3","C4"},0)-1,COUNT(parametros!$F$2:$F$6)-1)),NOT(ISNUMBER(INDEX(parametros!$F$2:$F$6,(MIN(MATCH($C6,{"C0","C1","C2","C3","C4"},0)-1,COUNT(parametros!$F$2:$F$6)-1))+1))),NOT(ISNUMBER(INDEX(parametros!$F$2:$F$6,($O6)+1)))),"",INDEX(parametros!$F$2:$F$6,(MIN(MATCH($C6,{"C0","C1","C2","C3","C4"},0)-1,COUNT(parametros!$F$2:$F$6)-1))+1)/INDEX(parametros!$F$2:$F$6,($O6)+1))),"")</f>
        <v/>
      </c>
      <c r="J6" s="107" t="str">
        <f>IF(OR(L6="",F6=""),"",IF(UPPER(H6)="SIM",IF(ISNUMBER(I6),ROUND(L6*ROUND(F6*I6,2),2),""),ROUND(L6*F6,2)))</f>
        <v/>
      </c>
      <c r="K6" s="105"/>
      <c r="L6" s="85" t="str">
        <f t="shared" si="1"/>
        <v/>
      </c>
      <c r="M6" s="606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TIPO_INVALIDO",IF(AND(ISNUMBER(SEARCH("NOVO",D6)),OR(INDEX(posicao_contratual!$C$2:$C$200,MATCH(A6,posicao_contratual!$A$2:$A$200,0))&lt;&gt;0,F6="",COUNTIFS($A$2:$A$200,A6,$B$2:$B$200,"&lt;"&amp;B6,$L$2:$L$200,"&gt;0")&gt;0)),"ALERTA: NOVO ITEM INVALIDO - use Acrescimo se o item ja existia; novo item exige QTD_BASE_ORIGINAL 0, VU_ORIGINAL e ser o 1o acrescimo do item.",IF(AND(ISNUMBER(SEARCH("NOVO",D6)),OR(N6="",ISERROR(MATCH(N6,{"C0","C1","C2","C3","C4"},0)))),"ALERTA: BASE_VU_OBRIGATORIA",IF(AND(NOT(ISNUMBER(SEARCH("NOVO",D6))),N6&lt;&gt;""),"ALERTA: BASE_VU_NAO_APLICAVEL",IF(AND(UPPER(H6)="SIM",NOT(ISNUMBER(I6))),"ALERTA: BASE_VU_INVALIDA_OU_POSTERIOR_AO_FATOR_ALVO","OK"))))))))))</f>
        <v/>
      </c>
      <c r="N6" s="608"/>
      <c r="O6" s="610" t="str">
        <f>IFERROR(IF((COUNTIFS($A$2:$A$200,$A6,$D$2:$D$200,"*novo*",$N$2:$N$200,"C0")+COUNTIFS($A$2:$A$200,$A6,$D$2:$D$200,"*novo*",$N$2:$N$200,"C1")+COUNTIFS($A$2:$A$200,$A6,$D$2:$D$200,"*novo*",$N$2:$N$200,"C2")+COUNTIFS($A$2:$A$200,$A6,$D$2:$D$200,"*novo*",$N$2:$N$200,"C3")+COUNTIFS($A$2:$A$200,$A6,$D$2:$D$200,"*novo*",$N$2:$N$200,"C4"))=1,IF(COUNTIFS($A$2:$A$200,$A6,$D$2:$D$200,"*novo*",$N$2:$N$200,"C4")&gt;0,4,IF(COUNTIFS($A$2:$A$200,$A6,$D$2:$D$200,"*novo*",$N$2:$N$200,"C3")&gt;0,3,IF(COUNTIFS($A$2:$A$200,$A6,$D$2:$D$200,"*novo*",$N$2:$N$200,"C2")&gt;0,2,IF(COUNTIFS($A$2:$A$200,$A6,$D$2:$D$200,"*novo*",$N$2:$N$200,"C1")&gt;0,1,IF(COUNTIFS($A$2:$A$200,$A6,$D$2:$D$200,"*novo*",$N$2:$N$200,"C0")&gt;0,0,""))))),IF(AND((COUNTIFS($A$2:$A$200,$A6,$D$2:$D$200,"*novo*",$N$2:$N$200,"C0")+COUNTIFS($A$2:$A$200,$A6,$D$2:$D$200,"*novo*",$N$2:$N$200,"C1")+COUNTIFS($A$2:$A$200,$A6,$D$2:$D$200,"*novo*",$N$2:$N$200,"C2")+COUNTIFS($A$2:$A$200,$A6,$D$2:$D$200,"*novo*",$N$2:$N$200,"C3")+COUNTIFS($A$2:$A$200,$A6,$D$2:$D$200,"*novo*",$N$2:$N$200,"C4"))=0,INDEX(posicao_contratual!$Y$2:$Y$200,MATCH($A6,posicao_contratual!$A$2:$A$200,0))=0),0,"")),"")</f>
        <v/>
      </c>
    </row>
    <row r="7" spans="1:15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IF(OR($A7="",$C7=""),"",IF(OR(($O7)="",($O7)&gt;(MIN(MATCH($C7,{"C0","C1","C2","C3","C4"},0)-1,COUNT(parametros!$F$2:$F$6)-1)),NOT(ISNUMBER(INDEX(parametros!$F$2:$F$6,(MIN(MATCH($C7,{"C0","C1","C2","C3","C4"},0)-1,COUNT(parametros!$F$2:$F$6)-1))+1))),NOT(ISNUMBER(INDEX(parametros!$F$2:$F$6,($O7)+1)))),"",INDEX(parametros!$F$2:$F$6,(MIN(MATCH($C7,{"C0","C1","C2","C3","C4"},0)-1,COUNT(parametros!$F$2:$F$6)-1))+1)/INDEX(parametros!$F$2:$F$6,($O7)+1))),"")</f>
        <v/>
      </c>
      <c r="J7" s="107" t="str">
        <f>IF(OR(L7="",F7=""),"",IF(UPPER(H7)="SIM",IF(ISNUMBER(I7),ROUND(L7*ROUND(F7*I7,2),2),""),ROUND(L7*F7,2)))</f>
        <v/>
      </c>
      <c r="K7" s="105"/>
      <c r="L7" s="85" t="str">
        <f t="shared" si="1"/>
        <v/>
      </c>
      <c r="M7" s="606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TIPO_INVALIDO",IF(AND(ISNUMBER(SEARCH("NOVO",D7)),OR(INDEX(posicao_contratual!$C$2:$C$200,MATCH(A7,posicao_contratual!$A$2:$A$200,0))&lt;&gt;0,F7="",COUNTIFS($A$2:$A$200,A7,$B$2:$B$200,"&lt;"&amp;B7,$L$2:$L$200,"&gt;0")&gt;0)),"ALERTA: NOVO ITEM INVALIDO - use Acrescimo se o item ja existia; novo item exige QTD_BASE_ORIGINAL 0, VU_ORIGINAL e ser o 1o acrescimo do item.",IF(AND(ISNUMBER(SEARCH("NOVO",D7)),OR(N7="",ISERROR(MATCH(N7,{"C0","C1","C2","C3","C4"},0)))),"ALERTA: BASE_VU_OBRIGATORIA",IF(AND(NOT(ISNUMBER(SEARCH("NOVO",D7))),N7&lt;&gt;""),"ALERTA: BASE_VU_NAO_APLICAVEL",IF(AND(UPPER(H7)="SIM",NOT(ISNUMBER(I7))),"ALERTA: BASE_VU_INVALIDA_OU_POSTERIOR_AO_FATOR_ALVO","OK"))))))))))</f>
        <v/>
      </c>
      <c r="N7" s="608"/>
      <c r="O7" s="610" t="str">
        <f>IFERROR(IF((COUNTIFS($A$2:$A$200,$A7,$D$2:$D$200,"*novo*",$N$2:$N$200,"C0")+COUNTIFS($A$2:$A$200,$A7,$D$2:$D$200,"*novo*",$N$2:$N$200,"C1")+COUNTIFS($A$2:$A$200,$A7,$D$2:$D$200,"*novo*",$N$2:$N$200,"C2")+COUNTIFS($A$2:$A$200,$A7,$D$2:$D$200,"*novo*",$N$2:$N$200,"C3")+COUNTIFS($A$2:$A$200,$A7,$D$2:$D$200,"*novo*",$N$2:$N$200,"C4"))=1,IF(COUNTIFS($A$2:$A$200,$A7,$D$2:$D$200,"*novo*",$N$2:$N$200,"C4")&gt;0,4,IF(COUNTIFS($A$2:$A$200,$A7,$D$2:$D$200,"*novo*",$N$2:$N$200,"C3")&gt;0,3,IF(COUNTIFS($A$2:$A$200,$A7,$D$2:$D$200,"*novo*",$N$2:$N$200,"C2")&gt;0,2,IF(COUNTIFS($A$2:$A$200,$A7,$D$2:$D$200,"*novo*",$N$2:$N$200,"C1")&gt;0,1,IF(COUNTIFS($A$2:$A$200,$A7,$D$2:$D$200,"*novo*",$N$2:$N$200,"C0")&gt;0,0,""))))),IF(AND((COUNTIFS($A$2:$A$200,$A7,$D$2:$D$200,"*novo*",$N$2:$N$200,"C0")+COUNTIFS($A$2:$A$200,$A7,$D$2:$D$200,"*novo*",$N$2:$N$200,"C1")+COUNTIFS($A$2:$A$200,$A7,$D$2:$D$200,"*novo*",$N$2:$N$200,"C2")+COUNTIFS($A$2:$A$200,$A7,$D$2:$D$200,"*novo*",$N$2:$N$200,"C3")+COUNTIFS($A$2:$A$200,$A7,$D$2:$D$200,"*novo*",$N$2:$N$200,"C4"))=0,INDEX(posicao_contratual!$Y$2:$Y$200,MATCH($A7,posicao_contratual!$A$2:$A$200,0))=0),0,"")),"")</f>
        <v/>
      </c>
    </row>
    <row r="8" spans="1:15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IF(OR($A8="",$C8=""),"",IF(OR(($O8)="",($O8)&gt;(MIN(MATCH($C8,{"C0","C1","C2","C3","C4"},0)-1,COUNT(parametros!$F$2:$F$6)-1)),NOT(ISNUMBER(INDEX(parametros!$F$2:$F$6,(MIN(MATCH($C8,{"C0","C1","C2","C3","C4"},0)-1,COUNT(parametros!$F$2:$F$6)-1))+1))),NOT(ISNUMBER(INDEX(parametros!$F$2:$F$6,($O8)+1)))),"",INDEX(parametros!$F$2:$F$6,(MIN(MATCH($C8,{"C0","C1","C2","C3","C4"},0)-1,COUNT(parametros!$F$2:$F$6)-1))+1)/INDEX(parametros!$F$2:$F$6,($O8)+1))),"")</f>
        <v/>
      </c>
      <c r="J8" s="107" t="str">
        <f>IF(OR(L8="",F8=""),"",IF(UPPER(H8)="SIM",IF(ISNUMBER(I8),ROUND(L8*ROUND(F8*I8,2),2),""),ROUND(L8*F8,2)))</f>
        <v/>
      </c>
      <c r="K8" s="105"/>
      <c r="L8" s="85" t="str">
        <f t="shared" si="1"/>
        <v/>
      </c>
      <c r="M8" s="606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TIPO_INVALIDO",IF(AND(ISNUMBER(SEARCH("NOVO",D8)),OR(INDEX(posicao_contratual!$C$2:$C$200,MATCH(A8,posicao_contratual!$A$2:$A$200,0))&lt;&gt;0,F8="",COUNTIFS($A$2:$A$200,A8,$B$2:$B$200,"&lt;"&amp;B8,$L$2:$L$200,"&gt;0")&gt;0)),"ALERTA: NOVO ITEM INVALIDO - use Acrescimo se o item ja existia; novo item exige QTD_BASE_ORIGINAL 0, VU_ORIGINAL e ser o 1o acrescimo do item.",IF(AND(ISNUMBER(SEARCH("NOVO",D8)),OR(N8="",ISERROR(MATCH(N8,{"C0","C1","C2","C3","C4"},0)))),"ALERTA: BASE_VU_OBRIGATORIA",IF(AND(NOT(ISNUMBER(SEARCH("NOVO",D8))),N8&lt;&gt;""),"ALERTA: BASE_VU_NAO_APLICAVEL",IF(AND(UPPER(H8)="SIM",NOT(ISNUMBER(I8))),"ALERTA: BASE_VU_INVALIDA_OU_POSTERIOR_AO_FATOR_ALVO","OK"))))))))))</f>
        <v/>
      </c>
      <c r="N8" s="608"/>
      <c r="O8" s="610" t="str">
        <f>IFERROR(IF((COUNTIFS($A$2:$A$200,$A8,$D$2:$D$200,"*novo*",$N$2:$N$200,"C0")+COUNTIFS($A$2:$A$200,$A8,$D$2:$D$200,"*novo*",$N$2:$N$200,"C1")+COUNTIFS($A$2:$A$200,$A8,$D$2:$D$200,"*novo*",$N$2:$N$200,"C2")+COUNTIFS($A$2:$A$200,$A8,$D$2:$D$200,"*novo*",$N$2:$N$200,"C3")+COUNTIFS($A$2:$A$200,$A8,$D$2:$D$200,"*novo*",$N$2:$N$200,"C4"))=1,IF(COUNTIFS($A$2:$A$200,$A8,$D$2:$D$200,"*novo*",$N$2:$N$200,"C4")&gt;0,4,IF(COUNTIFS($A$2:$A$200,$A8,$D$2:$D$200,"*novo*",$N$2:$N$200,"C3")&gt;0,3,IF(COUNTIFS($A$2:$A$200,$A8,$D$2:$D$200,"*novo*",$N$2:$N$200,"C2")&gt;0,2,IF(COUNTIFS($A$2:$A$200,$A8,$D$2:$D$200,"*novo*",$N$2:$N$200,"C1")&gt;0,1,IF(COUNTIFS($A$2:$A$200,$A8,$D$2:$D$200,"*novo*",$N$2:$N$200,"C0")&gt;0,0,""))))),IF(AND((COUNTIFS($A$2:$A$200,$A8,$D$2:$D$200,"*novo*",$N$2:$N$200,"C0")+COUNTIFS($A$2:$A$200,$A8,$D$2:$D$200,"*novo*",$N$2:$N$200,"C1")+COUNTIFS($A$2:$A$200,$A8,$D$2:$D$200,"*novo*",$N$2:$N$200,"C2")+COUNTIFS($A$2:$A$200,$A8,$D$2:$D$200,"*novo*",$N$2:$N$200,"C3")+COUNTIFS($A$2:$A$200,$A8,$D$2:$D$200,"*novo*",$N$2:$N$200,"C4"))=0,INDEX(posicao_contratual!$Y$2:$Y$200,MATCH($A8,posicao_contratual!$A$2:$A$200,0))=0),0,"")),"")</f>
        <v/>
      </c>
    </row>
    <row r="9" spans="1:15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IF(OR($A9="",$C9=""),"",IF(OR(($O9)="",($O9)&gt;(MIN(MATCH($C9,{"C0","C1","C2","C3","C4"},0)-1,COUNT(parametros!$F$2:$F$6)-1)),NOT(ISNUMBER(INDEX(parametros!$F$2:$F$6,(MIN(MATCH($C9,{"C0","C1","C2","C3","C4"},0)-1,COUNT(parametros!$F$2:$F$6)-1))+1))),NOT(ISNUMBER(INDEX(parametros!$F$2:$F$6,($O9)+1)))),"",INDEX(parametros!$F$2:$F$6,(MIN(MATCH($C9,{"C0","C1","C2","C3","C4"},0)-1,COUNT(parametros!$F$2:$F$6)-1))+1)/INDEX(parametros!$F$2:$F$6,($O9)+1))),"")</f>
        <v/>
      </c>
      <c r="J9" s="107" t="str">
        <f>IF(OR(L9="",F9=""),"",IF(UPPER(H9)="SIM",IF(ISNUMBER(I9),ROUND(L9*ROUND(F9*I9,2),2),""),ROUND(L9*F9,2)))</f>
        <v/>
      </c>
      <c r="K9" s="105"/>
      <c r="L9" s="85" t="str">
        <f t="shared" si="1"/>
        <v/>
      </c>
      <c r="M9" s="606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TIPO_INVALIDO",IF(AND(ISNUMBER(SEARCH("NOVO",D9)),OR(INDEX(posicao_contratual!$C$2:$C$200,MATCH(A9,posicao_contratual!$A$2:$A$200,0))&lt;&gt;0,F9="",COUNTIFS($A$2:$A$200,A9,$B$2:$B$200,"&lt;"&amp;B9,$L$2:$L$200,"&gt;0")&gt;0)),"ALERTA: NOVO ITEM INVALIDO - use Acrescimo se o item ja existia; novo item exige QTD_BASE_ORIGINAL 0, VU_ORIGINAL e ser o 1o acrescimo do item.",IF(AND(ISNUMBER(SEARCH("NOVO",D9)),OR(N9="",ISERROR(MATCH(N9,{"C0","C1","C2","C3","C4"},0)))),"ALERTA: BASE_VU_OBRIGATORIA",IF(AND(NOT(ISNUMBER(SEARCH("NOVO",D9))),N9&lt;&gt;""),"ALERTA: BASE_VU_NAO_APLICAVEL",IF(AND(UPPER(H9)="SIM",NOT(ISNUMBER(I9))),"ALERTA: BASE_VU_INVALIDA_OU_POSTERIOR_AO_FATOR_ALVO","OK"))))))))))</f>
        <v/>
      </c>
      <c r="N9" s="608"/>
      <c r="O9" s="610" t="str">
        <f>IFERROR(IF((COUNTIFS($A$2:$A$200,$A9,$D$2:$D$200,"*novo*",$N$2:$N$200,"C0")+COUNTIFS($A$2:$A$200,$A9,$D$2:$D$200,"*novo*",$N$2:$N$200,"C1")+COUNTIFS($A$2:$A$200,$A9,$D$2:$D$200,"*novo*",$N$2:$N$200,"C2")+COUNTIFS($A$2:$A$200,$A9,$D$2:$D$200,"*novo*",$N$2:$N$200,"C3")+COUNTIFS($A$2:$A$200,$A9,$D$2:$D$200,"*novo*",$N$2:$N$200,"C4"))=1,IF(COUNTIFS($A$2:$A$200,$A9,$D$2:$D$200,"*novo*",$N$2:$N$200,"C4")&gt;0,4,IF(COUNTIFS($A$2:$A$200,$A9,$D$2:$D$200,"*novo*",$N$2:$N$200,"C3")&gt;0,3,IF(COUNTIFS($A$2:$A$200,$A9,$D$2:$D$200,"*novo*",$N$2:$N$200,"C2")&gt;0,2,IF(COUNTIFS($A$2:$A$200,$A9,$D$2:$D$200,"*novo*",$N$2:$N$200,"C1")&gt;0,1,IF(COUNTIFS($A$2:$A$200,$A9,$D$2:$D$200,"*novo*",$N$2:$N$200,"C0")&gt;0,0,""))))),IF(AND((COUNTIFS($A$2:$A$200,$A9,$D$2:$D$200,"*novo*",$N$2:$N$200,"C0")+COUNTIFS($A$2:$A$200,$A9,$D$2:$D$200,"*novo*",$N$2:$N$200,"C1")+COUNTIFS($A$2:$A$200,$A9,$D$2:$D$200,"*novo*",$N$2:$N$200,"C2")+COUNTIFS($A$2:$A$200,$A9,$D$2:$D$200,"*novo*",$N$2:$N$200,"C3")+COUNTIFS($A$2:$A$200,$A9,$D$2:$D$200,"*novo*",$N$2:$N$200,"C4"))=0,INDEX(posicao_contratual!$Y$2:$Y$200,MATCH($A9,posicao_contratual!$A$2:$A$200,0))=0),0,"")),"")</f>
        <v/>
      </c>
    </row>
    <row r="10" spans="1:15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IF(OR($A10="",$C10=""),"",IF(OR(($O10)="",($O10)&gt;(MIN(MATCH($C10,{"C0","C1","C2","C3","C4"},0)-1,COUNT(parametros!$F$2:$F$6)-1)),NOT(ISNUMBER(INDEX(parametros!$F$2:$F$6,(MIN(MATCH($C10,{"C0","C1","C2","C3","C4"},0)-1,COUNT(parametros!$F$2:$F$6)-1))+1))),NOT(ISNUMBER(INDEX(parametros!$F$2:$F$6,($O10)+1)))),"",INDEX(parametros!$F$2:$F$6,(MIN(MATCH($C10,{"C0","C1","C2","C3","C4"},0)-1,COUNT(parametros!$F$2:$F$6)-1))+1)/INDEX(parametros!$F$2:$F$6,($O10)+1))),"")</f>
        <v/>
      </c>
      <c r="J10" s="107" t="str">
        <f>IF(OR(L10="",F10=""),"",IF(UPPER(H10)="SIM",IF(ISNUMBER(I10),ROUND(L10*ROUND(F10*I10,2),2),""),ROUND(L10*F10,2)))</f>
        <v/>
      </c>
      <c r="K10" s="105"/>
      <c r="L10" s="85" t="str">
        <f t="shared" si="1"/>
        <v/>
      </c>
      <c r="M10" s="606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TIPO_INVALIDO",IF(AND(ISNUMBER(SEARCH("NOVO",D10)),OR(INDEX(posicao_contratual!$C$2:$C$200,MATCH(A10,posicao_contratual!$A$2:$A$200,0))&lt;&gt;0,F10="",COUNTIFS($A$2:$A$200,A10,$B$2:$B$200,"&lt;"&amp;B10,$L$2:$L$200,"&gt;0")&gt;0)),"ALERTA: NOVO ITEM INVALIDO - use Acrescimo se o item ja existia; novo item exige QTD_BASE_ORIGINAL 0, VU_ORIGINAL e ser o 1o acrescimo do item.",IF(AND(ISNUMBER(SEARCH("NOVO",D10)),OR(N10="",ISERROR(MATCH(N10,{"C0","C1","C2","C3","C4"},0)))),"ALERTA: BASE_VU_OBRIGATORIA",IF(AND(NOT(ISNUMBER(SEARCH("NOVO",D10))),N10&lt;&gt;""),"ALERTA: BASE_VU_NAO_APLICAVEL",IF(AND(UPPER(H10)="SIM",NOT(ISNUMBER(I10))),"ALERTA: BASE_VU_INVALIDA_OU_POSTERIOR_AO_FATOR_ALVO","OK"))))))))))</f>
        <v/>
      </c>
      <c r="N10" s="608"/>
      <c r="O10" s="610" t="str">
        <f>IFERROR(IF((COUNTIFS($A$2:$A$200,$A10,$D$2:$D$200,"*novo*",$N$2:$N$200,"C0")+COUNTIFS($A$2:$A$200,$A10,$D$2:$D$200,"*novo*",$N$2:$N$200,"C1")+COUNTIFS($A$2:$A$200,$A10,$D$2:$D$200,"*novo*",$N$2:$N$200,"C2")+COUNTIFS($A$2:$A$200,$A10,$D$2:$D$200,"*novo*",$N$2:$N$200,"C3")+COUNTIFS($A$2:$A$200,$A10,$D$2:$D$200,"*novo*",$N$2:$N$200,"C4"))=1,IF(COUNTIFS($A$2:$A$200,$A10,$D$2:$D$200,"*novo*",$N$2:$N$200,"C4")&gt;0,4,IF(COUNTIFS($A$2:$A$200,$A10,$D$2:$D$200,"*novo*",$N$2:$N$200,"C3")&gt;0,3,IF(COUNTIFS($A$2:$A$200,$A10,$D$2:$D$200,"*novo*",$N$2:$N$200,"C2")&gt;0,2,IF(COUNTIFS($A$2:$A$200,$A10,$D$2:$D$200,"*novo*",$N$2:$N$200,"C1")&gt;0,1,IF(COUNTIFS($A$2:$A$200,$A10,$D$2:$D$200,"*novo*",$N$2:$N$200,"C0")&gt;0,0,""))))),IF(AND((COUNTIFS($A$2:$A$200,$A10,$D$2:$D$200,"*novo*",$N$2:$N$200,"C0")+COUNTIFS($A$2:$A$200,$A10,$D$2:$D$200,"*novo*",$N$2:$N$200,"C1")+COUNTIFS($A$2:$A$200,$A10,$D$2:$D$200,"*novo*",$N$2:$N$200,"C2")+COUNTIFS($A$2:$A$200,$A10,$D$2:$D$200,"*novo*",$N$2:$N$200,"C3")+COUNTIFS($A$2:$A$200,$A10,$D$2:$D$200,"*novo*",$N$2:$N$200,"C4"))=0,INDEX(posicao_contratual!$Y$2:$Y$200,MATCH($A10,posicao_contratual!$A$2:$A$200,0))=0),0,"")),"")</f>
        <v/>
      </c>
    </row>
    <row r="11" spans="1:15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IF(OR($A11="",$C11=""),"",IF(OR(($O11)="",($O11)&gt;(MIN(MATCH($C11,{"C0","C1","C2","C3","C4"},0)-1,COUNT(parametros!$F$2:$F$6)-1)),NOT(ISNUMBER(INDEX(parametros!$F$2:$F$6,(MIN(MATCH($C11,{"C0","C1","C2","C3","C4"},0)-1,COUNT(parametros!$F$2:$F$6)-1))+1))),NOT(ISNUMBER(INDEX(parametros!$F$2:$F$6,($O11)+1)))),"",INDEX(parametros!$F$2:$F$6,(MIN(MATCH($C11,{"C0","C1","C2","C3","C4"},0)-1,COUNT(parametros!$F$2:$F$6)-1))+1)/INDEX(parametros!$F$2:$F$6,($O11)+1))),"")</f>
        <v/>
      </c>
      <c r="J11" s="107" t="str">
        <f>IF(OR(L11="",F11=""),"",IF(UPPER(H11)="SIM",IF(ISNUMBER(I11),ROUND(L11*ROUND(F11*I11,2),2),""),ROUND(L11*F11,2)))</f>
        <v/>
      </c>
      <c r="K11" s="105"/>
      <c r="L11" s="85" t="str">
        <f t="shared" si="1"/>
        <v/>
      </c>
      <c r="M11" s="606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TIPO_INVALIDO",IF(AND(ISNUMBER(SEARCH("NOVO",D11)),OR(INDEX(posicao_contratual!$C$2:$C$200,MATCH(A11,posicao_contratual!$A$2:$A$200,0))&lt;&gt;0,F11="",COUNTIFS($A$2:$A$200,A11,$B$2:$B$200,"&lt;"&amp;B11,$L$2:$L$200,"&gt;0")&gt;0)),"ALERTA: NOVO ITEM INVALIDO - use Acrescimo se o item ja existia; novo item exige QTD_BASE_ORIGINAL 0, VU_ORIGINAL e ser o 1o acrescimo do item.",IF(AND(ISNUMBER(SEARCH("NOVO",D11)),OR(N11="",ISERROR(MATCH(N11,{"C0","C1","C2","C3","C4"},0)))),"ALERTA: BASE_VU_OBRIGATORIA",IF(AND(NOT(ISNUMBER(SEARCH("NOVO",D11))),N11&lt;&gt;""),"ALERTA: BASE_VU_NAO_APLICAVEL",IF(AND(UPPER(H11)="SIM",NOT(ISNUMBER(I11))),"ALERTA: BASE_VU_INVALIDA_OU_POSTERIOR_AO_FATOR_ALVO","OK"))))))))))</f>
        <v/>
      </c>
      <c r="N11" s="608"/>
      <c r="O11" s="610" t="str">
        <f>IFERROR(IF((COUNTIFS($A$2:$A$200,$A11,$D$2:$D$200,"*novo*",$N$2:$N$200,"C0")+COUNTIFS($A$2:$A$200,$A11,$D$2:$D$200,"*novo*",$N$2:$N$200,"C1")+COUNTIFS($A$2:$A$200,$A11,$D$2:$D$200,"*novo*",$N$2:$N$200,"C2")+COUNTIFS($A$2:$A$200,$A11,$D$2:$D$200,"*novo*",$N$2:$N$200,"C3")+COUNTIFS($A$2:$A$200,$A11,$D$2:$D$200,"*novo*",$N$2:$N$200,"C4"))=1,IF(COUNTIFS($A$2:$A$200,$A11,$D$2:$D$200,"*novo*",$N$2:$N$200,"C4")&gt;0,4,IF(COUNTIFS($A$2:$A$200,$A11,$D$2:$D$200,"*novo*",$N$2:$N$200,"C3")&gt;0,3,IF(COUNTIFS($A$2:$A$200,$A11,$D$2:$D$200,"*novo*",$N$2:$N$200,"C2")&gt;0,2,IF(COUNTIFS($A$2:$A$200,$A11,$D$2:$D$200,"*novo*",$N$2:$N$200,"C1")&gt;0,1,IF(COUNTIFS($A$2:$A$200,$A11,$D$2:$D$200,"*novo*",$N$2:$N$200,"C0")&gt;0,0,""))))),IF(AND((COUNTIFS($A$2:$A$200,$A11,$D$2:$D$200,"*novo*",$N$2:$N$200,"C0")+COUNTIFS($A$2:$A$200,$A11,$D$2:$D$200,"*novo*",$N$2:$N$200,"C1")+COUNTIFS($A$2:$A$200,$A11,$D$2:$D$200,"*novo*",$N$2:$N$200,"C2")+COUNTIFS($A$2:$A$200,$A11,$D$2:$D$200,"*novo*",$N$2:$N$200,"C3")+COUNTIFS($A$2:$A$200,$A11,$D$2:$D$200,"*novo*",$N$2:$N$200,"C4"))=0,INDEX(posicao_contratual!$Y$2:$Y$200,MATCH($A11,posicao_contratual!$A$2:$A$200,0))=0),0,"")),"")</f>
        <v/>
      </c>
    </row>
    <row r="12" spans="1:15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IF(OR($A12="",$C12=""),"",IF(OR(($O12)="",($O12)&gt;(MIN(MATCH($C12,{"C0","C1","C2","C3","C4"},0)-1,COUNT(parametros!$F$2:$F$6)-1)),NOT(ISNUMBER(INDEX(parametros!$F$2:$F$6,(MIN(MATCH($C12,{"C0","C1","C2","C3","C4"},0)-1,COUNT(parametros!$F$2:$F$6)-1))+1))),NOT(ISNUMBER(INDEX(parametros!$F$2:$F$6,($O12)+1)))),"",INDEX(parametros!$F$2:$F$6,(MIN(MATCH($C12,{"C0","C1","C2","C3","C4"},0)-1,COUNT(parametros!$F$2:$F$6)-1))+1)/INDEX(parametros!$F$2:$F$6,($O12)+1))),"")</f>
        <v/>
      </c>
      <c r="J12" s="107" t="str">
        <f>IF(OR(L12="",F12=""),"",IF(UPPER(H12)="SIM",IF(ISNUMBER(I12),ROUND(L12*ROUND(F12*I12,2),2),""),ROUND(L12*F12,2)))</f>
        <v/>
      </c>
      <c r="K12" s="105"/>
      <c r="L12" s="85" t="str">
        <f t="shared" si="1"/>
        <v/>
      </c>
      <c r="M12" s="606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TIPO_INVALIDO",IF(AND(ISNUMBER(SEARCH("NOVO",D12)),OR(INDEX(posicao_contratual!$C$2:$C$200,MATCH(A12,posicao_contratual!$A$2:$A$200,0))&lt;&gt;0,F12="",COUNTIFS($A$2:$A$200,A12,$B$2:$B$200,"&lt;"&amp;B12,$L$2:$L$200,"&gt;0")&gt;0)),"ALERTA: NOVO ITEM INVALIDO - use Acrescimo se o item ja existia; novo item exige QTD_BASE_ORIGINAL 0, VU_ORIGINAL e ser o 1o acrescimo do item.",IF(AND(ISNUMBER(SEARCH("NOVO",D12)),OR(N12="",ISERROR(MATCH(N12,{"C0","C1","C2","C3","C4"},0)))),"ALERTA: BASE_VU_OBRIGATORIA",IF(AND(NOT(ISNUMBER(SEARCH("NOVO",D12))),N12&lt;&gt;""),"ALERTA: BASE_VU_NAO_APLICAVEL",IF(AND(UPPER(H12)="SIM",NOT(ISNUMBER(I12))),"ALERTA: BASE_VU_INVALIDA_OU_POSTERIOR_AO_FATOR_ALVO","OK"))))))))))</f>
        <v/>
      </c>
      <c r="N12" s="608"/>
      <c r="O12" s="610" t="str">
        <f>IFERROR(IF((COUNTIFS($A$2:$A$200,$A12,$D$2:$D$200,"*novo*",$N$2:$N$200,"C0")+COUNTIFS($A$2:$A$200,$A12,$D$2:$D$200,"*novo*",$N$2:$N$200,"C1")+COUNTIFS($A$2:$A$200,$A12,$D$2:$D$200,"*novo*",$N$2:$N$200,"C2")+COUNTIFS($A$2:$A$200,$A12,$D$2:$D$200,"*novo*",$N$2:$N$200,"C3")+COUNTIFS($A$2:$A$200,$A12,$D$2:$D$200,"*novo*",$N$2:$N$200,"C4"))=1,IF(COUNTIFS($A$2:$A$200,$A12,$D$2:$D$200,"*novo*",$N$2:$N$200,"C4")&gt;0,4,IF(COUNTIFS($A$2:$A$200,$A12,$D$2:$D$200,"*novo*",$N$2:$N$200,"C3")&gt;0,3,IF(COUNTIFS($A$2:$A$200,$A12,$D$2:$D$200,"*novo*",$N$2:$N$200,"C2")&gt;0,2,IF(COUNTIFS($A$2:$A$200,$A12,$D$2:$D$200,"*novo*",$N$2:$N$200,"C1")&gt;0,1,IF(COUNTIFS($A$2:$A$200,$A12,$D$2:$D$200,"*novo*",$N$2:$N$200,"C0")&gt;0,0,""))))),IF(AND((COUNTIFS($A$2:$A$200,$A12,$D$2:$D$200,"*novo*",$N$2:$N$200,"C0")+COUNTIFS($A$2:$A$200,$A12,$D$2:$D$200,"*novo*",$N$2:$N$200,"C1")+COUNTIFS($A$2:$A$200,$A12,$D$2:$D$200,"*novo*",$N$2:$N$200,"C2")+COUNTIFS($A$2:$A$200,$A12,$D$2:$D$200,"*novo*",$N$2:$N$200,"C3")+COUNTIFS($A$2:$A$200,$A12,$D$2:$D$200,"*novo*",$N$2:$N$200,"C4"))=0,INDEX(posicao_contratual!$Y$2:$Y$200,MATCH($A12,posicao_contratual!$A$2:$A$200,0))=0),0,"")),"")</f>
        <v/>
      </c>
    </row>
    <row r="13" spans="1:15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IF(OR($A13="",$C13=""),"",IF(OR(($O13)="",($O13)&gt;(MIN(MATCH($C13,{"C0","C1","C2","C3","C4"},0)-1,COUNT(parametros!$F$2:$F$6)-1)),NOT(ISNUMBER(INDEX(parametros!$F$2:$F$6,(MIN(MATCH($C13,{"C0","C1","C2","C3","C4"},0)-1,COUNT(parametros!$F$2:$F$6)-1))+1))),NOT(ISNUMBER(INDEX(parametros!$F$2:$F$6,($O13)+1)))),"",INDEX(parametros!$F$2:$F$6,(MIN(MATCH($C13,{"C0","C1","C2","C3","C4"},0)-1,COUNT(parametros!$F$2:$F$6)-1))+1)/INDEX(parametros!$F$2:$F$6,($O13)+1))),"")</f>
        <v/>
      </c>
      <c r="J13" s="107" t="str">
        <f>IF(OR(L13="",F13=""),"",IF(UPPER(H13)="SIM",IF(ISNUMBER(I13),ROUND(L13*ROUND(F13*I13,2),2),""),ROUND(L13*F13,2)))</f>
        <v/>
      </c>
      <c r="K13" s="105"/>
      <c r="L13" s="85" t="str">
        <f t="shared" si="1"/>
        <v/>
      </c>
      <c r="M13" s="606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TIPO_INVALIDO",IF(AND(ISNUMBER(SEARCH("NOVO",D13)),OR(INDEX(posicao_contratual!$C$2:$C$200,MATCH(A13,posicao_contratual!$A$2:$A$200,0))&lt;&gt;0,F13="",COUNTIFS($A$2:$A$200,A13,$B$2:$B$200,"&lt;"&amp;B13,$L$2:$L$200,"&gt;0")&gt;0)),"ALERTA: NOVO ITEM INVALIDO - use Acrescimo se o item ja existia; novo item exige QTD_BASE_ORIGINAL 0, VU_ORIGINAL e ser o 1o acrescimo do item.",IF(AND(ISNUMBER(SEARCH("NOVO",D13)),OR(N13="",ISERROR(MATCH(N13,{"C0","C1","C2","C3","C4"},0)))),"ALERTA: BASE_VU_OBRIGATORIA",IF(AND(NOT(ISNUMBER(SEARCH("NOVO",D13))),N13&lt;&gt;""),"ALERTA: BASE_VU_NAO_APLICAVEL",IF(AND(UPPER(H13)="SIM",NOT(ISNUMBER(I13))),"ALERTA: BASE_VU_INVALIDA_OU_POSTERIOR_AO_FATOR_ALVO","OK"))))))))))</f>
        <v/>
      </c>
      <c r="N13" s="608"/>
      <c r="O13" s="610" t="str">
        <f>IFERROR(IF((COUNTIFS($A$2:$A$200,$A13,$D$2:$D$200,"*novo*",$N$2:$N$200,"C0")+COUNTIFS($A$2:$A$200,$A13,$D$2:$D$200,"*novo*",$N$2:$N$200,"C1")+COUNTIFS($A$2:$A$200,$A13,$D$2:$D$200,"*novo*",$N$2:$N$200,"C2")+COUNTIFS($A$2:$A$200,$A13,$D$2:$D$200,"*novo*",$N$2:$N$200,"C3")+COUNTIFS($A$2:$A$200,$A13,$D$2:$D$200,"*novo*",$N$2:$N$200,"C4"))=1,IF(COUNTIFS($A$2:$A$200,$A13,$D$2:$D$200,"*novo*",$N$2:$N$200,"C4")&gt;0,4,IF(COUNTIFS($A$2:$A$200,$A13,$D$2:$D$200,"*novo*",$N$2:$N$200,"C3")&gt;0,3,IF(COUNTIFS($A$2:$A$200,$A13,$D$2:$D$200,"*novo*",$N$2:$N$200,"C2")&gt;0,2,IF(COUNTIFS($A$2:$A$200,$A13,$D$2:$D$200,"*novo*",$N$2:$N$200,"C1")&gt;0,1,IF(COUNTIFS($A$2:$A$200,$A13,$D$2:$D$200,"*novo*",$N$2:$N$200,"C0")&gt;0,0,""))))),IF(AND((COUNTIFS($A$2:$A$200,$A13,$D$2:$D$200,"*novo*",$N$2:$N$200,"C0")+COUNTIFS($A$2:$A$200,$A13,$D$2:$D$200,"*novo*",$N$2:$N$200,"C1")+COUNTIFS($A$2:$A$200,$A13,$D$2:$D$200,"*novo*",$N$2:$N$200,"C2")+COUNTIFS($A$2:$A$200,$A13,$D$2:$D$200,"*novo*",$N$2:$N$200,"C3")+COUNTIFS($A$2:$A$200,$A13,$D$2:$D$200,"*novo*",$N$2:$N$200,"C4"))=0,INDEX(posicao_contratual!$Y$2:$Y$200,MATCH($A13,posicao_contratual!$A$2:$A$200,0))=0),0,"")),"")</f>
        <v/>
      </c>
    </row>
    <row r="14" spans="1:15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IF(OR($A14="",$C14=""),"",IF(OR(($O14)="",($O14)&gt;(MIN(MATCH($C14,{"C0","C1","C2","C3","C4"},0)-1,COUNT(parametros!$F$2:$F$6)-1)),NOT(ISNUMBER(INDEX(parametros!$F$2:$F$6,(MIN(MATCH($C14,{"C0","C1","C2","C3","C4"},0)-1,COUNT(parametros!$F$2:$F$6)-1))+1))),NOT(ISNUMBER(INDEX(parametros!$F$2:$F$6,($O14)+1)))),"",INDEX(parametros!$F$2:$F$6,(MIN(MATCH($C14,{"C0","C1","C2","C3","C4"},0)-1,COUNT(parametros!$F$2:$F$6)-1))+1)/INDEX(parametros!$F$2:$F$6,($O14)+1))),"")</f>
        <v/>
      </c>
      <c r="J14" s="107" t="str">
        <f>IF(OR(L14="",F14=""),"",IF(UPPER(H14)="SIM",IF(ISNUMBER(I14),ROUND(L14*ROUND(F14*I14,2),2),""),ROUND(L14*F14,2)))</f>
        <v/>
      </c>
      <c r="K14" s="105"/>
      <c r="L14" s="85" t="str">
        <f t="shared" si="1"/>
        <v/>
      </c>
      <c r="M14" s="606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TIPO_INVALIDO",IF(AND(ISNUMBER(SEARCH("NOVO",D14)),OR(INDEX(posicao_contratual!$C$2:$C$200,MATCH(A14,posicao_contratual!$A$2:$A$200,0))&lt;&gt;0,F14="",COUNTIFS($A$2:$A$200,A14,$B$2:$B$200,"&lt;"&amp;B14,$L$2:$L$200,"&gt;0")&gt;0)),"ALERTA: NOVO ITEM INVALIDO - use Acrescimo se o item ja existia; novo item exige QTD_BASE_ORIGINAL 0, VU_ORIGINAL e ser o 1o acrescimo do item.",IF(AND(ISNUMBER(SEARCH("NOVO",D14)),OR(N14="",ISERROR(MATCH(N14,{"C0","C1","C2","C3","C4"},0)))),"ALERTA: BASE_VU_OBRIGATORIA",IF(AND(NOT(ISNUMBER(SEARCH("NOVO",D14))),N14&lt;&gt;""),"ALERTA: BASE_VU_NAO_APLICAVEL",IF(AND(UPPER(H14)="SIM",NOT(ISNUMBER(I14))),"ALERTA: BASE_VU_INVALIDA_OU_POSTERIOR_AO_FATOR_ALVO","OK"))))))))))</f>
        <v/>
      </c>
      <c r="N14" s="608"/>
      <c r="O14" s="610" t="str">
        <f>IFERROR(IF((COUNTIFS($A$2:$A$200,$A14,$D$2:$D$200,"*novo*",$N$2:$N$200,"C0")+COUNTIFS($A$2:$A$200,$A14,$D$2:$D$200,"*novo*",$N$2:$N$200,"C1")+COUNTIFS($A$2:$A$200,$A14,$D$2:$D$200,"*novo*",$N$2:$N$200,"C2")+COUNTIFS($A$2:$A$200,$A14,$D$2:$D$200,"*novo*",$N$2:$N$200,"C3")+COUNTIFS($A$2:$A$200,$A14,$D$2:$D$200,"*novo*",$N$2:$N$200,"C4"))=1,IF(COUNTIFS($A$2:$A$200,$A14,$D$2:$D$200,"*novo*",$N$2:$N$200,"C4")&gt;0,4,IF(COUNTIFS($A$2:$A$200,$A14,$D$2:$D$200,"*novo*",$N$2:$N$200,"C3")&gt;0,3,IF(COUNTIFS($A$2:$A$200,$A14,$D$2:$D$200,"*novo*",$N$2:$N$200,"C2")&gt;0,2,IF(COUNTIFS($A$2:$A$200,$A14,$D$2:$D$200,"*novo*",$N$2:$N$200,"C1")&gt;0,1,IF(COUNTIFS($A$2:$A$200,$A14,$D$2:$D$200,"*novo*",$N$2:$N$200,"C0")&gt;0,0,""))))),IF(AND((COUNTIFS($A$2:$A$200,$A14,$D$2:$D$200,"*novo*",$N$2:$N$200,"C0")+COUNTIFS($A$2:$A$200,$A14,$D$2:$D$200,"*novo*",$N$2:$N$200,"C1")+COUNTIFS($A$2:$A$200,$A14,$D$2:$D$200,"*novo*",$N$2:$N$200,"C2")+COUNTIFS($A$2:$A$200,$A14,$D$2:$D$200,"*novo*",$N$2:$N$200,"C3")+COUNTIFS($A$2:$A$200,$A14,$D$2:$D$200,"*novo*",$N$2:$N$200,"C4"))=0,INDEX(posicao_contratual!$Y$2:$Y$200,MATCH($A14,posicao_contratual!$A$2:$A$200,0))=0),0,"")),"")</f>
        <v/>
      </c>
    </row>
    <row r="15" spans="1:15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IF(OR($A15="",$C15=""),"",IF(OR(($O15)="",($O15)&gt;(MIN(MATCH($C15,{"C0","C1","C2","C3","C4"},0)-1,COUNT(parametros!$F$2:$F$6)-1)),NOT(ISNUMBER(INDEX(parametros!$F$2:$F$6,(MIN(MATCH($C15,{"C0","C1","C2","C3","C4"},0)-1,COUNT(parametros!$F$2:$F$6)-1))+1))),NOT(ISNUMBER(INDEX(parametros!$F$2:$F$6,($O15)+1)))),"",INDEX(parametros!$F$2:$F$6,(MIN(MATCH($C15,{"C0","C1","C2","C3","C4"},0)-1,COUNT(parametros!$F$2:$F$6)-1))+1)/INDEX(parametros!$F$2:$F$6,($O15)+1))),"")</f>
        <v/>
      </c>
      <c r="J15" s="107" t="str">
        <f>IF(OR(L15="",F15=""),"",IF(UPPER(H15)="SIM",IF(ISNUMBER(I15),ROUND(L15*ROUND(F15*I15,2),2),""),ROUND(L15*F15,2)))</f>
        <v/>
      </c>
      <c r="K15" s="105"/>
      <c r="L15" s="85" t="str">
        <f t="shared" si="1"/>
        <v/>
      </c>
      <c r="M15" s="606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TIPO_INVALIDO",IF(AND(ISNUMBER(SEARCH("NOVO",D15)),OR(INDEX(posicao_contratual!$C$2:$C$200,MATCH(A15,posicao_contratual!$A$2:$A$200,0))&lt;&gt;0,F15="",COUNTIFS($A$2:$A$200,A15,$B$2:$B$200,"&lt;"&amp;B15,$L$2:$L$200,"&gt;0")&gt;0)),"ALERTA: NOVO ITEM INVALIDO - use Acrescimo se o item ja existia; novo item exige QTD_BASE_ORIGINAL 0, VU_ORIGINAL e ser o 1o acrescimo do item.",IF(AND(ISNUMBER(SEARCH("NOVO",D15)),OR(N15="",ISERROR(MATCH(N15,{"C0","C1","C2","C3","C4"},0)))),"ALERTA: BASE_VU_OBRIGATORIA",IF(AND(NOT(ISNUMBER(SEARCH("NOVO",D15))),N15&lt;&gt;""),"ALERTA: BASE_VU_NAO_APLICAVEL",IF(AND(UPPER(H15)="SIM",NOT(ISNUMBER(I15))),"ALERTA: BASE_VU_INVALIDA_OU_POSTERIOR_AO_FATOR_ALVO","OK"))))))))))</f>
        <v/>
      </c>
      <c r="N15" s="608"/>
      <c r="O15" s="610" t="str">
        <f>IFERROR(IF((COUNTIFS($A$2:$A$200,$A15,$D$2:$D$200,"*novo*",$N$2:$N$200,"C0")+COUNTIFS($A$2:$A$200,$A15,$D$2:$D$200,"*novo*",$N$2:$N$200,"C1")+COUNTIFS($A$2:$A$200,$A15,$D$2:$D$200,"*novo*",$N$2:$N$200,"C2")+COUNTIFS($A$2:$A$200,$A15,$D$2:$D$200,"*novo*",$N$2:$N$200,"C3")+COUNTIFS($A$2:$A$200,$A15,$D$2:$D$200,"*novo*",$N$2:$N$200,"C4"))=1,IF(COUNTIFS($A$2:$A$200,$A15,$D$2:$D$200,"*novo*",$N$2:$N$200,"C4")&gt;0,4,IF(COUNTIFS($A$2:$A$200,$A15,$D$2:$D$200,"*novo*",$N$2:$N$200,"C3")&gt;0,3,IF(COUNTIFS($A$2:$A$200,$A15,$D$2:$D$200,"*novo*",$N$2:$N$200,"C2")&gt;0,2,IF(COUNTIFS($A$2:$A$200,$A15,$D$2:$D$200,"*novo*",$N$2:$N$200,"C1")&gt;0,1,IF(COUNTIFS($A$2:$A$200,$A15,$D$2:$D$200,"*novo*",$N$2:$N$200,"C0")&gt;0,0,""))))),IF(AND((COUNTIFS($A$2:$A$200,$A15,$D$2:$D$200,"*novo*",$N$2:$N$200,"C0")+COUNTIFS($A$2:$A$200,$A15,$D$2:$D$200,"*novo*",$N$2:$N$200,"C1")+COUNTIFS($A$2:$A$200,$A15,$D$2:$D$200,"*novo*",$N$2:$N$200,"C2")+COUNTIFS($A$2:$A$200,$A15,$D$2:$D$200,"*novo*",$N$2:$N$200,"C3")+COUNTIFS($A$2:$A$200,$A15,$D$2:$D$200,"*novo*",$N$2:$N$200,"C4"))=0,INDEX(posicao_contratual!$Y$2:$Y$200,MATCH($A15,posicao_contratual!$A$2:$A$200,0))=0),0,"")),"")</f>
        <v/>
      </c>
    </row>
    <row r="16" spans="1:15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IF(OR($A16="",$C16=""),"",IF(OR(($O16)="",($O16)&gt;(MIN(MATCH($C16,{"C0","C1","C2","C3","C4"},0)-1,COUNT(parametros!$F$2:$F$6)-1)),NOT(ISNUMBER(INDEX(parametros!$F$2:$F$6,(MIN(MATCH($C16,{"C0","C1","C2","C3","C4"},0)-1,COUNT(parametros!$F$2:$F$6)-1))+1))),NOT(ISNUMBER(INDEX(parametros!$F$2:$F$6,($O16)+1)))),"",INDEX(parametros!$F$2:$F$6,(MIN(MATCH($C16,{"C0","C1","C2","C3","C4"},0)-1,COUNT(parametros!$F$2:$F$6)-1))+1)/INDEX(parametros!$F$2:$F$6,($O16)+1))),"")</f>
        <v/>
      </c>
      <c r="J16" s="107" t="str">
        <f>IF(OR(L16="",F16=""),"",IF(UPPER(H16)="SIM",IF(ISNUMBER(I16),ROUND(L16*ROUND(F16*I16,2),2),""),ROUND(L16*F16,2)))</f>
        <v/>
      </c>
      <c r="K16" s="105"/>
      <c r="L16" s="85" t="str">
        <f t="shared" si="1"/>
        <v/>
      </c>
      <c r="M16" s="606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TIPO_INVALIDO",IF(AND(ISNUMBER(SEARCH("NOVO",D16)),OR(INDEX(posicao_contratual!$C$2:$C$200,MATCH(A16,posicao_contratual!$A$2:$A$200,0))&lt;&gt;0,F16="",COUNTIFS($A$2:$A$200,A16,$B$2:$B$200,"&lt;"&amp;B16,$L$2:$L$200,"&gt;0")&gt;0)),"ALERTA: NOVO ITEM INVALIDO - use Acrescimo se o item ja existia; novo item exige QTD_BASE_ORIGINAL 0, VU_ORIGINAL e ser o 1o acrescimo do item.",IF(AND(ISNUMBER(SEARCH("NOVO",D16)),OR(N16="",ISERROR(MATCH(N16,{"C0","C1","C2","C3","C4"},0)))),"ALERTA: BASE_VU_OBRIGATORIA",IF(AND(NOT(ISNUMBER(SEARCH("NOVO",D16))),N16&lt;&gt;""),"ALERTA: BASE_VU_NAO_APLICAVEL",IF(AND(UPPER(H16)="SIM",NOT(ISNUMBER(I16))),"ALERTA: BASE_VU_INVALIDA_OU_POSTERIOR_AO_FATOR_ALVO","OK"))))))))))</f>
        <v/>
      </c>
      <c r="N16" s="608"/>
      <c r="O16" s="610" t="str">
        <f>IFERROR(IF((COUNTIFS($A$2:$A$200,$A16,$D$2:$D$200,"*novo*",$N$2:$N$200,"C0")+COUNTIFS($A$2:$A$200,$A16,$D$2:$D$200,"*novo*",$N$2:$N$200,"C1")+COUNTIFS($A$2:$A$200,$A16,$D$2:$D$200,"*novo*",$N$2:$N$200,"C2")+COUNTIFS($A$2:$A$200,$A16,$D$2:$D$200,"*novo*",$N$2:$N$200,"C3")+COUNTIFS($A$2:$A$200,$A16,$D$2:$D$200,"*novo*",$N$2:$N$200,"C4"))=1,IF(COUNTIFS($A$2:$A$200,$A16,$D$2:$D$200,"*novo*",$N$2:$N$200,"C4")&gt;0,4,IF(COUNTIFS($A$2:$A$200,$A16,$D$2:$D$200,"*novo*",$N$2:$N$200,"C3")&gt;0,3,IF(COUNTIFS($A$2:$A$200,$A16,$D$2:$D$200,"*novo*",$N$2:$N$200,"C2")&gt;0,2,IF(COUNTIFS($A$2:$A$200,$A16,$D$2:$D$200,"*novo*",$N$2:$N$200,"C1")&gt;0,1,IF(COUNTIFS($A$2:$A$200,$A16,$D$2:$D$200,"*novo*",$N$2:$N$200,"C0")&gt;0,0,""))))),IF(AND((COUNTIFS($A$2:$A$200,$A16,$D$2:$D$200,"*novo*",$N$2:$N$200,"C0")+COUNTIFS($A$2:$A$200,$A16,$D$2:$D$200,"*novo*",$N$2:$N$200,"C1")+COUNTIFS($A$2:$A$200,$A16,$D$2:$D$200,"*novo*",$N$2:$N$200,"C2")+COUNTIFS($A$2:$A$200,$A16,$D$2:$D$200,"*novo*",$N$2:$N$200,"C3")+COUNTIFS($A$2:$A$200,$A16,$D$2:$D$200,"*novo*",$N$2:$N$200,"C4"))=0,INDEX(posicao_contratual!$Y$2:$Y$200,MATCH($A16,posicao_contratual!$A$2:$A$200,0))=0),0,"")),"")</f>
        <v/>
      </c>
    </row>
    <row r="17" spans="1:15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IF(OR($A17="",$C17=""),"",IF(OR(($O17)="",($O17)&gt;(MIN(MATCH($C17,{"C0","C1","C2","C3","C4"},0)-1,COUNT(parametros!$F$2:$F$6)-1)),NOT(ISNUMBER(INDEX(parametros!$F$2:$F$6,(MIN(MATCH($C17,{"C0","C1","C2","C3","C4"},0)-1,COUNT(parametros!$F$2:$F$6)-1))+1))),NOT(ISNUMBER(INDEX(parametros!$F$2:$F$6,($O17)+1)))),"",INDEX(parametros!$F$2:$F$6,(MIN(MATCH($C17,{"C0","C1","C2","C3","C4"},0)-1,COUNT(parametros!$F$2:$F$6)-1))+1)/INDEX(parametros!$F$2:$F$6,($O17)+1))),"")</f>
        <v/>
      </c>
      <c r="J17" s="107" t="str">
        <f>IF(OR(L17="",F17=""),"",IF(UPPER(H17)="SIM",IF(ISNUMBER(I17),ROUND(L17*ROUND(F17*I17,2),2),""),ROUND(L17*F17,2)))</f>
        <v/>
      </c>
      <c r="K17" s="105"/>
      <c r="L17" s="85" t="str">
        <f t="shared" si="1"/>
        <v/>
      </c>
      <c r="M17" s="606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TIPO_INVALIDO",IF(AND(ISNUMBER(SEARCH("NOVO",D17)),OR(INDEX(posicao_contratual!$C$2:$C$200,MATCH(A17,posicao_contratual!$A$2:$A$200,0))&lt;&gt;0,F17="",COUNTIFS($A$2:$A$200,A17,$B$2:$B$200,"&lt;"&amp;B17,$L$2:$L$200,"&gt;0")&gt;0)),"ALERTA: NOVO ITEM INVALIDO - use Acrescimo se o item ja existia; novo item exige QTD_BASE_ORIGINAL 0, VU_ORIGINAL e ser o 1o acrescimo do item.",IF(AND(ISNUMBER(SEARCH("NOVO",D17)),OR(N17="",ISERROR(MATCH(N17,{"C0","C1","C2","C3","C4"},0)))),"ALERTA: BASE_VU_OBRIGATORIA",IF(AND(NOT(ISNUMBER(SEARCH("NOVO",D17))),N17&lt;&gt;""),"ALERTA: BASE_VU_NAO_APLICAVEL",IF(AND(UPPER(H17)="SIM",NOT(ISNUMBER(I17))),"ALERTA: BASE_VU_INVALIDA_OU_POSTERIOR_AO_FATOR_ALVO","OK"))))))))))</f>
        <v/>
      </c>
      <c r="N17" s="608"/>
      <c r="O17" s="610" t="str">
        <f>IFERROR(IF((COUNTIFS($A$2:$A$200,$A17,$D$2:$D$200,"*novo*",$N$2:$N$200,"C0")+COUNTIFS($A$2:$A$200,$A17,$D$2:$D$200,"*novo*",$N$2:$N$200,"C1")+COUNTIFS($A$2:$A$200,$A17,$D$2:$D$200,"*novo*",$N$2:$N$200,"C2")+COUNTIFS($A$2:$A$200,$A17,$D$2:$D$200,"*novo*",$N$2:$N$200,"C3")+COUNTIFS($A$2:$A$200,$A17,$D$2:$D$200,"*novo*",$N$2:$N$200,"C4"))=1,IF(COUNTIFS($A$2:$A$200,$A17,$D$2:$D$200,"*novo*",$N$2:$N$200,"C4")&gt;0,4,IF(COUNTIFS($A$2:$A$200,$A17,$D$2:$D$200,"*novo*",$N$2:$N$200,"C3")&gt;0,3,IF(COUNTIFS($A$2:$A$200,$A17,$D$2:$D$200,"*novo*",$N$2:$N$200,"C2")&gt;0,2,IF(COUNTIFS($A$2:$A$200,$A17,$D$2:$D$200,"*novo*",$N$2:$N$200,"C1")&gt;0,1,IF(COUNTIFS($A$2:$A$200,$A17,$D$2:$D$200,"*novo*",$N$2:$N$200,"C0")&gt;0,0,""))))),IF(AND((COUNTIFS($A$2:$A$200,$A17,$D$2:$D$200,"*novo*",$N$2:$N$200,"C0")+COUNTIFS($A$2:$A$200,$A17,$D$2:$D$200,"*novo*",$N$2:$N$200,"C1")+COUNTIFS($A$2:$A$200,$A17,$D$2:$D$200,"*novo*",$N$2:$N$200,"C2")+COUNTIFS($A$2:$A$200,$A17,$D$2:$D$200,"*novo*",$N$2:$N$200,"C3")+COUNTIFS($A$2:$A$200,$A17,$D$2:$D$200,"*novo*",$N$2:$N$200,"C4"))=0,INDEX(posicao_contratual!$Y$2:$Y$200,MATCH($A17,posicao_contratual!$A$2:$A$200,0))=0),0,"")),"")</f>
        <v/>
      </c>
    </row>
    <row r="18" spans="1:15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IF(OR($A18="",$C18=""),"",IF(OR(($O18)="",($O18)&gt;(MIN(MATCH($C18,{"C0","C1","C2","C3","C4"},0)-1,COUNT(parametros!$F$2:$F$6)-1)),NOT(ISNUMBER(INDEX(parametros!$F$2:$F$6,(MIN(MATCH($C18,{"C0","C1","C2","C3","C4"},0)-1,COUNT(parametros!$F$2:$F$6)-1))+1))),NOT(ISNUMBER(INDEX(parametros!$F$2:$F$6,($O18)+1)))),"",INDEX(parametros!$F$2:$F$6,(MIN(MATCH($C18,{"C0","C1","C2","C3","C4"},0)-1,COUNT(parametros!$F$2:$F$6)-1))+1)/INDEX(parametros!$F$2:$F$6,($O18)+1))),"")</f>
        <v/>
      </c>
      <c r="J18" s="107" t="str">
        <f>IF(OR(L18="",F18=""),"",IF(UPPER(H18)="SIM",IF(ISNUMBER(I18),ROUND(L18*ROUND(F18*I18,2),2),""),ROUND(L18*F18,2)))</f>
        <v/>
      </c>
      <c r="K18" s="105"/>
      <c r="L18" s="85" t="str">
        <f t="shared" si="1"/>
        <v/>
      </c>
      <c r="M18" s="606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TIPO_INVALIDO",IF(AND(ISNUMBER(SEARCH("NOVO",D18)),OR(INDEX(posicao_contratual!$C$2:$C$200,MATCH(A18,posicao_contratual!$A$2:$A$200,0))&lt;&gt;0,F18="",COUNTIFS($A$2:$A$200,A18,$B$2:$B$200,"&lt;"&amp;B18,$L$2:$L$200,"&gt;0")&gt;0)),"ALERTA: NOVO ITEM INVALIDO - use Acrescimo se o item ja existia; novo item exige QTD_BASE_ORIGINAL 0, VU_ORIGINAL e ser o 1o acrescimo do item.",IF(AND(ISNUMBER(SEARCH("NOVO",D18)),OR(N18="",ISERROR(MATCH(N18,{"C0","C1","C2","C3","C4"},0)))),"ALERTA: BASE_VU_OBRIGATORIA",IF(AND(NOT(ISNUMBER(SEARCH("NOVO",D18))),N18&lt;&gt;""),"ALERTA: BASE_VU_NAO_APLICAVEL",IF(AND(UPPER(H18)="SIM",NOT(ISNUMBER(I18))),"ALERTA: BASE_VU_INVALIDA_OU_POSTERIOR_AO_FATOR_ALVO","OK"))))))))))</f>
        <v/>
      </c>
      <c r="N18" s="608"/>
      <c r="O18" s="610" t="str">
        <f>IFERROR(IF((COUNTIFS($A$2:$A$200,$A18,$D$2:$D$200,"*novo*",$N$2:$N$200,"C0")+COUNTIFS($A$2:$A$200,$A18,$D$2:$D$200,"*novo*",$N$2:$N$200,"C1")+COUNTIFS($A$2:$A$200,$A18,$D$2:$D$200,"*novo*",$N$2:$N$200,"C2")+COUNTIFS($A$2:$A$200,$A18,$D$2:$D$200,"*novo*",$N$2:$N$200,"C3")+COUNTIFS($A$2:$A$200,$A18,$D$2:$D$200,"*novo*",$N$2:$N$200,"C4"))=1,IF(COUNTIFS($A$2:$A$200,$A18,$D$2:$D$200,"*novo*",$N$2:$N$200,"C4")&gt;0,4,IF(COUNTIFS($A$2:$A$200,$A18,$D$2:$D$200,"*novo*",$N$2:$N$200,"C3")&gt;0,3,IF(COUNTIFS($A$2:$A$200,$A18,$D$2:$D$200,"*novo*",$N$2:$N$200,"C2")&gt;0,2,IF(COUNTIFS($A$2:$A$200,$A18,$D$2:$D$200,"*novo*",$N$2:$N$200,"C1")&gt;0,1,IF(COUNTIFS($A$2:$A$200,$A18,$D$2:$D$200,"*novo*",$N$2:$N$200,"C0")&gt;0,0,""))))),IF(AND((COUNTIFS($A$2:$A$200,$A18,$D$2:$D$200,"*novo*",$N$2:$N$200,"C0")+COUNTIFS($A$2:$A$200,$A18,$D$2:$D$200,"*novo*",$N$2:$N$200,"C1")+COUNTIFS($A$2:$A$200,$A18,$D$2:$D$200,"*novo*",$N$2:$N$200,"C2")+COUNTIFS($A$2:$A$200,$A18,$D$2:$D$200,"*novo*",$N$2:$N$200,"C3")+COUNTIFS($A$2:$A$200,$A18,$D$2:$D$200,"*novo*",$N$2:$N$200,"C4"))=0,INDEX(posicao_contratual!$Y$2:$Y$200,MATCH($A18,posicao_contratual!$A$2:$A$200,0))=0),0,"")),"")</f>
        <v/>
      </c>
    </row>
    <row r="19" spans="1:15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IF(OR($A19="",$C19=""),"",IF(OR(($O19)="",($O19)&gt;(MIN(MATCH($C19,{"C0","C1","C2","C3","C4"},0)-1,COUNT(parametros!$F$2:$F$6)-1)),NOT(ISNUMBER(INDEX(parametros!$F$2:$F$6,(MIN(MATCH($C19,{"C0","C1","C2","C3","C4"},0)-1,COUNT(parametros!$F$2:$F$6)-1))+1))),NOT(ISNUMBER(INDEX(parametros!$F$2:$F$6,($O19)+1)))),"",INDEX(parametros!$F$2:$F$6,(MIN(MATCH($C19,{"C0","C1","C2","C3","C4"},0)-1,COUNT(parametros!$F$2:$F$6)-1))+1)/INDEX(parametros!$F$2:$F$6,($O19)+1))),"")</f>
        <v/>
      </c>
      <c r="J19" s="107" t="str">
        <f>IF(OR(L19="",F19=""),"",IF(UPPER(H19)="SIM",IF(ISNUMBER(I19),ROUND(L19*ROUND(F19*I19,2),2),""),ROUND(L19*F19,2)))</f>
        <v/>
      </c>
      <c r="K19" s="105"/>
      <c r="L19" s="85" t="str">
        <f t="shared" si="1"/>
        <v/>
      </c>
      <c r="M19" s="606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TIPO_INVALIDO",IF(AND(ISNUMBER(SEARCH("NOVO",D19)),OR(INDEX(posicao_contratual!$C$2:$C$200,MATCH(A19,posicao_contratual!$A$2:$A$200,0))&lt;&gt;0,F19="",COUNTIFS($A$2:$A$200,A19,$B$2:$B$200,"&lt;"&amp;B19,$L$2:$L$200,"&gt;0")&gt;0)),"ALERTA: NOVO ITEM INVALIDO - use Acrescimo se o item ja existia; novo item exige QTD_BASE_ORIGINAL 0, VU_ORIGINAL e ser o 1o acrescimo do item.",IF(AND(ISNUMBER(SEARCH("NOVO",D19)),OR(N19="",ISERROR(MATCH(N19,{"C0","C1","C2","C3","C4"},0)))),"ALERTA: BASE_VU_OBRIGATORIA",IF(AND(NOT(ISNUMBER(SEARCH("NOVO",D19))),N19&lt;&gt;""),"ALERTA: BASE_VU_NAO_APLICAVEL",IF(AND(UPPER(H19)="SIM",NOT(ISNUMBER(I19))),"ALERTA: BASE_VU_INVALIDA_OU_POSTERIOR_AO_FATOR_ALVO","OK"))))))))))</f>
        <v/>
      </c>
      <c r="N19" s="608"/>
      <c r="O19" s="610" t="str">
        <f>IFERROR(IF((COUNTIFS($A$2:$A$200,$A19,$D$2:$D$200,"*novo*",$N$2:$N$200,"C0")+COUNTIFS($A$2:$A$200,$A19,$D$2:$D$200,"*novo*",$N$2:$N$200,"C1")+COUNTIFS($A$2:$A$200,$A19,$D$2:$D$200,"*novo*",$N$2:$N$200,"C2")+COUNTIFS($A$2:$A$200,$A19,$D$2:$D$200,"*novo*",$N$2:$N$200,"C3")+COUNTIFS($A$2:$A$200,$A19,$D$2:$D$200,"*novo*",$N$2:$N$200,"C4"))=1,IF(COUNTIFS($A$2:$A$200,$A19,$D$2:$D$200,"*novo*",$N$2:$N$200,"C4")&gt;0,4,IF(COUNTIFS($A$2:$A$200,$A19,$D$2:$D$200,"*novo*",$N$2:$N$200,"C3")&gt;0,3,IF(COUNTIFS($A$2:$A$200,$A19,$D$2:$D$200,"*novo*",$N$2:$N$200,"C2")&gt;0,2,IF(COUNTIFS($A$2:$A$200,$A19,$D$2:$D$200,"*novo*",$N$2:$N$200,"C1")&gt;0,1,IF(COUNTIFS($A$2:$A$200,$A19,$D$2:$D$200,"*novo*",$N$2:$N$200,"C0")&gt;0,0,""))))),IF(AND((COUNTIFS($A$2:$A$200,$A19,$D$2:$D$200,"*novo*",$N$2:$N$200,"C0")+COUNTIFS($A$2:$A$200,$A19,$D$2:$D$200,"*novo*",$N$2:$N$200,"C1")+COUNTIFS($A$2:$A$200,$A19,$D$2:$D$200,"*novo*",$N$2:$N$200,"C2")+COUNTIFS($A$2:$A$200,$A19,$D$2:$D$200,"*novo*",$N$2:$N$200,"C3")+COUNTIFS($A$2:$A$200,$A19,$D$2:$D$200,"*novo*",$N$2:$N$200,"C4"))=0,INDEX(posicao_contratual!$Y$2:$Y$200,MATCH($A19,posicao_contratual!$A$2:$A$200,0))=0),0,"")),"")</f>
        <v/>
      </c>
    </row>
    <row r="20" spans="1:15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IF(OR($A20="",$C20=""),"",IF(OR(($O20)="",($O20)&gt;(MIN(MATCH($C20,{"C0","C1","C2","C3","C4"},0)-1,COUNT(parametros!$F$2:$F$6)-1)),NOT(ISNUMBER(INDEX(parametros!$F$2:$F$6,(MIN(MATCH($C20,{"C0","C1","C2","C3","C4"},0)-1,COUNT(parametros!$F$2:$F$6)-1))+1))),NOT(ISNUMBER(INDEX(parametros!$F$2:$F$6,($O20)+1)))),"",INDEX(parametros!$F$2:$F$6,(MIN(MATCH($C20,{"C0","C1","C2","C3","C4"},0)-1,COUNT(parametros!$F$2:$F$6)-1))+1)/INDEX(parametros!$F$2:$F$6,($O20)+1))),"")</f>
        <v/>
      </c>
      <c r="J20" s="107" t="str">
        <f>IF(OR(L20="",F20=""),"",IF(UPPER(H20)="SIM",IF(ISNUMBER(I20),ROUND(L20*ROUND(F20*I20,2),2),""),ROUND(L20*F20,2)))</f>
        <v/>
      </c>
      <c r="K20" s="105"/>
      <c r="L20" s="85" t="str">
        <f t="shared" si="1"/>
        <v/>
      </c>
      <c r="M20" s="606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TIPO_INVALIDO",IF(AND(ISNUMBER(SEARCH("NOVO",D20)),OR(INDEX(posicao_contratual!$C$2:$C$200,MATCH(A20,posicao_contratual!$A$2:$A$200,0))&lt;&gt;0,F20="",COUNTIFS($A$2:$A$200,A20,$B$2:$B$200,"&lt;"&amp;B20,$L$2:$L$200,"&gt;0")&gt;0)),"ALERTA: NOVO ITEM INVALIDO - use Acrescimo se o item ja existia; novo item exige QTD_BASE_ORIGINAL 0, VU_ORIGINAL e ser o 1o acrescimo do item.",IF(AND(ISNUMBER(SEARCH("NOVO",D20)),OR(N20="",ISERROR(MATCH(N20,{"C0","C1","C2","C3","C4"},0)))),"ALERTA: BASE_VU_OBRIGATORIA",IF(AND(NOT(ISNUMBER(SEARCH("NOVO",D20))),N20&lt;&gt;""),"ALERTA: BASE_VU_NAO_APLICAVEL",IF(AND(UPPER(H20)="SIM",NOT(ISNUMBER(I20))),"ALERTA: BASE_VU_INVALIDA_OU_POSTERIOR_AO_FATOR_ALVO","OK"))))))))))</f>
        <v/>
      </c>
      <c r="N20" s="608"/>
      <c r="O20" s="610" t="str">
        <f>IFERROR(IF((COUNTIFS($A$2:$A$200,$A20,$D$2:$D$200,"*novo*",$N$2:$N$200,"C0")+COUNTIFS($A$2:$A$200,$A20,$D$2:$D$200,"*novo*",$N$2:$N$200,"C1")+COUNTIFS($A$2:$A$200,$A20,$D$2:$D$200,"*novo*",$N$2:$N$200,"C2")+COUNTIFS($A$2:$A$200,$A20,$D$2:$D$200,"*novo*",$N$2:$N$200,"C3")+COUNTIFS($A$2:$A$200,$A20,$D$2:$D$200,"*novo*",$N$2:$N$200,"C4"))=1,IF(COUNTIFS($A$2:$A$200,$A20,$D$2:$D$200,"*novo*",$N$2:$N$200,"C4")&gt;0,4,IF(COUNTIFS($A$2:$A$200,$A20,$D$2:$D$200,"*novo*",$N$2:$N$200,"C3")&gt;0,3,IF(COUNTIFS($A$2:$A$200,$A20,$D$2:$D$200,"*novo*",$N$2:$N$200,"C2")&gt;0,2,IF(COUNTIFS($A$2:$A$200,$A20,$D$2:$D$200,"*novo*",$N$2:$N$200,"C1")&gt;0,1,IF(COUNTIFS($A$2:$A$200,$A20,$D$2:$D$200,"*novo*",$N$2:$N$200,"C0")&gt;0,0,""))))),IF(AND((COUNTIFS($A$2:$A$200,$A20,$D$2:$D$200,"*novo*",$N$2:$N$200,"C0")+COUNTIFS($A$2:$A$200,$A20,$D$2:$D$200,"*novo*",$N$2:$N$200,"C1")+COUNTIFS($A$2:$A$200,$A20,$D$2:$D$200,"*novo*",$N$2:$N$200,"C2")+COUNTIFS($A$2:$A$200,$A20,$D$2:$D$200,"*novo*",$N$2:$N$200,"C3")+COUNTIFS($A$2:$A$200,$A20,$D$2:$D$200,"*novo*",$N$2:$N$200,"C4"))=0,INDEX(posicao_contratual!$Y$2:$Y$200,MATCH($A20,posicao_contratual!$A$2:$A$200,0))=0),0,"")),"")</f>
        <v/>
      </c>
    </row>
    <row r="21" spans="1:15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IF(OR($A21="",$C21=""),"",IF(OR(($O21)="",($O21)&gt;(MIN(MATCH($C21,{"C0","C1","C2","C3","C4"},0)-1,COUNT(parametros!$F$2:$F$6)-1)),NOT(ISNUMBER(INDEX(parametros!$F$2:$F$6,(MIN(MATCH($C21,{"C0","C1","C2","C3","C4"},0)-1,COUNT(parametros!$F$2:$F$6)-1))+1))),NOT(ISNUMBER(INDEX(parametros!$F$2:$F$6,($O21)+1)))),"",INDEX(parametros!$F$2:$F$6,(MIN(MATCH($C21,{"C0","C1","C2","C3","C4"},0)-1,COUNT(parametros!$F$2:$F$6)-1))+1)/INDEX(parametros!$F$2:$F$6,($O21)+1))),"")</f>
        <v/>
      </c>
      <c r="J21" s="107" t="str">
        <f>IF(OR(L21="",F21=""),"",IF(UPPER(H21)="SIM",IF(ISNUMBER(I21),ROUND(L21*ROUND(F21*I21,2),2),""),ROUND(L21*F21,2)))</f>
        <v/>
      </c>
      <c r="K21" s="105"/>
      <c r="L21" s="85" t="str">
        <f t="shared" si="1"/>
        <v/>
      </c>
      <c r="M21" s="606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TIPO_INVALIDO",IF(AND(ISNUMBER(SEARCH("NOVO",D21)),OR(INDEX(posicao_contratual!$C$2:$C$200,MATCH(A21,posicao_contratual!$A$2:$A$200,0))&lt;&gt;0,F21="",COUNTIFS($A$2:$A$200,A21,$B$2:$B$200,"&lt;"&amp;B21,$L$2:$L$200,"&gt;0")&gt;0)),"ALERTA: NOVO ITEM INVALIDO - use Acrescimo se o item ja existia; novo item exige QTD_BASE_ORIGINAL 0, VU_ORIGINAL e ser o 1o acrescimo do item.",IF(AND(ISNUMBER(SEARCH("NOVO",D21)),OR(N21="",ISERROR(MATCH(N21,{"C0","C1","C2","C3","C4"},0)))),"ALERTA: BASE_VU_OBRIGATORIA",IF(AND(NOT(ISNUMBER(SEARCH("NOVO",D21))),N21&lt;&gt;""),"ALERTA: BASE_VU_NAO_APLICAVEL",IF(AND(UPPER(H21)="SIM",NOT(ISNUMBER(I21))),"ALERTA: BASE_VU_INVALIDA_OU_POSTERIOR_AO_FATOR_ALVO","OK"))))))))))</f>
        <v/>
      </c>
      <c r="N21" s="608"/>
      <c r="O21" s="610" t="str">
        <f>IFERROR(IF((COUNTIFS($A$2:$A$200,$A21,$D$2:$D$200,"*novo*",$N$2:$N$200,"C0")+COUNTIFS($A$2:$A$200,$A21,$D$2:$D$200,"*novo*",$N$2:$N$200,"C1")+COUNTIFS($A$2:$A$200,$A21,$D$2:$D$200,"*novo*",$N$2:$N$200,"C2")+COUNTIFS($A$2:$A$200,$A21,$D$2:$D$200,"*novo*",$N$2:$N$200,"C3")+COUNTIFS($A$2:$A$200,$A21,$D$2:$D$200,"*novo*",$N$2:$N$200,"C4"))=1,IF(COUNTIFS($A$2:$A$200,$A21,$D$2:$D$200,"*novo*",$N$2:$N$200,"C4")&gt;0,4,IF(COUNTIFS($A$2:$A$200,$A21,$D$2:$D$200,"*novo*",$N$2:$N$200,"C3")&gt;0,3,IF(COUNTIFS($A$2:$A$200,$A21,$D$2:$D$200,"*novo*",$N$2:$N$200,"C2")&gt;0,2,IF(COUNTIFS($A$2:$A$200,$A21,$D$2:$D$200,"*novo*",$N$2:$N$200,"C1")&gt;0,1,IF(COUNTIFS($A$2:$A$200,$A21,$D$2:$D$200,"*novo*",$N$2:$N$200,"C0")&gt;0,0,""))))),IF(AND((COUNTIFS($A$2:$A$200,$A21,$D$2:$D$200,"*novo*",$N$2:$N$200,"C0")+COUNTIFS($A$2:$A$200,$A21,$D$2:$D$200,"*novo*",$N$2:$N$200,"C1")+COUNTIFS($A$2:$A$200,$A21,$D$2:$D$200,"*novo*",$N$2:$N$200,"C2")+COUNTIFS($A$2:$A$200,$A21,$D$2:$D$200,"*novo*",$N$2:$N$200,"C3")+COUNTIFS($A$2:$A$200,$A21,$D$2:$D$200,"*novo*",$N$2:$N$200,"C4"))=0,INDEX(posicao_contratual!$Y$2:$Y$200,MATCH($A21,posicao_contratual!$A$2:$A$200,0))=0),0,"")),"")</f>
        <v/>
      </c>
    </row>
    <row r="22" spans="1:15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IF(OR($A22="",$C22=""),"",IF(OR(($O22)="",($O22)&gt;(MIN(MATCH($C22,{"C0","C1","C2","C3","C4"},0)-1,COUNT(parametros!$F$2:$F$6)-1)),NOT(ISNUMBER(INDEX(parametros!$F$2:$F$6,(MIN(MATCH($C22,{"C0","C1","C2","C3","C4"},0)-1,COUNT(parametros!$F$2:$F$6)-1))+1))),NOT(ISNUMBER(INDEX(parametros!$F$2:$F$6,($O22)+1)))),"",INDEX(parametros!$F$2:$F$6,(MIN(MATCH($C22,{"C0","C1","C2","C3","C4"},0)-1,COUNT(parametros!$F$2:$F$6)-1))+1)/INDEX(parametros!$F$2:$F$6,($O22)+1))),"")</f>
        <v/>
      </c>
      <c r="J22" s="107" t="str">
        <f>IF(OR(L22="",F22=""),"",IF(UPPER(H22)="SIM",IF(ISNUMBER(I22),ROUND(L22*ROUND(F22*I22,2),2),""),ROUND(L22*F22,2)))</f>
        <v/>
      </c>
      <c r="K22" s="105"/>
      <c r="L22" s="85" t="str">
        <f t="shared" si="1"/>
        <v/>
      </c>
      <c r="M22" s="606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TIPO_INVALIDO",IF(AND(ISNUMBER(SEARCH("NOVO",D22)),OR(INDEX(posicao_contratual!$C$2:$C$200,MATCH(A22,posicao_contratual!$A$2:$A$200,0))&lt;&gt;0,F22="",COUNTIFS($A$2:$A$200,A22,$B$2:$B$200,"&lt;"&amp;B22,$L$2:$L$200,"&gt;0")&gt;0)),"ALERTA: NOVO ITEM INVALIDO - use Acrescimo se o item ja existia; novo item exige QTD_BASE_ORIGINAL 0, VU_ORIGINAL e ser o 1o acrescimo do item.",IF(AND(ISNUMBER(SEARCH("NOVO",D22)),OR(N22="",ISERROR(MATCH(N22,{"C0","C1","C2","C3","C4"},0)))),"ALERTA: BASE_VU_OBRIGATORIA",IF(AND(NOT(ISNUMBER(SEARCH("NOVO",D22))),N22&lt;&gt;""),"ALERTA: BASE_VU_NAO_APLICAVEL",IF(AND(UPPER(H22)="SIM",NOT(ISNUMBER(I22))),"ALERTA: BASE_VU_INVALIDA_OU_POSTERIOR_AO_FATOR_ALVO","OK"))))))))))</f>
        <v/>
      </c>
      <c r="N22" s="608"/>
      <c r="O22" s="610" t="str">
        <f>IFERROR(IF((COUNTIFS($A$2:$A$200,$A22,$D$2:$D$200,"*novo*",$N$2:$N$200,"C0")+COUNTIFS($A$2:$A$200,$A22,$D$2:$D$200,"*novo*",$N$2:$N$200,"C1")+COUNTIFS($A$2:$A$200,$A22,$D$2:$D$200,"*novo*",$N$2:$N$200,"C2")+COUNTIFS($A$2:$A$200,$A22,$D$2:$D$200,"*novo*",$N$2:$N$200,"C3")+COUNTIFS($A$2:$A$200,$A22,$D$2:$D$200,"*novo*",$N$2:$N$200,"C4"))=1,IF(COUNTIFS($A$2:$A$200,$A22,$D$2:$D$200,"*novo*",$N$2:$N$200,"C4")&gt;0,4,IF(COUNTIFS($A$2:$A$200,$A22,$D$2:$D$200,"*novo*",$N$2:$N$200,"C3")&gt;0,3,IF(COUNTIFS($A$2:$A$200,$A22,$D$2:$D$200,"*novo*",$N$2:$N$200,"C2")&gt;0,2,IF(COUNTIFS($A$2:$A$200,$A22,$D$2:$D$200,"*novo*",$N$2:$N$200,"C1")&gt;0,1,IF(COUNTIFS($A$2:$A$200,$A22,$D$2:$D$200,"*novo*",$N$2:$N$200,"C0")&gt;0,0,""))))),IF(AND((COUNTIFS($A$2:$A$200,$A22,$D$2:$D$200,"*novo*",$N$2:$N$200,"C0")+COUNTIFS($A$2:$A$200,$A22,$D$2:$D$200,"*novo*",$N$2:$N$200,"C1")+COUNTIFS($A$2:$A$200,$A22,$D$2:$D$200,"*novo*",$N$2:$N$200,"C2")+COUNTIFS($A$2:$A$200,$A22,$D$2:$D$200,"*novo*",$N$2:$N$200,"C3")+COUNTIFS($A$2:$A$200,$A22,$D$2:$D$200,"*novo*",$N$2:$N$200,"C4"))=0,INDEX(posicao_contratual!$Y$2:$Y$200,MATCH($A22,posicao_contratual!$A$2:$A$200,0))=0),0,"")),"")</f>
        <v/>
      </c>
    </row>
    <row r="23" spans="1:15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IF(OR($A23="",$C23=""),"",IF(OR(($O23)="",($O23)&gt;(MIN(MATCH($C23,{"C0","C1","C2","C3","C4"},0)-1,COUNT(parametros!$F$2:$F$6)-1)),NOT(ISNUMBER(INDEX(parametros!$F$2:$F$6,(MIN(MATCH($C23,{"C0","C1","C2","C3","C4"},0)-1,COUNT(parametros!$F$2:$F$6)-1))+1))),NOT(ISNUMBER(INDEX(parametros!$F$2:$F$6,($O23)+1)))),"",INDEX(parametros!$F$2:$F$6,(MIN(MATCH($C23,{"C0","C1","C2","C3","C4"},0)-1,COUNT(parametros!$F$2:$F$6)-1))+1)/INDEX(parametros!$F$2:$F$6,($O23)+1))),"")</f>
        <v/>
      </c>
      <c r="J23" s="107" t="str">
        <f>IF(OR(L23="",F23=""),"",IF(UPPER(H23)="SIM",IF(ISNUMBER(I23),ROUND(L23*ROUND(F23*I23,2),2),""),ROUND(L23*F23,2)))</f>
        <v/>
      </c>
      <c r="K23" s="105"/>
      <c r="L23" s="85" t="str">
        <f t="shared" si="1"/>
        <v/>
      </c>
      <c r="M23" s="606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TIPO_INVALIDO",IF(AND(ISNUMBER(SEARCH("NOVO",D23)),OR(INDEX(posicao_contratual!$C$2:$C$200,MATCH(A23,posicao_contratual!$A$2:$A$200,0))&lt;&gt;0,F23="",COUNTIFS($A$2:$A$200,A23,$B$2:$B$200,"&lt;"&amp;B23,$L$2:$L$200,"&gt;0")&gt;0)),"ALERTA: NOVO ITEM INVALIDO - use Acrescimo se o item ja existia; novo item exige QTD_BASE_ORIGINAL 0, VU_ORIGINAL e ser o 1o acrescimo do item.",IF(AND(ISNUMBER(SEARCH("NOVO",D23)),OR(N23="",ISERROR(MATCH(N23,{"C0","C1","C2","C3","C4"},0)))),"ALERTA: BASE_VU_OBRIGATORIA",IF(AND(NOT(ISNUMBER(SEARCH("NOVO",D23))),N23&lt;&gt;""),"ALERTA: BASE_VU_NAO_APLICAVEL",IF(AND(UPPER(H23)="SIM",NOT(ISNUMBER(I23))),"ALERTA: BASE_VU_INVALIDA_OU_POSTERIOR_AO_FATOR_ALVO","OK"))))))))))</f>
        <v/>
      </c>
      <c r="N23" s="608"/>
      <c r="O23" s="610" t="str">
        <f>IFERROR(IF((COUNTIFS($A$2:$A$200,$A23,$D$2:$D$200,"*novo*",$N$2:$N$200,"C0")+COUNTIFS($A$2:$A$200,$A23,$D$2:$D$200,"*novo*",$N$2:$N$200,"C1")+COUNTIFS($A$2:$A$200,$A23,$D$2:$D$200,"*novo*",$N$2:$N$200,"C2")+COUNTIFS($A$2:$A$200,$A23,$D$2:$D$200,"*novo*",$N$2:$N$200,"C3")+COUNTIFS($A$2:$A$200,$A23,$D$2:$D$200,"*novo*",$N$2:$N$200,"C4"))=1,IF(COUNTIFS($A$2:$A$200,$A23,$D$2:$D$200,"*novo*",$N$2:$N$200,"C4")&gt;0,4,IF(COUNTIFS($A$2:$A$200,$A23,$D$2:$D$200,"*novo*",$N$2:$N$200,"C3")&gt;0,3,IF(COUNTIFS($A$2:$A$200,$A23,$D$2:$D$200,"*novo*",$N$2:$N$200,"C2")&gt;0,2,IF(COUNTIFS($A$2:$A$200,$A23,$D$2:$D$200,"*novo*",$N$2:$N$200,"C1")&gt;0,1,IF(COUNTIFS($A$2:$A$200,$A23,$D$2:$D$200,"*novo*",$N$2:$N$200,"C0")&gt;0,0,""))))),IF(AND((COUNTIFS($A$2:$A$200,$A23,$D$2:$D$200,"*novo*",$N$2:$N$200,"C0")+COUNTIFS($A$2:$A$200,$A23,$D$2:$D$200,"*novo*",$N$2:$N$200,"C1")+COUNTIFS($A$2:$A$200,$A23,$D$2:$D$200,"*novo*",$N$2:$N$200,"C2")+COUNTIFS($A$2:$A$200,$A23,$D$2:$D$200,"*novo*",$N$2:$N$200,"C3")+COUNTIFS($A$2:$A$200,$A23,$D$2:$D$200,"*novo*",$N$2:$N$200,"C4"))=0,INDEX(posicao_contratual!$Y$2:$Y$200,MATCH($A23,posicao_contratual!$A$2:$A$200,0))=0),0,"")),"")</f>
        <v/>
      </c>
    </row>
    <row r="24" spans="1:15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IF(OR($A24="",$C24=""),"",IF(OR(($O24)="",($O24)&gt;(MIN(MATCH($C24,{"C0","C1","C2","C3","C4"},0)-1,COUNT(parametros!$F$2:$F$6)-1)),NOT(ISNUMBER(INDEX(parametros!$F$2:$F$6,(MIN(MATCH($C24,{"C0","C1","C2","C3","C4"},0)-1,COUNT(parametros!$F$2:$F$6)-1))+1))),NOT(ISNUMBER(INDEX(parametros!$F$2:$F$6,($O24)+1)))),"",INDEX(parametros!$F$2:$F$6,(MIN(MATCH($C24,{"C0","C1","C2","C3","C4"},0)-1,COUNT(parametros!$F$2:$F$6)-1))+1)/INDEX(parametros!$F$2:$F$6,($O24)+1))),"")</f>
        <v/>
      </c>
      <c r="J24" s="107" t="str">
        <f>IF(OR(L24="",F24=""),"",IF(UPPER(H24)="SIM",IF(ISNUMBER(I24),ROUND(L24*ROUND(F24*I24,2),2),""),ROUND(L24*F24,2)))</f>
        <v/>
      </c>
      <c r="K24" s="105"/>
      <c r="L24" s="85" t="str">
        <f t="shared" si="1"/>
        <v/>
      </c>
      <c r="M24" s="606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TIPO_INVALIDO",IF(AND(ISNUMBER(SEARCH("NOVO",D24)),OR(INDEX(posicao_contratual!$C$2:$C$200,MATCH(A24,posicao_contratual!$A$2:$A$200,0))&lt;&gt;0,F24="",COUNTIFS($A$2:$A$200,A24,$B$2:$B$200,"&lt;"&amp;B24,$L$2:$L$200,"&gt;0")&gt;0)),"ALERTA: NOVO ITEM INVALIDO - use Acrescimo se o item ja existia; novo item exige QTD_BASE_ORIGINAL 0, VU_ORIGINAL e ser o 1o acrescimo do item.",IF(AND(ISNUMBER(SEARCH("NOVO",D24)),OR(N24="",ISERROR(MATCH(N24,{"C0","C1","C2","C3","C4"},0)))),"ALERTA: BASE_VU_OBRIGATORIA",IF(AND(NOT(ISNUMBER(SEARCH("NOVO",D24))),N24&lt;&gt;""),"ALERTA: BASE_VU_NAO_APLICAVEL",IF(AND(UPPER(H24)="SIM",NOT(ISNUMBER(I24))),"ALERTA: BASE_VU_INVALIDA_OU_POSTERIOR_AO_FATOR_ALVO","OK"))))))))))</f>
        <v/>
      </c>
      <c r="N24" s="608"/>
      <c r="O24" s="610" t="str">
        <f>IFERROR(IF((COUNTIFS($A$2:$A$200,$A24,$D$2:$D$200,"*novo*",$N$2:$N$200,"C0")+COUNTIFS($A$2:$A$200,$A24,$D$2:$D$200,"*novo*",$N$2:$N$200,"C1")+COUNTIFS($A$2:$A$200,$A24,$D$2:$D$200,"*novo*",$N$2:$N$200,"C2")+COUNTIFS($A$2:$A$200,$A24,$D$2:$D$200,"*novo*",$N$2:$N$200,"C3")+COUNTIFS($A$2:$A$200,$A24,$D$2:$D$200,"*novo*",$N$2:$N$200,"C4"))=1,IF(COUNTIFS($A$2:$A$200,$A24,$D$2:$D$200,"*novo*",$N$2:$N$200,"C4")&gt;0,4,IF(COUNTIFS($A$2:$A$200,$A24,$D$2:$D$200,"*novo*",$N$2:$N$200,"C3")&gt;0,3,IF(COUNTIFS($A$2:$A$200,$A24,$D$2:$D$200,"*novo*",$N$2:$N$200,"C2")&gt;0,2,IF(COUNTIFS($A$2:$A$200,$A24,$D$2:$D$200,"*novo*",$N$2:$N$200,"C1")&gt;0,1,IF(COUNTIFS($A$2:$A$200,$A24,$D$2:$D$200,"*novo*",$N$2:$N$200,"C0")&gt;0,0,""))))),IF(AND((COUNTIFS($A$2:$A$200,$A24,$D$2:$D$200,"*novo*",$N$2:$N$200,"C0")+COUNTIFS($A$2:$A$200,$A24,$D$2:$D$200,"*novo*",$N$2:$N$200,"C1")+COUNTIFS($A$2:$A$200,$A24,$D$2:$D$200,"*novo*",$N$2:$N$200,"C2")+COUNTIFS($A$2:$A$200,$A24,$D$2:$D$200,"*novo*",$N$2:$N$200,"C3")+COUNTIFS($A$2:$A$200,$A24,$D$2:$D$200,"*novo*",$N$2:$N$200,"C4"))=0,INDEX(posicao_contratual!$Y$2:$Y$200,MATCH($A24,posicao_contratual!$A$2:$A$200,0))=0),0,"")),"")</f>
        <v/>
      </c>
    </row>
    <row r="25" spans="1:15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IF(OR($A25="",$C25=""),"",IF(OR(($O25)="",($O25)&gt;(MIN(MATCH($C25,{"C0","C1","C2","C3","C4"},0)-1,COUNT(parametros!$F$2:$F$6)-1)),NOT(ISNUMBER(INDEX(parametros!$F$2:$F$6,(MIN(MATCH($C25,{"C0","C1","C2","C3","C4"},0)-1,COUNT(parametros!$F$2:$F$6)-1))+1))),NOT(ISNUMBER(INDEX(parametros!$F$2:$F$6,($O25)+1)))),"",INDEX(parametros!$F$2:$F$6,(MIN(MATCH($C25,{"C0","C1","C2","C3","C4"},0)-1,COUNT(parametros!$F$2:$F$6)-1))+1)/INDEX(parametros!$F$2:$F$6,($O25)+1))),"")</f>
        <v/>
      </c>
      <c r="J25" s="107" t="str">
        <f>IF(OR(L25="",F25=""),"",IF(UPPER(H25)="SIM",IF(ISNUMBER(I25),ROUND(L25*ROUND(F25*I25,2),2),""),ROUND(L25*F25,2)))</f>
        <v/>
      </c>
      <c r="K25" s="105"/>
      <c r="L25" s="85" t="str">
        <f t="shared" si="1"/>
        <v/>
      </c>
      <c r="M25" s="606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TIPO_INVALIDO",IF(AND(ISNUMBER(SEARCH("NOVO",D25)),OR(INDEX(posicao_contratual!$C$2:$C$200,MATCH(A25,posicao_contratual!$A$2:$A$200,0))&lt;&gt;0,F25="",COUNTIFS($A$2:$A$200,A25,$B$2:$B$200,"&lt;"&amp;B25,$L$2:$L$200,"&gt;0")&gt;0)),"ALERTA: NOVO ITEM INVALIDO - use Acrescimo se o item ja existia; novo item exige QTD_BASE_ORIGINAL 0, VU_ORIGINAL e ser o 1o acrescimo do item.",IF(AND(ISNUMBER(SEARCH("NOVO",D25)),OR(N25="",ISERROR(MATCH(N25,{"C0","C1","C2","C3","C4"},0)))),"ALERTA: BASE_VU_OBRIGATORIA",IF(AND(NOT(ISNUMBER(SEARCH("NOVO",D25))),N25&lt;&gt;""),"ALERTA: BASE_VU_NAO_APLICAVEL",IF(AND(UPPER(H25)="SIM",NOT(ISNUMBER(I25))),"ALERTA: BASE_VU_INVALIDA_OU_POSTERIOR_AO_FATOR_ALVO","OK"))))))))))</f>
        <v/>
      </c>
      <c r="N25" s="608"/>
      <c r="O25" s="610" t="str">
        <f>IFERROR(IF((COUNTIFS($A$2:$A$200,$A25,$D$2:$D$200,"*novo*",$N$2:$N$200,"C0")+COUNTIFS($A$2:$A$200,$A25,$D$2:$D$200,"*novo*",$N$2:$N$200,"C1")+COUNTIFS($A$2:$A$200,$A25,$D$2:$D$200,"*novo*",$N$2:$N$200,"C2")+COUNTIFS($A$2:$A$200,$A25,$D$2:$D$200,"*novo*",$N$2:$N$200,"C3")+COUNTIFS($A$2:$A$200,$A25,$D$2:$D$200,"*novo*",$N$2:$N$200,"C4"))=1,IF(COUNTIFS($A$2:$A$200,$A25,$D$2:$D$200,"*novo*",$N$2:$N$200,"C4")&gt;0,4,IF(COUNTIFS($A$2:$A$200,$A25,$D$2:$D$200,"*novo*",$N$2:$N$200,"C3")&gt;0,3,IF(COUNTIFS($A$2:$A$200,$A25,$D$2:$D$200,"*novo*",$N$2:$N$200,"C2")&gt;0,2,IF(COUNTIFS($A$2:$A$200,$A25,$D$2:$D$200,"*novo*",$N$2:$N$200,"C1")&gt;0,1,IF(COUNTIFS($A$2:$A$200,$A25,$D$2:$D$200,"*novo*",$N$2:$N$200,"C0")&gt;0,0,""))))),IF(AND((COUNTIFS($A$2:$A$200,$A25,$D$2:$D$200,"*novo*",$N$2:$N$200,"C0")+COUNTIFS($A$2:$A$200,$A25,$D$2:$D$200,"*novo*",$N$2:$N$200,"C1")+COUNTIFS($A$2:$A$200,$A25,$D$2:$D$200,"*novo*",$N$2:$N$200,"C2")+COUNTIFS($A$2:$A$200,$A25,$D$2:$D$200,"*novo*",$N$2:$N$200,"C3")+COUNTIFS($A$2:$A$200,$A25,$D$2:$D$200,"*novo*",$N$2:$N$200,"C4"))=0,INDEX(posicao_contratual!$Y$2:$Y$200,MATCH($A25,posicao_contratual!$A$2:$A$200,0))=0),0,"")),"")</f>
        <v/>
      </c>
    </row>
    <row r="26" spans="1:15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IF(OR($A26="",$C26=""),"",IF(OR(($O26)="",($O26)&gt;(MIN(MATCH($C26,{"C0","C1","C2","C3","C4"},0)-1,COUNT(parametros!$F$2:$F$6)-1)),NOT(ISNUMBER(INDEX(parametros!$F$2:$F$6,(MIN(MATCH($C26,{"C0","C1","C2","C3","C4"},0)-1,COUNT(parametros!$F$2:$F$6)-1))+1))),NOT(ISNUMBER(INDEX(parametros!$F$2:$F$6,($O26)+1)))),"",INDEX(parametros!$F$2:$F$6,(MIN(MATCH($C26,{"C0","C1","C2","C3","C4"},0)-1,COUNT(parametros!$F$2:$F$6)-1))+1)/INDEX(parametros!$F$2:$F$6,($O26)+1))),"")</f>
        <v/>
      </c>
      <c r="J26" s="107" t="str">
        <f>IF(OR(L26="",F26=""),"",IF(UPPER(H26)="SIM",IF(ISNUMBER(I26),ROUND(L26*ROUND(F26*I26,2),2),""),ROUND(L26*F26,2)))</f>
        <v/>
      </c>
      <c r="K26" s="105"/>
      <c r="L26" s="85" t="str">
        <f t="shared" si="1"/>
        <v/>
      </c>
      <c r="M26" s="606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TIPO_INVALIDO",IF(AND(ISNUMBER(SEARCH("NOVO",D26)),OR(INDEX(posicao_contratual!$C$2:$C$200,MATCH(A26,posicao_contratual!$A$2:$A$200,0))&lt;&gt;0,F26="",COUNTIFS($A$2:$A$200,A26,$B$2:$B$200,"&lt;"&amp;B26,$L$2:$L$200,"&gt;0")&gt;0)),"ALERTA: NOVO ITEM INVALIDO - use Acrescimo se o item ja existia; novo item exige QTD_BASE_ORIGINAL 0, VU_ORIGINAL e ser o 1o acrescimo do item.",IF(AND(ISNUMBER(SEARCH("NOVO",D26)),OR(N26="",ISERROR(MATCH(N26,{"C0","C1","C2","C3","C4"},0)))),"ALERTA: BASE_VU_OBRIGATORIA",IF(AND(NOT(ISNUMBER(SEARCH("NOVO",D26))),N26&lt;&gt;""),"ALERTA: BASE_VU_NAO_APLICAVEL",IF(AND(UPPER(H26)="SIM",NOT(ISNUMBER(I26))),"ALERTA: BASE_VU_INVALIDA_OU_POSTERIOR_AO_FATOR_ALVO","OK"))))))))))</f>
        <v/>
      </c>
      <c r="N26" s="608"/>
      <c r="O26" s="610" t="str">
        <f>IFERROR(IF((COUNTIFS($A$2:$A$200,$A26,$D$2:$D$200,"*novo*",$N$2:$N$200,"C0")+COUNTIFS($A$2:$A$200,$A26,$D$2:$D$200,"*novo*",$N$2:$N$200,"C1")+COUNTIFS($A$2:$A$200,$A26,$D$2:$D$200,"*novo*",$N$2:$N$200,"C2")+COUNTIFS($A$2:$A$200,$A26,$D$2:$D$200,"*novo*",$N$2:$N$200,"C3")+COUNTIFS($A$2:$A$200,$A26,$D$2:$D$200,"*novo*",$N$2:$N$200,"C4"))=1,IF(COUNTIFS($A$2:$A$200,$A26,$D$2:$D$200,"*novo*",$N$2:$N$200,"C4")&gt;0,4,IF(COUNTIFS($A$2:$A$200,$A26,$D$2:$D$200,"*novo*",$N$2:$N$200,"C3")&gt;0,3,IF(COUNTIFS($A$2:$A$200,$A26,$D$2:$D$200,"*novo*",$N$2:$N$200,"C2")&gt;0,2,IF(COUNTIFS($A$2:$A$200,$A26,$D$2:$D$200,"*novo*",$N$2:$N$200,"C1")&gt;0,1,IF(COUNTIFS($A$2:$A$200,$A26,$D$2:$D$200,"*novo*",$N$2:$N$200,"C0")&gt;0,0,""))))),IF(AND((COUNTIFS($A$2:$A$200,$A26,$D$2:$D$200,"*novo*",$N$2:$N$200,"C0")+COUNTIFS($A$2:$A$200,$A26,$D$2:$D$200,"*novo*",$N$2:$N$200,"C1")+COUNTIFS($A$2:$A$200,$A26,$D$2:$D$200,"*novo*",$N$2:$N$200,"C2")+COUNTIFS($A$2:$A$200,$A26,$D$2:$D$200,"*novo*",$N$2:$N$200,"C3")+COUNTIFS($A$2:$A$200,$A26,$D$2:$D$200,"*novo*",$N$2:$N$200,"C4"))=0,INDEX(posicao_contratual!$Y$2:$Y$200,MATCH($A26,posicao_contratual!$A$2:$A$200,0))=0),0,"")),"")</f>
        <v/>
      </c>
    </row>
    <row r="27" spans="1:15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IF(OR($A27="",$C27=""),"",IF(OR(($O27)="",($O27)&gt;(MIN(MATCH($C27,{"C0","C1","C2","C3","C4"},0)-1,COUNT(parametros!$F$2:$F$6)-1)),NOT(ISNUMBER(INDEX(parametros!$F$2:$F$6,(MIN(MATCH($C27,{"C0","C1","C2","C3","C4"},0)-1,COUNT(parametros!$F$2:$F$6)-1))+1))),NOT(ISNUMBER(INDEX(parametros!$F$2:$F$6,($O27)+1)))),"",INDEX(parametros!$F$2:$F$6,(MIN(MATCH($C27,{"C0","C1","C2","C3","C4"},0)-1,COUNT(parametros!$F$2:$F$6)-1))+1)/INDEX(parametros!$F$2:$F$6,($O27)+1))),"")</f>
        <v/>
      </c>
      <c r="J27" s="107" t="str">
        <f>IF(OR(L27="",F27=""),"",IF(UPPER(H27)="SIM",IF(ISNUMBER(I27),ROUND(L27*ROUND(F27*I27,2),2),""),ROUND(L27*F27,2)))</f>
        <v/>
      </c>
      <c r="K27" s="105"/>
      <c r="L27" s="85" t="str">
        <f t="shared" si="1"/>
        <v/>
      </c>
      <c r="M27" s="606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TIPO_INVALIDO",IF(AND(ISNUMBER(SEARCH("NOVO",D27)),OR(INDEX(posicao_contratual!$C$2:$C$200,MATCH(A27,posicao_contratual!$A$2:$A$200,0))&lt;&gt;0,F27="",COUNTIFS($A$2:$A$200,A27,$B$2:$B$200,"&lt;"&amp;B27,$L$2:$L$200,"&gt;0")&gt;0)),"ALERTA: NOVO ITEM INVALIDO - use Acrescimo se o item ja existia; novo item exige QTD_BASE_ORIGINAL 0, VU_ORIGINAL e ser o 1o acrescimo do item.",IF(AND(ISNUMBER(SEARCH("NOVO",D27)),OR(N27="",ISERROR(MATCH(N27,{"C0","C1","C2","C3","C4"},0)))),"ALERTA: BASE_VU_OBRIGATORIA",IF(AND(NOT(ISNUMBER(SEARCH("NOVO",D27))),N27&lt;&gt;""),"ALERTA: BASE_VU_NAO_APLICAVEL",IF(AND(UPPER(H27)="SIM",NOT(ISNUMBER(I27))),"ALERTA: BASE_VU_INVALIDA_OU_POSTERIOR_AO_FATOR_ALVO","OK"))))))))))</f>
        <v/>
      </c>
      <c r="N27" s="608"/>
      <c r="O27" s="610" t="str">
        <f>IFERROR(IF((COUNTIFS($A$2:$A$200,$A27,$D$2:$D$200,"*novo*",$N$2:$N$200,"C0")+COUNTIFS($A$2:$A$200,$A27,$D$2:$D$200,"*novo*",$N$2:$N$200,"C1")+COUNTIFS($A$2:$A$200,$A27,$D$2:$D$200,"*novo*",$N$2:$N$200,"C2")+COUNTIFS($A$2:$A$200,$A27,$D$2:$D$200,"*novo*",$N$2:$N$200,"C3")+COUNTIFS($A$2:$A$200,$A27,$D$2:$D$200,"*novo*",$N$2:$N$200,"C4"))=1,IF(COUNTIFS($A$2:$A$200,$A27,$D$2:$D$200,"*novo*",$N$2:$N$200,"C4")&gt;0,4,IF(COUNTIFS($A$2:$A$200,$A27,$D$2:$D$200,"*novo*",$N$2:$N$200,"C3")&gt;0,3,IF(COUNTIFS($A$2:$A$200,$A27,$D$2:$D$200,"*novo*",$N$2:$N$200,"C2")&gt;0,2,IF(COUNTIFS($A$2:$A$200,$A27,$D$2:$D$200,"*novo*",$N$2:$N$200,"C1")&gt;0,1,IF(COUNTIFS($A$2:$A$200,$A27,$D$2:$D$200,"*novo*",$N$2:$N$200,"C0")&gt;0,0,""))))),IF(AND((COUNTIFS($A$2:$A$200,$A27,$D$2:$D$200,"*novo*",$N$2:$N$200,"C0")+COUNTIFS($A$2:$A$200,$A27,$D$2:$D$200,"*novo*",$N$2:$N$200,"C1")+COUNTIFS($A$2:$A$200,$A27,$D$2:$D$200,"*novo*",$N$2:$N$200,"C2")+COUNTIFS($A$2:$A$200,$A27,$D$2:$D$200,"*novo*",$N$2:$N$200,"C3")+COUNTIFS($A$2:$A$200,$A27,$D$2:$D$200,"*novo*",$N$2:$N$200,"C4"))=0,INDEX(posicao_contratual!$Y$2:$Y$200,MATCH($A27,posicao_contratual!$A$2:$A$200,0))=0),0,"")),"")</f>
        <v/>
      </c>
    </row>
    <row r="28" spans="1:15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IF(OR($A28="",$C28=""),"",IF(OR(($O28)="",($O28)&gt;(MIN(MATCH($C28,{"C0","C1","C2","C3","C4"},0)-1,COUNT(parametros!$F$2:$F$6)-1)),NOT(ISNUMBER(INDEX(parametros!$F$2:$F$6,(MIN(MATCH($C28,{"C0","C1","C2","C3","C4"},0)-1,COUNT(parametros!$F$2:$F$6)-1))+1))),NOT(ISNUMBER(INDEX(parametros!$F$2:$F$6,($O28)+1)))),"",INDEX(parametros!$F$2:$F$6,(MIN(MATCH($C28,{"C0","C1","C2","C3","C4"},0)-1,COUNT(parametros!$F$2:$F$6)-1))+1)/INDEX(parametros!$F$2:$F$6,($O28)+1))),"")</f>
        <v/>
      </c>
      <c r="J28" s="107" t="str">
        <f>IF(OR(L28="",F28=""),"",IF(UPPER(H28)="SIM",IF(ISNUMBER(I28),ROUND(L28*ROUND(F28*I28,2),2),""),ROUND(L28*F28,2)))</f>
        <v/>
      </c>
      <c r="K28" s="105"/>
      <c r="L28" s="85" t="str">
        <f t="shared" si="1"/>
        <v/>
      </c>
      <c r="M28" s="606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TIPO_INVALIDO",IF(AND(ISNUMBER(SEARCH("NOVO",D28)),OR(INDEX(posicao_contratual!$C$2:$C$200,MATCH(A28,posicao_contratual!$A$2:$A$200,0))&lt;&gt;0,F28="",COUNTIFS($A$2:$A$200,A28,$B$2:$B$200,"&lt;"&amp;B28,$L$2:$L$200,"&gt;0")&gt;0)),"ALERTA: NOVO ITEM INVALIDO - use Acrescimo se o item ja existia; novo item exige QTD_BASE_ORIGINAL 0, VU_ORIGINAL e ser o 1o acrescimo do item.",IF(AND(ISNUMBER(SEARCH("NOVO",D28)),OR(N28="",ISERROR(MATCH(N28,{"C0","C1","C2","C3","C4"},0)))),"ALERTA: BASE_VU_OBRIGATORIA",IF(AND(NOT(ISNUMBER(SEARCH("NOVO",D28))),N28&lt;&gt;""),"ALERTA: BASE_VU_NAO_APLICAVEL",IF(AND(UPPER(H28)="SIM",NOT(ISNUMBER(I28))),"ALERTA: BASE_VU_INVALIDA_OU_POSTERIOR_AO_FATOR_ALVO","OK"))))))))))</f>
        <v/>
      </c>
      <c r="N28" s="608"/>
      <c r="O28" s="610" t="str">
        <f>IFERROR(IF((COUNTIFS($A$2:$A$200,$A28,$D$2:$D$200,"*novo*",$N$2:$N$200,"C0")+COUNTIFS($A$2:$A$200,$A28,$D$2:$D$200,"*novo*",$N$2:$N$200,"C1")+COUNTIFS($A$2:$A$200,$A28,$D$2:$D$200,"*novo*",$N$2:$N$200,"C2")+COUNTIFS($A$2:$A$200,$A28,$D$2:$D$200,"*novo*",$N$2:$N$200,"C3")+COUNTIFS($A$2:$A$200,$A28,$D$2:$D$200,"*novo*",$N$2:$N$200,"C4"))=1,IF(COUNTIFS($A$2:$A$200,$A28,$D$2:$D$200,"*novo*",$N$2:$N$200,"C4")&gt;0,4,IF(COUNTIFS($A$2:$A$200,$A28,$D$2:$D$200,"*novo*",$N$2:$N$200,"C3")&gt;0,3,IF(COUNTIFS($A$2:$A$200,$A28,$D$2:$D$200,"*novo*",$N$2:$N$200,"C2")&gt;0,2,IF(COUNTIFS($A$2:$A$200,$A28,$D$2:$D$200,"*novo*",$N$2:$N$200,"C1")&gt;0,1,IF(COUNTIFS($A$2:$A$200,$A28,$D$2:$D$200,"*novo*",$N$2:$N$200,"C0")&gt;0,0,""))))),IF(AND((COUNTIFS($A$2:$A$200,$A28,$D$2:$D$200,"*novo*",$N$2:$N$200,"C0")+COUNTIFS($A$2:$A$200,$A28,$D$2:$D$200,"*novo*",$N$2:$N$200,"C1")+COUNTIFS($A$2:$A$200,$A28,$D$2:$D$200,"*novo*",$N$2:$N$200,"C2")+COUNTIFS($A$2:$A$200,$A28,$D$2:$D$200,"*novo*",$N$2:$N$200,"C3")+COUNTIFS($A$2:$A$200,$A28,$D$2:$D$200,"*novo*",$N$2:$N$200,"C4"))=0,INDEX(posicao_contratual!$Y$2:$Y$200,MATCH($A28,posicao_contratual!$A$2:$A$200,0))=0),0,"")),"")</f>
        <v/>
      </c>
    </row>
    <row r="29" spans="1:15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IF(OR($A29="",$C29=""),"",IF(OR(($O29)="",($O29)&gt;(MIN(MATCH($C29,{"C0","C1","C2","C3","C4"},0)-1,COUNT(parametros!$F$2:$F$6)-1)),NOT(ISNUMBER(INDEX(parametros!$F$2:$F$6,(MIN(MATCH($C29,{"C0","C1","C2","C3","C4"},0)-1,COUNT(parametros!$F$2:$F$6)-1))+1))),NOT(ISNUMBER(INDEX(parametros!$F$2:$F$6,($O29)+1)))),"",INDEX(parametros!$F$2:$F$6,(MIN(MATCH($C29,{"C0","C1","C2","C3","C4"},0)-1,COUNT(parametros!$F$2:$F$6)-1))+1)/INDEX(parametros!$F$2:$F$6,($O29)+1))),"")</f>
        <v/>
      </c>
      <c r="J29" s="107" t="str">
        <f>IF(OR(L29="",F29=""),"",IF(UPPER(H29)="SIM",IF(ISNUMBER(I29),ROUND(L29*ROUND(F29*I29,2),2),""),ROUND(L29*F29,2)))</f>
        <v/>
      </c>
      <c r="K29" s="105"/>
      <c r="L29" s="85" t="str">
        <f t="shared" si="1"/>
        <v/>
      </c>
      <c r="M29" s="606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TIPO_INVALIDO",IF(AND(ISNUMBER(SEARCH("NOVO",D29)),OR(INDEX(posicao_contratual!$C$2:$C$200,MATCH(A29,posicao_contratual!$A$2:$A$200,0))&lt;&gt;0,F29="",COUNTIFS($A$2:$A$200,A29,$B$2:$B$200,"&lt;"&amp;B29,$L$2:$L$200,"&gt;0")&gt;0)),"ALERTA: NOVO ITEM INVALIDO - use Acrescimo se o item ja existia; novo item exige QTD_BASE_ORIGINAL 0, VU_ORIGINAL e ser o 1o acrescimo do item.",IF(AND(ISNUMBER(SEARCH("NOVO",D29)),OR(N29="",ISERROR(MATCH(N29,{"C0","C1","C2","C3","C4"},0)))),"ALERTA: BASE_VU_OBRIGATORIA",IF(AND(NOT(ISNUMBER(SEARCH("NOVO",D29))),N29&lt;&gt;""),"ALERTA: BASE_VU_NAO_APLICAVEL",IF(AND(UPPER(H29)="SIM",NOT(ISNUMBER(I29))),"ALERTA: BASE_VU_INVALIDA_OU_POSTERIOR_AO_FATOR_ALVO","OK"))))))))))</f>
        <v/>
      </c>
      <c r="N29" s="608"/>
      <c r="O29" s="610" t="str">
        <f>IFERROR(IF((COUNTIFS($A$2:$A$200,$A29,$D$2:$D$200,"*novo*",$N$2:$N$200,"C0")+COUNTIFS($A$2:$A$200,$A29,$D$2:$D$200,"*novo*",$N$2:$N$200,"C1")+COUNTIFS($A$2:$A$200,$A29,$D$2:$D$200,"*novo*",$N$2:$N$200,"C2")+COUNTIFS($A$2:$A$200,$A29,$D$2:$D$200,"*novo*",$N$2:$N$200,"C3")+COUNTIFS($A$2:$A$200,$A29,$D$2:$D$200,"*novo*",$N$2:$N$200,"C4"))=1,IF(COUNTIFS($A$2:$A$200,$A29,$D$2:$D$200,"*novo*",$N$2:$N$200,"C4")&gt;0,4,IF(COUNTIFS($A$2:$A$200,$A29,$D$2:$D$200,"*novo*",$N$2:$N$200,"C3")&gt;0,3,IF(COUNTIFS($A$2:$A$200,$A29,$D$2:$D$200,"*novo*",$N$2:$N$200,"C2")&gt;0,2,IF(COUNTIFS($A$2:$A$200,$A29,$D$2:$D$200,"*novo*",$N$2:$N$200,"C1")&gt;0,1,IF(COUNTIFS($A$2:$A$200,$A29,$D$2:$D$200,"*novo*",$N$2:$N$200,"C0")&gt;0,0,""))))),IF(AND((COUNTIFS($A$2:$A$200,$A29,$D$2:$D$200,"*novo*",$N$2:$N$200,"C0")+COUNTIFS($A$2:$A$200,$A29,$D$2:$D$200,"*novo*",$N$2:$N$200,"C1")+COUNTIFS($A$2:$A$200,$A29,$D$2:$D$200,"*novo*",$N$2:$N$200,"C2")+COUNTIFS($A$2:$A$200,$A29,$D$2:$D$200,"*novo*",$N$2:$N$200,"C3")+COUNTIFS($A$2:$A$200,$A29,$D$2:$D$200,"*novo*",$N$2:$N$200,"C4"))=0,INDEX(posicao_contratual!$Y$2:$Y$200,MATCH($A29,posicao_contratual!$A$2:$A$200,0))=0),0,"")),"")</f>
        <v/>
      </c>
    </row>
    <row r="30" spans="1:15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IF(OR($A30="",$C30=""),"",IF(OR(($O30)="",($O30)&gt;(MIN(MATCH($C30,{"C0","C1","C2","C3","C4"},0)-1,COUNT(parametros!$F$2:$F$6)-1)),NOT(ISNUMBER(INDEX(parametros!$F$2:$F$6,(MIN(MATCH($C30,{"C0","C1","C2","C3","C4"},0)-1,COUNT(parametros!$F$2:$F$6)-1))+1))),NOT(ISNUMBER(INDEX(parametros!$F$2:$F$6,($O30)+1)))),"",INDEX(parametros!$F$2:$F$6,(MIN(MATCH($C30,{"C0","C1","C2","C3","C4"},0)-1,COUNT(parametros!$F$2:$F$6)-1))+1)/INDEX(parametros!$F$2:$F$6,($O30)+1))),"")</f>
        <v/>
      </c>
      <c r="J30" s="107" t="str">
        <f>IF(OR(L30="",F30=""),"",IF(UPPER(H30)="SIM",IF(ISNUMBER(I30),ROUND(L30*ROUND(F30*I30,2),2),""),ROUND(L30*F30,2)))</f>
        <v/>
      </c>
      <c r="K30" s="105"/>
      <c r="L30" s="85" t="str">
        <f t="shared" si="1"/>
        <v/>
      </c>
      <c r="M30" s="606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TIPO_INVALIDO",IF(AND(ISNUMBER(SEARCH("NOVO",D30)),OR(INDEX(posicao_contratual!$C$2:$C$200,MATCH(A30,posicao_contratual!$A$2:$A$200,0))&lt;&gt;0,F30="",COUNTIFS($A$2:$A$200,A30,$B$2:$B$200,"&lt;"&amp;B30,$L$2:$L$200,"&gt;0")&gt;0)),"ALERTA: NOVO ITEM INVALIDO - use Acrescimo se o item ja existia; novo item exige QTD_BASE_ORIGINAL 0, VU_ORIGINAL e ser o 1o acrescimo do item.",IF(AND(ISNUMBER(SEARCH("NOVO",D30)),OR(N30="",ISERROR(MATCH(N30,{"C0","C1","C2","C3","C4"},0)))),"ALERTA: BASE_VU_OBRIGATORIA",IF(AND(NOT(ISNUMBER(SEARCH("NOVO",D30))),N30&lt;&gt;""),"ALERTA: BASE_VU_NAO_APLICAVEL",IF(AND(UPPER(H30)="SIM",NOT(ISNUMBER(I30))),"ALERTA: BASE_VU_INVALIDA_OU_POSTERIOR_AO_FATOR_ALVO","OK"))))))))))</f>
        <v/>
      </c>
      <c r="N30" s="608"/>
      <c r="O30" s="610" t="str">
        <f>IFERROR(IF((COUNTIFS($A$2:$A$200,$A30,$D$2:$D$200,"*novo*",$N$2:$N$200,"C0")+COUNTIFS($A$2:$A$200,$A30,$D$2:$D$200,"*novo*",$N$2:$N$200,"C1")+COUNTIFS($A$2:$A$200,$A30,$D$2:$D$200,"*novo*",$N$2:$N$200,"C2")+COUNTIFS($A$2:$A$200,$A30,$D$2:$D$200,"*novo*",$N$2:$N$200,"C3")+COUNTIFS($A$2:$A$200,$A30,$D$2:$D$200,"*novo*",$N$2:$N$200,"C4"))=1,IF(COUNTIFS($A$2:$A$200,$A30,$D$2:$D$200,"*novo*",$N$2:$N$200,"C4")&gt;0,4,IF(COUNTIFS($A$2:$A$200,$A30,$D$2:$D$200,"*novo*",$N$2:$N$200,"C3")&gt;0,3,IF(COUNTIFS($A$2:$A$200,$A30,$D$2:$D$200,"*novo*",$N$2:$N$200,"C2")&gt;0,2,IF(COUNTIFS($A$2:$A$200,$A30,$D$2:$D$200,"*novo*",$N$2:$N$200,"C1")&gt;0,1,IF(COUNTIFS($A$2:$A$200,$A30,$D$2:$D$200,"*novo*",$N$2:$N$200,"C0")&gt;0,0,""))))),IF(AND((COUNTIFS($A$2:$A$200,$A30,$D$2:$D$200,"*novo*",$N$2:$N$200,"C0")+COUNTIFS($A$2:$A$200,$A30,$D$2:$D$200,"*novo*",$N$2:$N$200,"C1")+COUNTIFS($A$2:$A$200,$A30,$D$2:$D$200,"*novo*",$N$2:$N$200,"C2")+COUNTIFS($A$2:$A$200,$A30,$D$2:$D$200,"*novo*",$N$2:$N$200,"C3")+COUNTIFS($A$2:$A$200,$A30,$D$2:$D$200,"*novo*",$N$2:$N$200,"C4"))=0,INDEX(posicao_contratual!$Y$2:$Y$200,MATCH($A30,posicao_contratual!$A$2:$A$200,0))=0),0,"")),"")</f>
        <v/>
      </c>
    </row>
    <row r="31" spans="1:15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IF(OR($A31="",$C31=""),"",IF(OR(($O31)="",($O31)&gt;(MIN(MATCH($C31,{"C0","C1","C2","C3","C4"},0)-1,COUNT(parametros!$F$2:$F$6)-1)),NOT(ISNUMBER(INDEX(parametros!$F$2:$F$6,(MIN(MATCH($C31,{"C0","C1","C2","C3","C4"},0)-1,COUNT(parametros!$F$2:$F$6)-1))+1))),NOT(ISNUMBER(INDEX(parametros!$F$2:$F$6,($O31)+1)))),"",INDEX(parametros!$F$2:$F$6,(MIN(MATCH($C31,{"C0","C1","C2","C3","C4"},0)-1,COUNT(parametros!$F$2:$F$6)-1))+1)/INDEX(parametros!$F$2:$F$6,($O31)+1))),"")</f>
        <v/>
      </c>
      <c r="J31" s="107" t="str">
        <f>IF(OR(L31="",F31=""),"",IF(UPPER(H31)="SIM",IF(ISNUMBER(I31),ROUND(L31*ROUND(F31*I31,2),2),""),ROUND(L31*F31,2)))</f>
        <v/>
      </c>
      <c r="K31" s="105"/>
      <c r="L31" s="85" t="str">
        <f t="shared" si="1"/>
        <v/>
      </c>
      <c r="M31" s="606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TIPO_INVALIDO",IF(AND(ISNUMBER(SEARCH("NOVO",D31)),OR(INDEX(posicao_contratual!$C$2:$C$200,MATCH(A31,posicao_contratual!$A$2:$A$200,0))&lt;&gt;0,F31="",COUNTIFS($A$2:$A$200,A31,$B$2:$B$200,"&lt;"&amp;B31,$L$2:$L$200,"&gt;0")&gt;0)),"ALERTA: NOVO ITEM INVALIDO - use Acrescimo se o item ja existia; novo item exige QTD_BASE_ORIGINAL 0, VU_ORIGINAL e ser o 1o acrescimo do item.",IF(AND(ISNUMBER(SEARCH("NOVO",D31)),OR(N31="",ISERROR(MATCH(N31,{"C0","C1","C2","C3","C4"},0)))),"ALERTA: BASE_VU_OBRIGATORIA",IF(AND(NOT(ISNUMBER(SEARCH("NOVO",D31))),N31&lt;&gt;""),"ALERTA: BASE_VU_NAO_APLICAVEL",IF(AND(UPPER(H31)="SIM",NOT(ISNUMBER(I31))),"ALERTA: BASE_VU_INVALIDA_OU_POSTERIOR_AO_FATOR_ALVO","OK"))))))))))</f>
        <v/>
      </c>
      <c r="N31" s="608"/>
      <c r="O31" s="610" t="str">
        <f>IFERROR(IF((COUNTIFS($A$2:$A$200,$A31,$D$2:$D$200,"*novo*",$N$2:$N$200,"C0")+COUNTIFS($A$2:$A$200,$A31,$D$2:$D$200,"*novo*",$N$2:$N$200,"C1")+COUNTIFS($A$2:$A$200,$A31,$D$2:$D$200,"*novo*",$N$2:$N$200,"C2")+COUNTIFS($A$2:$A$200,$A31,$D$2:$D$200,"*novo*",$N$2:$N$200,"C3")+COUNTIFS($A$2:$A$200,$A31,$D$2:$D$200,"*novo*",$N$2:$N$200,"C4"))=1,IF(COUNTIFS($A$2:$A$200,$A31,$D$2:$D$200,"*novo*",$N$2:$N$200,"C4")&gt;0,4,IF(COUNTIFS($A$2:$A$200,$A31,$D$2:$D$200,"*novo*",$N$2:$N$200,"C3")&gt;0,3,IF(COUNTIFS($A$2:$A$200,$A31,$D$2:$D$200,"*novo*",$N$2:$N$200,"C2")&gt;0,2,IF(COUNTIFS($A$2:$A$200,$A31,$D$2:$D$200,"*novo*",$N$2:$N$200,"C1")&gt;0,1,IF(COUNTIFS($A$2:$A$200,$A31,$D$2:$D$200,"*novo*",$N$2:$N$200,"C0")&gt;0,0,""))))),IF(AND((COUNTIFS($A$2:$A$200,$A31,$D$2:$D$200,"*novo*",$N$2:$N$200,"C0")+COUNTIFS($A$2:$A$200,$A31,$D$2:$D$200,"*novo*",$N$2:$N$200,"C1")+COUNTIFS($A$2:$A$200,$A31,$D$2:$D$200,"*novo*",$N$2:$N$200,"C2")+COUNTIFS($A$2:$A$200,$A31,$D$2:$D$200,"*novo*",$N$2:$N$200,"C3")+COUNTIFS($A$2:$A$200,$A31,$D$2:$D$200,"*novo*",$N$2:$N$200,"C4"))=0,INDEX(posicao_contratual!$Y$2:$Y$200,MATCH($A31,posicao_contratual!$A$2:$A$200,0))=0),0,"")),"")</f>
        <v/>
      </c>
    </row>
    <row r="32" spans="1:15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IF(OR($A32="",$C32=""),"",IF(OR(($O32)="",($O32)&gt;(MIN(MATCH($C32,{"C0","C1","C2","C3","C4"},0)-1,COUNT(parametros!$F$2:$F$6)-1)),NOT(ISNUMBER(INDEX(parametros!$F$2:$F$6,(MIN(MATCH($C32,{"C0","C1","C2","C3","C4"},0)-1,COUNT(parametros!$F$2:$F$6)-1))+1))),NOT(ISNUMBER(INDEX(parametros!$F$2:$F$6,($O32)+1)))),"",INDEX(parametros!$F$2:$F$6,(MIN(MATCH($C32,{"C0","C1","C2","C3","C4"},0)-1,COUNT(parametros!$F$2:$F$6)-1))+1)/INDEX(parametros!$F$2:$F$6,($O32)+1))),"")</f>
        <v/>
      </c>
      <c r="J32" s="107" t="str">
        <f>IF(OR(L32="",F32=""),"",IF(UPPER(H32)="SIM",IF(ISNUMBER(I32),ROUND(L32*ROUND(F32*I32,2),2),""),ROUND(L32*F32,2)))</f>
        <v/>
      </c>
      <c r="K32" s="105"/>
      <c r="L32" s="85" t="str">
        <f t="shared" si="1"/>
        <v/>
      </c>
      <c r="M32" s="606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TIPO_INVALIDO",IF(AND(ISNUMBER(SEARCH("NOVO",D32)),OR(INDEX(posicao_contratual!$C$2:$C$200,MATCH(A32,posicao_contratual!$A$2:$A$200,0))&lt;&gt;0,F32="",COUNTIFS($A$2:$A$200,A32,$B$2:$B$200,"&lt;"&amp;B32,$L$2:$L$200,"&gt;0")&gt;0)),"ALERTA: NOVO ITEM INVALIDO - use Acrescimo se o item ja existia; novo item exige QTD_BASE_ORIGINAL 0, VU_ORIGINAL e ser o 1o acrescimo do item.",IF(AND(ISNUMBER(SEARCH("NOVO",D32)),OR(N32="",ISERROR(MATCH(N32,{"C0","C1","C2","C3","C4"},0)))),"ALERTA: BASE_VU_OBRIGATORIA",IF(AND(NOT(ISNUMBER(SEARCH("NOVO",D32))),N32&lt;&gt;""),"ALERTA: BASE_VU_NAO_APLICAVEL",IF(AND(UPPER(H32)="SIM",NOT(ISNUMBER(I32))),"ALERTA: BASE_VU_INVALIDA_OU_POSTERIOR_AO_FATOR_ALVO","OK"))))))))))</f>
        <v/>
      </c>
      <c r="N32" s="608"/>
      <c r="O32" s="610" t="str">
        <f>IFERROR(IF((COUNTIFS($A$2:$A$200,$A32,$D$2:$D$200,"*novo*",$N$2:$N$200,"C0")+COUNTIFS($A$2:$A$200,$A32,$D$2:$D$200,"*novo*",$N$2:$N$200,"C1")+COUNTIFS($A$2:$A$200,$A32,$D$2:$D$200,"*novo*",$N$2:$N$200,"C2")+COUNTIFS($A$2:$A$200,$A32,$D$2:$D$200,"*novo*",$N$2:$N$200,"C3")+COUNTIFS($A$2:$A$200,$A32,$D$2:$D$200,"*novo*",$N$2:$N$200,"C4"))=1,IF(COUNTIFS($A$2:$A$200,$A32,$D$2:$D$200,"*novo*",$N$2:$N$200,"C4")&gt;0,4,IF(COUNTIFS($A$2:$A$200,$A32,$D$2:$D$200,"*novo*",$N$2:$N$200,"C3")&gt;0,3,IF(COUNTIFS($A$2:$A$200,$A32,$D$2:$D$200,"*novo*",$N$2:$N$200,"C2")&gt;0,2,IF(COUNTIFS($A$2:$A$200,$A32,$D$2:$D$200,"*novo*",$N$2:$N$200,"C1")&gt;0,1,IF(COUNTIFS($A$2:$A$200,$A32,$D$2:$D$200,"*novo*",$N$2:$N$200,"C0")&gt;0,0,""))))),IF(AND((COUNTIFS($A$2:$A$200,$A32,$D$2:$D$200,"*novo*",$N$2:$N$200,"C0")+COUNTIFS($A$2:$A$200,$A32,$D$2:$D$200,"*novo*",$N$2:$N$200,"C1")+COUNTIFS($A$2:$A$200,$A32,$D$2:$D$200,"*novo*",$N$2:$N$200,"C2")+COUNTIFS($A$2:$A$200,$A32,$D$2:$D$200,"*novo*",$N$2:$N$200,"C3")+COUNTIFS($A$2:$A$200,$A32,$D$2:$D$200,"*novo*",$N$2:$N$200,"C4"))=0,INDEX(posicao_contratual!$Y$2:$Y$200,MATCH($A32,posicao_contratual!$A$2:$A$200,0))=0),0,"")),"")</f>
        <v/>
      </c>
    </row>
    <row r="33" spans="1:15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IF(OR($A33="",$C33=""),"",IF(OR(($O33)="",($O33)&gt;(MIN(MATCH($C33,{"C0","C1","C2","C3","C4"},0)-1,COUNT(parametros!$F$2:$F$6)-1)),NOT(ISNUMBER(INDEX(parametros!$F$2:$F$6,(MIN(MATCH($C33,{"C0","C1","C2","C3","C4"},0)-1,COUNT(parametros!$F$2:$F$6)-1))+1))),NOT(ISNUMBER(INDEX(parametros!$F$2:$F$6,($O33)+1)))),"",INDEX(parametros!$F$2:$F$6,(MIN(MATCH($C33,{"C0","C1","C2","C3","C4"},0)-1,COUNT(parametros!$F$2:$F$6)-1))+1)/INDEX(parametros!$F$2:$F$6,($O33)+1))),"")</f>
        <v/>
      </c>
      <c r="J33" s="107" t="str">
        <f>IF(OR(L33="",F33=""),"",IF(UPPER(H33)="SIM",IF(ISNUMBER(I33),ROUND(L33*ROUND(F33*I33,2),2),""),ROUND(L33*F33,2)))</f>
        <v/>
      </c>
      <c r="K33" s="105"/>
      <c r="L33" s="85" t="str">
        <f t="shared" si="1"/>
        <v/>
      </c>
      <c r="M33" s="606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TIPO_INVALIDO",IF(AND(ISNUMBER(SEARCH("NOVO",D33)),OR(INDEX(posicao_contratual!$C$2:$C$200,MATCH(A33,posicao_contratual!$A$2:$A$200,0))&lt;&gt;0,F33="",COUNTIFS($A$2:$A$200,A33,$B$2:$B$200,"&lt;"&amp;B33,$L$2:$L$200,"&gt;0")&gt;0)),"ALERTA: NOVO ITEM INVALIDO - use Acrescimo se o item ja existia; novo item exige QTD_BASE_ORIGINAL 0, VU_ORIGINAL e ser o 1o acrescimo do item.",IF(AND(ISNUMBER(SEARCH("NOVO",D33)),OR(N33="",ISERROR(MATCH(N33,{"C0","C1","C2","C3","C4"},0)))),"ALERTA: BASE_VU_OBRIGATORIA",IF(AND(NOT(ISNUMBER(SEARCH("NOVO",D33))),N33&lt;&gt;""),"ALERTA: BASE_VU_NAO_APLICAVEL",IF(AND(UPPER(H33)="SIM",NOT(ISNUMBER(I33))),"ALERTA: BASE_VU_INVALIDA_OU_POSTERIOR_AO_FATOR_ALVO","OK"))))))))))</f>
        <v/>
      </c>
      <c r="N33" s="608"/>
      <c r="O33" s="610" t="str">
        <f>IFERROR(IF((COUNTIFS($A$2:$A$200,$A33,$D$2:$D$200,"*novo*",$N$2:$N$200,"C0")+COUNTIFS($A$2:$A$200,$A33,$D$2:$D$200,"*novo*",$N$2:$N$200,"C1")+COUNTIFS($A$2:$A$200,$A33,$D$2:$D$200,"*novo*",$N$2:$N$200,"C2")+COUNTIFS($A$2:$A$200,$A33,$D$2:$D$200,"*novo*",$N$2:$N$200,"C3")+COUNTIFS($A$2:$A$200,$A33,$D$2:$D$200,"*novo*",$N$2:$N$200,"C4"))=1,IF(COUNTIFS($A$2:$A$200,$A33,$D$2:$D$200,"*novo*",$N$2:$N$200,"C4")&gt;0,4,IF(COUNTIFS($A$2:$A$200,$A33,$D$2:$D$200,"*novo*",$N$2:$N$200,"C3")&gt;0,3,IF(COUNTIFS($A$2:$A$200,$A33,$D$2:$D$200,"*novo*",$N$2:$N$200,"C2")&gt;0,2,IF(COUNTIFS($A$2:$A$200,$A33,$D$2:$D$200,"*novo*",$N$2:$N$200,"C1")&gt;0,1,IF(COUNTIFS($A$2:$A$200,$A33,$D$2:$D$200,"*novo*",$N$2:$N$200,"C0")&gt;0,0,""))))),IF(AND((COUNTIFS($A$2:$A$200,$A33,$D$2:$D$200,"*novo*",$N$2:$N$200,"C0")+COUNTIFS($A$2:$A$200,$A33,$D$2:$D$200,"*novo*",$N$2:$N$200,"C1")+COUNTIFS($A$2:$A$200,$A33,$D$2:$D$200,"*novo*",$N$2:$N$200,"C2")+COUNTIFS($A$2:$A$200,$A33,$D$2:$D$200,"*novo*",$N$2:$N$200,"C3")+COUNTIFS($A$2:$A$200,$A33,$D$2:$D$200,"*novo*",$N$2:$N$200,"C4"))=0,INDEX(posicao_contratual!$Y$2:$Y$200,MATCH($A33,posicao_contratual!$A$2:$A$200,0))=0),0,"")),"")</f>
        <v/>
      </c>
    </row>
    <row r="34" spans="1:15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IF(OR($A34="",$C34=""),"",IF(OR(($O34)="",($O34)&gt;(MIN(MATCH($C34,{"C0","C1","C2","C3","C4"},0)-1,COUNT(parametros!$F$2:$F$6)-1)),NOT(ISNUMBER(INDEX(parametros!$F$2:$F$6,(MIN(MATCH($C34,{"C0","C1","C2","C3","C4"},0)-1,COUNT(parametros!$F$2:$F$6)-1))+1))),NOT(ISNUMBER(INDEX(parametros!$F$2:$F$6,($O34)+1)))),"",INDEX(parametros!$F$2:$F$6,(MIN(MATCH($C34,{"C0","C1","C2","C3","C4"},0)-1,COUNT(parametros!$F$2:$F$6)-1))+1)/INDEX(parametros!$F$2:$F$6,($O34)+1))),"")</f>
        <v/>
      </c>
      <c r="J34" s="107" t="str">
        <f>IF(OR(L34="",F34=""),"",IF(UPPER(H34)="SIM",IF(ISNUMBER(I34),ROUND(L34*ROUND(F34*I34,2),2),""),ROUND(L34*F34,2)))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606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TIPO_INVALIDO",IF(AND(ISNUMBER(SEARCH("NOVO",D34)),OR(INDEX(posicao_contratual!$C$2:$C$200,MATCH(A34,posicao_contratual!$A$2:$A$200,0))&lt;&gt;0,F34="",COUNTIFS($A$2:$A$200,A34,$B$2:$B$200,"&lt;"&amp;B34,$L$2:$L$200,"&gt;0")&gt;0)),"ALERTA: NOVO ITEM INVALIDO - use Acrescimo se o item ja existia; novo item exige QTD_BASE_ORIGINAL 0, VU_ORIGINAL e ser o 1o acrescimo do item.",IF(AND(ISNUMBER(SEARCH("NOVO",D34)),OR(N34="",ISERROR(MATCH(N34,{"C0","C1","C2","C3","C4"},0)))),"ALERTA: BASE_VU_OBRIGATORIA",IF(AND(NOT(ISNUMBER(SEARCH("NOVO",D34))),N34&lt;&gt;""),"ALERTA: BASE_VU_NAO_APLICAVEL",IF(AND(UPPER(H34)="SIM",NOT(ISNUMBER(I34))),"ALERTA: BASE_VU_INVALIDA_OU_POSTERIOR_AO_FATOR_ALVO","OK"))))))))))</f>
        <v/>
      </c>
      <c r="N34" s="608"/>
      <c r="O34" s="610" t="str">
        <f>IFERROR(IF((COUNTIFS($A$2:$A$200,$A34,$D$2:$D$200,"*novo*",$N$2:$N$200,"C0")+COUNTIFS($A$2:$A$200,$A34,$D$2:$D$200,"*novo*",$N$2:$N$200,"C1")+COUNTIFS($A$2:$A$200,$A34,$D$2:$D$200,"*novo*",$N$2:$N$200,"C2")+COUNTIFS($A$2:$A$200,$A34,$D$2:$D$200,"*novo*",$N$2:$N$200,"C3")+COUNTIFS($A$2:$A$200,$A34,$D$2:$D$200,"*novo*",$N$2:$N$200,"C4"))=1,IF(COUNTIFS($A$2:$A$200,$A34,$D$2:$D$200,"*novo*",$N$2:$N$200,"C4")&gt;0,4,IF(COUNTIFS($A$2:$A$200,$A34,$D$2:$D$200,"*novo*",$N$2:$N$200,"C3")&gt;0,3,IF(COUNTIFS($A$2:$A$200,$A34,$D$2:$D$200,"*novo*",$N$2:$N$200,"C2")&gt;0,2,IF(COUNTIFS($A$2:$A$200,$A34,$D$2:$D$200,"*novo*",$N$2:$N$200,"C1")&gt;0,1,IF(COUNTIFS($A$2:$A$200,$A34,$D$2:$D$200,"*novo*",$N$2:$N$200,"C0")&gt;0,0,""))))),IF(AND((COUNTIFS($A$2:$A$200,$A34,$D$2:$D$200,"*novo*",$N$2:$N$200,"C0")+COUNTIFS($A$2:$A$200,$A34,$D$2:$D$200,"*novo*",$N$2:$N$200,"C1")+COUNTIFS($A$2:$A$200,$A34,$D$2:$D$200,"*novo*",$N$2:$N$200,"C2")+COUNTIFS($A$2:$A$200,$A34,$D$2:$D$200,"*novo*",$N$2:$N$200,"C3")+COUNTIFS($A$2:$A$200,$A34,$D$2:$D$200,"*novo*",$N$2:$N$200,"C4"))=0,INDEX(posicao_contratual!$Y$2:$Y$200,MATCH($A34,posicao_contratual!$A$2:$A$200,0))=0),0,"")),"")</f>
        <v/>
      </c>
    </row>
    <row r="35" spans="1:15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IF(OR($A35="",$C35=""),"",IF(OR(($O35)="",($O35)&gt;(MIN(MATCH($C35,{"C0","C1","C2","C3","C4"},0)-1,COUNT(parametros!$F$2:$F$6)-1)),NOT(ISNUMBER(INDEX(parametros!$F$2:$F$6,(MIN(MATCH($C35,{"C0","C1","C2","C3","C4"},0)-1,COUNT(parametros!$F$2:$F$6)-1))+1))),NOT(ISNUMBER(INDEX(parametros!$F$2:$F$6,($O35)+1)))),"",INDEX(parametros!$F$2:$F$6,(MIN(MATCH($C35,{"C0","C1","C2","C3","C4"},0)-1,COUNT(parametros!$F$2:$F$6)-1))+1)/INDEX(parametros!$F$2:$F$6,($O35)+1))),"")</f>
        <v/>
      </c>
      <c r="J35" s="107" t="str">
        <f>IF(OR(L35="",F35=""),"",IF(UPPER(H35)="SIM",IF(ISNUMBER(I35),ROUND(L35*ROUND(F35*I35,2),2),""),ROUND(L35*F35,2)))</f>
        <v/>
      </c>
      <c r="K35" s="105"/>
      <c r="L35" s="85" t="str">
        <f t="shared" si="3"/>
        <v/>
      </c>
      <c r="M35" s="606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TIPO_INVALIDO",IF(AND(ISNUMBER(SEARCH("NOVO",D35)),OR(INDEX(posicao_contratual!$C$2:$C$200,MATCH(A35,posicao_contratual!$A$2:$A$200,0))&lt;&gt;0,F35="",COUNTIFS($A$2:$A$200,A35,$B$2:$B$200,"&lt;"&amp;B35,$L$2:$L$200,"&gt;0")&gt;0)),"ALERTA: NOVO ITEM INVALIDO - use Acrescimo se o item ja existia; novo item exige QTD_BASE_ORIGINAL 0, VU_ORIGINAL e ser o 1o acrescimo do item.",IF(AND(ISNUMBER(SEARCH("NOVO",D35)),OR(N35="",ISERROR(MATCH(N35,{"C0","C1","C2","C3","C4"},0)))),"ALERTA: BASE_VU_OBRIGATORIA",IF(AND(NOT(ISNUMBER(SEARCH("NOVO",D35))),N35&lt;&gt;""),"ALERTA: BASE_VU_NAO_APLICAVEL",IF(AND(UPPER(H35)="SIM",NOT(ISNUMBER(I35))),"ALERTA: BASE_VU_INVALIDA_OU_POSTERIOR_AO_FATOR_ALVO","OK"))))))))))</f>
        <v/>
      </c>
      <c r="N35" s="608"/>
      <c r="O35" s="610" t="str">
        <f>IFERROR(IF((COUNTIFS($A$2:$A$200,$A35,$D$2:$D$200,"*novo*",$N$2:$N$200,"C0")+COUNTIFS($A$2:$A$200,$A35,$D$2:$D$200,"*novo*",$N$2:$N$200,"C1")+COUNTIFS($A$2:$A$200,$A35,$D$2:$D$200,"*novo*",$N$2:$N$200,"C2")+COUNTIFS($A$2:$A$200,$A35,$D$2:$D$200,"*novo*",$N$2:$N$200,"C3")+COUNTIFS($A$2:$A$200,$A35,$D$2:$D$200,"*novo*",$N$2:$N$200,"C4"))=1,IF(COUNTIFS($A$2:$A$200,$A35,$D$2:$D$200,"*novo*",$N$2:$N$200,"C4")&gt;0,4,IF(COUNTIFS($A$2:$A$200,$A35,$D$2:$D$200,"*novo*",$N$2:$N$200,"C3")&gt;0,3,IF(COUNTIFS($A$2:$A$200,$A35,$D$2:$D$200,"*novo*",$N$2:$N$200,"C2")&gt;0,2,IF(COUNTIFS($A$2:$A$200,$A35,$D$2:$D$200,"*novo*",$N$2:$N$200,"C1")&gt;0,1,IF(COUNTIFS($A$2:$A$200,$A35,$D$2:$D$200,"*novo*",$N$2:$N$200,"C0")&gt;0,0,""))))),IF(AND((COUNTIFS($A$2:$A$200,$A35,$D$2:$D$200,"*novo*",$N$2:$N$200,"C0")+COUNTIFS($A$2:$A$200,$A35,$D$2:$D$200,"*novo*",$N$2:$N$200,"C1")+COUNTIFS($A$2:$A$200,$A35,$D$2:$D$200,"*novo*",$N$2:$N$200,"C2")+COUNTIFS($A$2:$A$200,$A35,$D$2:$D$200,"*novo*",$N$2:$N$200,"C3")+COUNTIFS($A$2:$A$200,$A35,$D$2:$D$200,"*novo*",$N$2:$N$200,"C4"))=0,INDEX(posicao_contratual!$Y$2:$Y$200,MATCH($A35,posicao_contratual!$A$2:$A$200,0))=0),0,"")),"")</f>
        <v/>
      </c>
    </row>
    <row r="36" spans="1:15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IF(OR($A36="",$C36=""),"",IF(OR(($O36)="",($O36)&gt;(MIN(MATCH($C36,{"C0","C1","C2","C3","C4"},0)-1,COUNT(parametros!$F$2:$F$6)-1)),NOT(ISNUMBER(INDEX(parametros!$F$2:$F$6,(MIN(MATCH($C36,{"C0","C1","C2","C3","C4"},0)-1,COUNT(parametros!$F$2:$F$6)-1))+1))),NOT(ISNUMBER(INDEX(parametros!$F$2:$F$6,($O36)+1)))),"",INDEX(parametros!$F$2:$F$6,(MIN(MATCH($C36,{"C0","C1","C2","C3","C4"},0)-1,COUNT(parametros!$F$2:$F$6)-1))+1)/INDEX(parametros!$F$2:$F$6,($O36)+1))),"")</f>
        <v/>
      </c>
      <c r="J36" s="107" t="str">
        <f>IF(OR(L36="",F36=""),"",IF(UPPER(H36)="SIM",IF(ISNUMBER(I36),ROUND(L36*ROUND(F36*I36,2),2),""),ROUND(L36*F36,2)))</f>
        <v/>
      </c>
      <c r="K36" s="105"/>
      <c r="L36" s="85" t="str">
        <f t="shared" si="3"/>
        <v/>
      </c>
      <c r="M36" s="606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TIPO_INVALIDO",IF(AND(ISNUMBER(SEARCH("NOVO",D36)),OR(INDEX(posicao_contratual!$C$2:$C$200,MATCH(A36,posicao_contratual!$A$2:$A$200,0))&lt;&gt;0,F36="",COUNTIFS($A$2:$A$200,A36,$B$2:$B$200,"&lt;"&amp;B36,$L$2:$L$200,"&gt;0")&gt;0)),"ALERTA: NOVO ITEM INVALIDO - use Acrescimo se o item ja existia; novo item exige QTD_BASE_ORIGINAL 0, VU_ORIGINAL e ser o 1o acrescimo do item.",IF(AND(ISNUMBER(SEARCH("NOVO",D36)),OR(N36="",ISERROR(MATCH(N36,{"C0","C1","C2","C3","C4"},0)))),"ALERTA: BASE_VU_OBRIGATORIA",IF(AND(NOT(ISNUMBER(SEARCH("NOVO",D36))),N36&lt;&gt;""),"ALERTA: BASE_VU_NAO_APLICAVEL",IF(AND(UPPER(H36)="SIM",NOT(ISNUMBER(I36))),"ALERTA: BASE_VU_INVALIDA_OU_POSTERIOR_AO_FATOR_ALVO","OK"))))))))))</f>
        <v/>
      </c>
      <c r="N36" s="608"/>
      <c r="O36" s="610" t="str">
        <f>IFERROR(IF((COUNTIFS($A$2:$A$200,$A36,$D$2:$D$200,"*novo*",$N$2:$N$200,"C0")+COUNTIFS($A$2:$A$200,$A36,$D$2:$D$200,"*novo*",$N$2:$N$200,"C1")+COUNTIFS($A$2:$A$200,$A36,$D$2:$D$200,"*novo*",$N$2:$N$200,"C2")+COUNTIFS($A$2:$A$200,$A36,$D$2:$D$200,"*novo*",$N$2:$N$200,"C3")+COUNTIFS($A$2:$A$200,$A36,$D$2:$D$200,"*novo*",$N$2:$N$200,"C4"))=1,IF(COUNTIFS($A$2:$A$200,$A36,$D$2:$D$200,"*novo*",$N$2:$N$200,"C4")&gt;0,4,IF(COUNTIFS($A$2:$A$200,$A36,$D$2:$D$200,"*novo*",$N$2:$N$200,"C3")&gt;0,3,IF(COUNTIFS($A$2:$A$200,$A36,$D$2:$D$200,"*novo*",$N$2:$N$200,"C2")&gt;0,2,IF(COUNTIFS($A$2:$A$200,$A36,$D$2:$D$200,"*novo*",$N$2:$N$200,"C1")&gt;0,1,IF(COUNTIFS($A$2:$A$200,$A36,$D$2:$D$200,"*novo*",$N$2:$N$200,"C0")&gt;0,0,""))))),IF(AND((COUNTIFS($A$2:$A$200,$A36,$D$2:$D$200,"*novo*",$N$2:$N$200,"C0")+COUNTIFS($A$2:$A$200,$A36,$D$2:$D$200,"*novo*",$N$2:$N$200,"C1")+COUNTIFS($A$2:$A$200,$A36,$D$2:$D$200,"*novo*",$N$2:$N$200,"C2")+COUNTIFS($A$2:$A$200,$A36,$D$2:$D$200,"*novo*",$N$2:$N$200,"C3")+COUNTIFS($A$2:$A$200,$A36,$D$2:$D$200,"*novo*",$N$2:$N$200,"C4"))=0,INDEX(posicao_contratual!$Y$2:$Y$200,MATCH($A36,posicao_contratual!$A$2:$A$200,0))=0),0,"")),"")</f>
        <v/>
      </c>
    </row>
    <row r="37" spans="1:15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IF(OR($A37="",$C37=""),"",IF(OR(($O37)="",($O37)&gt;(MIN(MATCH($C37,{"C0","C1","C2","C3","C4"},0)-1,COUNT(parametros!$F$2:$F$6)-1)),NOT(ISNUMBER(INDEX(parametros!$F$2:$F$6,(MIN(MATCH($C37,{"C0","C1","C2","C3","C4"},0)-1,COUNT(parametros!$F$2:$F$6)-1))+1))),NOT(ISNUMBER(INDEX(parametros!$F$2:$F$6,($O37)+1)))),"",INDEX(parametros!$F$2:$F$6,(MIN(MATCH($C37,{"C0","C1","C2","C3","C4"},0)-1,COUNT(parametros!$F$2:$F$6)-1))+1)/INDEX(parametros!$F$2:$F$6,($O37)+1))),"")</f>
        <v/>
      </c>
      <c r="J37" s="107" t="str">
        <f>IF(OR(L37="",F37=""),"",IF(UPPER(H37)="SIM",IF(ISNUMBER(I37),ROUND(L37*ROUND(F37*I37,2),2),""),ROUND(L37*F37,2)))</f>
        <v/>
      </c>
      <c r="K37" s="105"/>
      <c r="L37" s="85" t="str">
        <f t="shared" si="3"/>
        <v/>
      </c>
      <c r="M37" s="606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TIPO_INVALIDO",IF(AND(ISNUMBER(SEARCH("NOVO",D37)),OR(INDEX(posicao_contratual!$C$2:$C$200,MATCH(A37,posicao_contratual!$A$2:$A$200,0))&lt;&gt;0,F37="",COUNTIFS($A$2:$A$200,A37,$B$2:$B$200,"&lt;"&amp;B37,$L$2:$L$200,"&gt;0")&gt;0)),"ALERTA: NOVO ITEM INVALIDO - use Acrescimo se o item ja existia; novo item exige QTD_BASE_ORIGINAL 0, VU_ORIGINAL e ser o 1o acrescimo do item.",IF(AND(ISNUMBER(SEARCH("NOVO",D37)),OR(N37="",ISERROR(MATCH(N37,{"C0","C1","C2","C3","C4"},0)))),"ALERTA: BASE_VU_OBRIGATORIA",IF(AND(NOT(ISNUMBER(SEARCH("NOVO",D37))),N37&lt;&gt;""),"ALERTA: BASE_VU_NAO_APLICAVEL",IF(AND(UPPER(H37)="SIM",NOT(ISNUMBER(I37))),"ALERTA: BASE_VU_INVALIDA_OU_POSTERIOR_AO_FATOR_ALVO","OK"))))))))))</f>
        <v/>
      </c>
      <c r="N37" s="608"/>
      <c r="O37" s="610" t="str">
        <f>IFERROR(IF((COUNTIFS($A$2:$A$200,$A37,$D$2:$D$200,"*novo*",$N$2:$N$200,"C0")+COUNTIFS($A$2:$A$200,$A37,$D$2:$D$200,"*novo*",$N$2:$N$200,"C1")+COUNTIFS($A$2:$A$200,$A37,$D$2:$D$200,"*novo*",$N$2:$N$200,"C2")+COUNTIFS($A$2:$A$200,$A37,$D$2:$D$200,"*novo*",$N$2:$N$200,"C3")+COUNTIFS($A$2:$A$200,$A37,$D$2:$D$200,"*novo*",$N$2:$N$200,"C4"))=1,IF(COUNTIFS($A$2:$A$200,$A37,$D$2:$D$200,"*novo*",$N$2:$N$200,"C4")&gt;0,4,IF(COUNTIFS($A$2:$A$200,$A37,$D$2:$D$200,"*novo*",$N$2:$N$200,"C3")&gt;0,3,IF(COUNTIFS($A$2:$A$200,$A37,$D$2:$D$200,"*novo*",$N$2:$N$200,"C2")&gt;0,2,IF(COUNTIFS($A$2:$A$200,$A37,$D$2:$D$200,"*novo*",$N$2:$N$200,"C1")&gt;0,1,IF(COUNTIFS($A$2:$A$200,$A37,$D$2:$D$200,"*novo*",$N$2:$N$200,"C0")&gt;0,0,""))))),IF(AND((COUNTIFS($A$2:$A$200,$A37,$D$2:$D$200,"*novo*",$N$2:$N$200,"C0")+COUNTIFS($A$2:$A$200,$A37,$D$2:$D$200,"*novo*",$N$2:$N$200,"C1")+COUNTIFS($A$2:$A$200,$A37,$D$2:$D$200,"*novo*",$N$2:$N$200,"C2")+COUNTIFS($A$2:$A$200,$A37,$D$2:$D$200,"*novo*",$N$2:$N$200,"C3")+COUNTIFS($A$2:$A$200,$A37,$D$2:$D$200,"*novo*",$N$2:$N$200,"C4"))=0,INDEX(posicao_contratual!$Y$2:$Y$200,MATCH($A37,posicao_contratual!$A$2:$A$200,0))=0),0,"")),"")</f>
        <v/>
      </c>
    </row>
    <row r="38" spans="1:15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IF(OR($A38="",$C38=""),"",IF(OR(($O38)="",($O38)&gt;(MIN(MATCH($C38,{"C0","C1","C2","C3","C4"},0)-1,COUNT(parametros!$F$2:$F$6)-1)),NOT(ISNUMBER(INDEX(parametros!$F$2:$F$6,(MIN(MATCH($C38,{"C0","C1","C2","C3","C4"},0)-1,COUNT(parametros!$F$2:$F$6)-1))+1))),NOT(ISNUMBER(INDEX(parametros!$F$2:$F$6,($O38)+1)))),"",INDEX(parametros!$F$2:$F$6,(MIN(MATCH($C38,{"C0","C1","C2","C3","C4"},0)-1,COUNT(parametros!$F$2:$F$6)-1))+1)/INDEX(parametros!$F$2:$F$6,($O38)+1))),"")</f>
        <v/>
      </c>
      <c r="J38" s="107" t="str">
        <f>IF(OR(L38="",F38=""),"",IF(UPPER(H38)="SIM",IF(ISNUMBER(I38),ROUND(L38*ROUND(F38*I38,2),2),""),ROUND(L38*F38,2)))</f>
        <v/>
      </c>
      <c r="K38" s="105"/>
      <c r="L38" s="85" t="str">
        <f t="shared" si="3"/>
        <v/>
      </c>
      <c r="M38" s="606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TIPO_INVALIDO",IF(AND(ISNUMBER(SEARCH("NOVO",D38)),OR(INDEX(posicao_contratual!$C$2:$C$200,MATCH(A38,posicao_contratual!$A$2:$A$200,0))&lt;&gt;0,F38="",COUNTIFS($A$2:$A$200,A38,$B$2:$B$200,"&lt;"&amp;B38,$L$2:$L$200,"&gt;0")&gt;0)),"ALERTA: NOVO ITEM INVALIDO - use Acrescimo se o item ja existia; novo item exige QTD_BASE_ORIGINAL 0, VU_ORIGINAL e ser o 1o acrescimo do item.",IF(AND(ISNUMBER(SEARCH("NOVO",D38)),OR(N38="",ISERROR(MATCH(N38,{"C0","C1","C2","C3","C4"},0)))),"ALERTA: BASE_VU_OBRIGATORIA",IF(AND(NOT(ISNUMBER(SEARCH("NOVO",D38))),N38&lt;&gt;""),"ALERTA: BASE_VU_NAO_APLICAVEL",IF(AND(UPPER(H38)="SIM",NOT(ISNUMBER(I38))),"ALERTA: BASE_VU_INVALIDA_OU_POSTERIOR_AO_FATOR_ALVO","OK"))))))))))</f>
        <v/>
      </c>
      <c r="N38" s="608"/>
      <c r="O38" s="610" t="str">
        <f>IFERROR(IF((COUNTIFS($A$2:$A$200,$A38,$D$2:$D$200,"*novo*",$N$2:$N$200,"C0")+COUNTIFS($A$2:$A$200,$A38,$D$2:$D$200,"*novo*",$N$2:$N$200,"C1")+COUNTIFS($A$2:$A$200,$A38,$D$2:$D$200,"*novo*",$N$2:$N$200,"C2")+COUNTIFS($A$2:$A$200,$A38,$D$2:$D$200,"*novo*",$N$2:$N$200,"C3")+COUNTIFS($A$2:$A$200,$A38,$D$2:$D$200,"*novo*",$N$2:$N$200,"C4"))=1,IF(COUNTIFS($A$2:$A$200,$A38,$D$2:$D$200,"*novo*",$N$2:$N$200,"C4")&gt;0,4,IF(COUNTIFS($A$2:$A$200,$A38,$D$2:$D$200,"*novo*",$N$2:$N$200,"C3")&gt;0,3,IF(COUNTIFS($A$2:$A$200,$A38,$D$2:$D$200,"*novo*",$N$2:$N$200,"C2")&gt;0,2,IF(COUNTIFS($A$2:$A$200,$A38,$D$2:$D$200,"*novo*",$N$2:$N$200,"C1")&gt;0,1,IF(COUNTIFS($A$2:$A$200,$A38,$D$2:$D$200,"*novo*",$N$2:$N$200,"C0")&gt;0,0,""))))),IF(AND((COUNTIFS($A$2:$A$200,$A38,$D$2:$D$200,"*novo*",$N$2:$N$200,"C0")+COUNTIFS($A$2:$A$200,$A38,$D$2:$D$200,"*novo*",$N$2:$N$200,"C1")+COUNTIFS($A$2:$A$200,$A38,$D$2:$D$200,"*novo*",$N$2:$N$200,"C2")+COUNTIFS($A$2:$A$200,$A38,$D$2:$D$200,"*novo*",$N$2:$N$200,"C3")+COUNTIFS($A$2:$A$200,$A38,$D$2:$D$200,"*novo*",$N$2:$N$200,"C4"))=0,INDEX(posicao_contratual!$Y$2:$Y$200,MATCH($A38,posicao_contratual!$A$2:$A$200,0))=0),0,"")),"")</f>
        <v/>
      </c>
    </row>
    <row r="39" spans="1:15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IF(OR($A39="",$C39=""),"",IF(OR(($O39)="",($O39)&gt;(MIN(MATCH($C39,{"C0","C1","C2","C3","C4"},0)-1,COUNT(parametros!$F$2:$F$6)-1)),NOT(ISNUMBER(INDEX(parametros!$F$2:$F$6,(MIN(MATCH($C39,{"C0","C1","C2","C3","C4"},0)-1,COUNT(parametros!$F$2:$F$6)-1))+1))),NOT(ISNUMBER(INDEX(parametros!$F$2:$F$6,($O39)+1)))),"",INDEX(parametros!$F$2:$F$6,(MIN(MATCH($C39,{"C0","C1","C2","C3","C4"},0)-1,COUNT(parametros!$F$2:$F$6)-1))+1)/INDEX(parametros!$F$2:$F$6,($O39)+1))),"")</f>
        <v/>
      </c>
      <c r="J39" s="107" t="str">
        <f>IF(OR(L39="",F39=""),"",IF(UPPER(H39)="SIM",IF(ISNUMBER(I39),ROUND(L39*ROUND(F39*I39,2),2),""),ROUND(L39*F39,2)))</f>
        <v/>
      </c>
      <c r="K39" s="105"/>
      <c r="L39" s="85" t="str">
        <f t="shared" si="3"/>
        <v/>
      </c>
      <c r="M39" s="606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TIPO_INVALIDO",IF(AND(ISNUMBER(SEARCH("NOVO",D39)),OR(INDEX(posicao_contratual!$C$2:$C$200,MATCH(A39,posicao_contratual!$A$2:$A$200,0))&lt;&gt;0,F39="",COUNTIFS($A$2:$A$200,A39,$B$2:$B$200,"&lt;"&amp;B39,$L$2:$L$200,"&gt;0")&gt;0)),"ALERTA: NOVO ITEM INVALIDO - use Acrescimo se o item ja existia; novo item exige QTD_BASE_ORIGINAL 0, VU_ORIGINAL e ser o 1o acrescimo do item.",IF(AND(ISNUMBER(SEARCH("NOVO",D39)),OR(N39="",ISERROR(MATCH(N39,{"C0","C1","C2","C3","C4"},0)))),"ALERTA: BASE_VU_OBRIGATORIA",IF(AND(NOT(ISNUMBER(SEARCH("NOVO",D39))),N39&lt;&gt;""),"ALERTA: BASE_VU_NAO_APLICAVEL",IF(AND(UPPER(H39)="SIM",NOT(ISNUMBER(I39))),"ALERTA: BASE_VU_INVALIDA_OU_POSTERIOR_AO_FATOR_ALVO","OK"))))))))))</f>
        <v/>
      </c>
      <c r="N39" s="608"/>
      <c r="O39" s="610" t="str">
        <f>IFERROR(IF((COUNTIFS($A$2:$A$200,$A39,$D$2:$D$200,"*novo*",$N$2:$N$200,"C0")+COUNTIFS($A$2:$A$200,$A39,$D$2:$D$200,"*novo*",$N$2:$N$200,"C1")+COUNTIFS($A$2:$A$200,$A39,$D$2:$D$200,"*novo*",$N$2:$N$200,"C2")+COUNTIFS($A$2:$A$200,$A39,$D$2:$D$200,"*novo*",$N$2:$N$200,"C3")+COUNTIFS($A$2:$A$200,$A39,$D$2:$D$200,"*novo*",$N$2:$N$200,"C4"))=1,IF(COUNTIFS($A$2:$A$200,$A39,$D$2:$D$200,"*novo*",$N$2:$N$200,"C4")&gt;0,4,IF(COUNTIFS($A$2:$A$200,$A39,$D$2:$D$200,"*novo*",$N$2:$N$200,"C3")&gt;0,3,IF(COUNTIFS($A$2:$A$200,$A39,$D$2:$D$200,"*novo*",$N$2:$N$200,"C2")&gt;0,2,IF(COUNTIFS($A$2:$A$200,$A39,$D$2:$D$200,"*novo*",$N$2:$N$200,"C1")&gt;0,1,IF(COUNTIFS($A$2:$A$200,$A39,$D$2:$D$200,"*novo*",$N$2:$N$200,"C0")&gt;0,0,""))))),IF(AND((COUNTIFS($A$2:$A$200,$A39,$D$2:$D$200,"*novo*",$N$2:$N$200,"C0")+COUNTIFS($A$2:$A$200,$A39,$D$2:$D$200,"*novo*",$N$2:$N$200,"C1")+COUNTIFS($A$2:$A$200,$A39,$D$2:$D$200,"*novo*",$N$2:$N$200,"C2")+COUNTIFS($A$2:$A$200,$A39,$D$2:$D$200,"*novo*",$N$2:$N$200,"C3")+COUNTIFS($A$2:$A$200,$A39,$D$2:$D$200,"*novo*",$N$2:$N$200,"C4"))=0,INDEX(posicao_contratual!$Y$2:$Y$200,MATCH($A39,posicao_contratual!$A$2:$A$200,0))=0),0,"")),"")</f>
        <v/>
      </c>
    </row>
    <row r="40" spans="1:15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IF(OR($A40="",$C40=""),"",IF(OR(($O40)="",($O40)&gt;(MIN(MATCH($C40,{"C0","C1","C2","C3","C4"},0)-1,COUNT(parametros!$F$2:$F$6)-1)),NOT(ISNUMBER(INDEX(parametros!$F$2:$F$6,(MIN(MATCH($C40,{"C0","C1","C2","C3","C4"},0)-1,COUNT(parametros!$F$2:$F$6)-1))+1))),NOT(ISNUMBER(INDEX(parametros!$F$2:$F$6,($O40)+1)))),"",INDEX(parametros!$F$2:$F$6,(MIN(MATCH($C40,{"C0","C1","C2","C3","C4"},0)-1,COUNT(parametros!$F$2:$F$6)-1))+1)/INDEX(parametros!$F$2:$F$6,($O40)+1))),"")</f>
        <v/>
      </c>
      <c r="J40" s="107" t="str">
        <f>IF(OR(L40="",F40=""),"",IF(UPPER(H40)="SIM",IF(ISNUMBER(I40),ROUND(L40*ROUND(F40*I40,2),2),""),ROUND(L40*F40,2)))</f>
        <v/>
      </c>
      <c r="K40" s="105"/>
      <c r="L40" s="85" t="str">
        <f t="shared" si="3"/>
        <v/>
      </c>
      <c r="M40" s="606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TIPO_INVALIDO",IF(AND(ISNUMBER(SEARCH("NOVO",D40)),OR(INDEX(posicao_contratual!$C$2:$C$200,MATCH(A40,posicao_contratual!$A$2:$A$200,0))&lt;&gt;0,F40="",COUNTIFS($A$2:$A$200,A40,$B$2:$B$200,"&lt;"&amp;B40,$L$2:$L$200,"&gt;0")&gt;0)),"ALERTA: NOVO ITEM INVALIDO - use Acrescimo se o item ja existia; novo item exige QTD_BASE_ORIGINAL 0, VU_ORIGINAL e ser o 1o acrescimo do item.",IF(AND(ISNUMBER(SEARCH("NOVO",D40)),OR(N40="",ISERROR(MATCH(N40,{"C0","C1","C2","C3","C4"},0)))),"ALERTA: BASE_VU_OBRIGATORIA",IF(AND(NOT(ISNUMBER(SEARCH("NOVO",D40))),N40&lt;&gt;""),"ALERTA: BASE_VU_NAO_APLICAVEL",IF(AND(UPPER(H40)="SIM",NOT(ISNUMBER(I40))),"ALERTA: BASE_VU_INVALIDA_OU_POSTERIOR_AO_FATOR_ALVO","OK"))))))))))</f>
        <v/>
      </c>
      <c r="N40" s="608"/>
      <c r="O40" s="610" t="str">
        <f>IFERROR(IF((COUNTIFS($A$2:$A$200,$A40,$D$2:$D$200,"*novo*",$N$2:$N$200,"C0")+COUNTIFS($A$2:$A$200,$A40,$D$2:$D$200,"*novo*",$N$2:$N$200,"C1")+COUNTIFS($A$2:$A$200,$A40,$D$2:$D$200,"*novo*",$N$2:$N$200,"C2")+COUNTIFS($A$2:$A$200,$A40,$D$2:$D$200,"*novo*",$N$2:$N$200,"C3")+COUNTIFS($A$2:$A$200,$A40,$D$2:$D$200,"*novo*",$N$2:$N$200,"C4"))=1,IF(COUNTIFS($A$2:$A$200,$A40,$D$2:$D$200,"*novo*",$N$2:$N$200,"C4")&gt;0,4,IF(COUNTIFS($A$2:$A$200,$A40,$D$2:$D$200,"*novo*",$N$2:$N$200,"C3")&gt;0,3,IF(COUNTIFS($A$2:$A$200,$A40,$D$2:$D$200,"*novo*",$N$2:$N$200,"C2")&gt;0,2,IF(COUNTIFS($A$2:$A$200,$A40,$D$2:$D$200,"*novo*",$N$2:$N$200,"C1")&gt;0,1,IF(COUNTIFS($A$2:$A$200,$A40,$D$2:$D$200,"*novo*",$N$2:$N$200,"C0")&gt;0,0,""))))),IF(AND((COUNTIFS($A$2:$A$200,$A40,$D$2:$D$200,"*novo*",$N$2:$N$200,"C0")+COUNTIFS($A$2:$A$200,$A40,$D$2:$D$200,"*novo*",$N$2:$N$200,"C1")+COUNTIFS($A$2:$A$200,$A40,$D$2:$D$200,"*novo*",$N$2:$N$200,"C2")+COUNTIFS($A$2:$A$200,$A40,$D$2:$D$200,"*novo*",$N$2:$N$200,"C3")+COUNTIFS($A$2:$A$200,$A40,$D$2:$D$200,"*novo*",$N$2:$N$200,"C4"))=0,INDEX(posicao_contratual!$Y$2:$Y$200,MATCH($A40,posicao_contratual!$A$2:$A$200,0))=0),0,"")),"")</f>
        <v/>
      </c>
    </row>
    <row r="41" spans="1:15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IF(OR($A41="",$C41=""),"",IF(OR(($O41)="",($O41)&gt;(MIN(MATCH($C41,{"C0","C1","C2","C3","C4"},0)-1,COUNT(parametros!$F$2:$F$6)-1)),NOT(ISNUMBER(INDEX(parametros!$F$2:$F$6,(MIN(MATCH($C41,{"C0","C1","C2","C3","C4"},0)-1,COUNT(parametros!$F$2:$F$6)-1))+1))),NOT(ISNUMBER(INDEX(parametros!$F$2:$F$6,($O41)+1)))),"",INDEX(parametros!$F$2:$F$6,(MIN(MATCH($C41,{"C0","C1","C2","C3","C4"},0)-1,COUNT(parametros!$F$2:$F$6)-1))+1)/INDEX(parametros!$F$2:$F$6,($O41)+1))),"")</f>
        <v/>
      </c>
      <c r="J41" s="107" t="str">
        <f>IF(OR(L41="",F41=""),"",IF(UPPER(H41)="SIM",IF(ISNUMBER(I41),ROUND(L41*ROUND(F41*I41,2),2),""),ROUND(L41*F41,2)))</f>
        <v/>
      </c>
      <c r="K41" s="105"/>
      <c r="L41" s="85" t="str">
        <f t="shared" si="3"/>
        <v/>
      </c>
      <c r="M41" s="606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TIPO_INVALIDO",IF(AND(ISNUMBER(SEARCH("NOVO",D41)),OR(INDEX(posicao_contratual!$C$2:$C$200,MATCH(A41,posicao_contratual!$A$2:$A$200,0))&lt;&gt;0,F41="",COUNTIFS($A$2:$A$200,A41,$B$2:$B$200,"&lt;"&amp;B41,$L$2:$L$200,"&gt;0")&gt;0)),"ALERTA: NOVO ITEM INVALIDO - use Acrescimo se o item ja existia; novo item exige QTD_BASE_ORIGINAL 0, VU_ORIGINAL e ser o 1o acrescimo do item.",IF(AND(ISNUMBER(SEARCH("NOVO",D41)),OR(N41="",ISERROR(MATCH(N41,{"C0","C1","C2","C3","C4"},0)))),"ALERTA: BASE_VU_OBRIGATORIA",IF(AND(NOT(ISNUMBER(SEARCH("NOVO",D41))),N41&lt;&gt;""),"ALERTA: BASE_VU_NAO_APLICAVEL",IF(AND(UPPER(H41)="SIM",NOT(ISNUMBER(I41))),"ALERTA: BASE_VU_INVALIDA_OU_POSTERIOR_AO_FATOR_ALVO","OK"))))))))))</f>
        <v/>
      </c>
      <c r="N41" s="608"/>
      <c r="O41" s="610" t="str">
        <f>IFERROR(IF((COUNTIFS($A$2:$A$200,$A41,$D$2:$D$200,"*novo*",$N$2:$N$200,"C0")+COUNTIFS($A$2:$A$200,$A41,$D$2:$D$200,"*novo*",$N$2:$N$200,"C1")+COUNTIFS($A$2:$A$200,$A41,$D$2:$D$200,"*novo*",$N$2:$N$200,"C2")+COUNTIFS($A$2:$A$200,$A41,$D$2:$D$200,"*novo*",$N$2:$N$200,"C3")+COUNTIFS($A$2:$A$200,$A41,$D$2:$D$200,"*novo*",$N$2:$N$200,"C4"))=1,IF(COUNTIFS($A$2:$A$200,$A41,$D$2:$D$200,"*novo*",$N$2:$N$200,"C4")&gt;0,4,IF(COUNTIFS($A$2:$A$200,$A41,$D$2:$D$200,"*novo*",$N$2:$N$200,"C3")&gt;0,3,IF(COUNTIFS($A$2:$A$200,$A41,$D$2:$D$200,"*novo*",$N$2:$N$200,"C2")&gt;0,2,IF(COUNTIFS($A$2:$A$200,$A41,$D$2:$D$200,"*novo*",$N$2:$N$200,"C1")&gt;0,1,IF(COUNTIFS($A$2:$A$200,$A41,$D$2:$D$200,"*novo*",$N$2:$N$200,"C0")&gt;0,0,""))))),IF(AND((COUNTIFS($A$2:$A$200,$A41,$D$2:$D$200,"*novo*",$N$2:$N$200,"C0")+COUNTIFS($A$2:$A$200,$A41,$D$2:$D$200,"*novo*",$N$2:$N$200,"C1")+COUNTIFS($A$2:$A$200,$A41,$D$2:$D$200,"*novo*",$N$2:$N$200,"C2")+COUNTIFS($A$2:$A$200,$A41,$D$2:$D$200,"*novo*",$N$2:$N$200,"C3")+COUNTIFS($A$2:$A$200,$A41,$D$2:$D$200,"*novo*",$N$2:$N$200,"C4"))=0,INDEX(posicao_contratual!$Y$2:$Y$200,MATCH($A41,posicao_contratual!$A$2:$A$200,0))=0),0,"")),"")</f>
        <v/>
      </c>
    </row>
    <row r="42" spans="1:15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IF(OR($A42="",$C42=""),"",IF(OR(($O42)="",($O42)&gt;(MIN(MATCH($C42,{"C0","C1","C2","C3","C4"},0)-1,COUNT(parametros!$F$2:$F$6)-1)),NOT(ISNUMBER(INDEX(parametros!$F$2:$F$6,(MIN(MATCH($C42,{"C0","C1","C2","C3","C4"},0)-1,COUNT(parametros!$F$2:$F$6)-1))+1))),NOT(ISNUMBER(INDEX(parametros!$F$2:$F$6,($O42)+1)))),"",INDEX(parametros!$F$2:$F$6,(MIN(MATCH($C42,{"C0","C1","C2","C3","C4"},0)-1,COUNT(parametros!$F$2:$F$6)-1))+1)/INDEX(parametros!$F$2:$F$6,($O42)+1))),"")</f>
        <v/>
      </c>
      <c r="J42" s="107" t="str">
        <f>IF(OR(L42="",F42=""),"",IF(UPPER(H42)="SIM",IF(ISNUMBER(I42),ROUND(L42*ROUND(F42*I42,2),2),""),ROUND(L42*F42,2)))</f>
        <v/>
      </c>
      <c r="K42" s="105"/>
      <c r="L42" s="85" t="str">
        <f t="shared" si="3"/>
        <v/>
      </c>
      <c r="M42" s="606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TIPO_INVALIDO",IF(AND(ISNUMBER(SEARCH("NOVO",D42)),OR(INDEX(posicao_contratual!$C$2:$C$200,MATCH(A42,posicao_contratual!$A$2:$A$200,0))&lt;&gt;0,F42="",COUNTIFS($A$2:$A$200,A42,$B$2:$B$200,"&lt;"&amp;B42,$L$2:$L$200,"&gt;0")&gt;0)),"ALERTA: NOVO ITEM INVALIDO - use Acrescimo se o item ja existia; novo item exige QTD_BASE_ORIGINAL 0, VU_ORIGINAL e ser o 1o acrescimo do item.",IF(AND(ISNUMBER(SEARCH("NOVO",D42)),OR(N42="",ISERROR(MATCH(N42,{"C0","C1","C2","C3","C4"},0)))),"ALERTA: BASE_VU_OBRIGATORIA",IF(AND(NOT(ISNUMBER(SEARCH("NOVO",D42))),N42&lt;&gt;""),"ALERTA: BASE_VU_NAO_APLICAVEL",IF(AND(UPPER(H42)="SIM",NOT(ISNUMBER(I42))),"ALERTA: BASE_VU_INVALIDA_OU_POSTERIOR_AO_FATOR_ALVO","OK"))))))))))</f>
        <v/>
      </c>
      <c r="N42" s="608"/>
      <c r="O42" s="610" t="str">
        <f>IFERROR(IF((COUNTIFS($A$2:$A$200,$A42,$D$2:$D$200,"*novo*",$N$2:$N$200,"C0")+COUNTIFS($A$2:$A$200,$A42,$D$2:$D$200,"*novo*",$N$2:$N$200,"C1")+COUNTIFS($A$2:$A$200,$A42,$D$2:$D$200,"*novo*",$N$2:$N$200,"C2")+COUNTIFS($A$2:$A$200,$A42,$D$2:$D$200,"*novo*",$N$2:$N$200,"C3")+COUNTIFS($A$2:$A$200,$A42,$D$2:$D$200,"*novo*",$N$2:$N$200,"C4"))=1,IF(COUNTIFS($A$2:$A$200,$A42,$D$2:$D$200,"*novo*",$N$2:$N$200,"C4")&gt;0,4,IF(COUNTIFS($A$2:$A$200,$A42,$D$2:$D$200,"*novo*",$N$2:$N$200,"C3")&gt;0,3,IF(COUNTIFS($A$2:$A$200,$A42,$D$2:$D$200,"*novo*",$N$2:$N$200,"C2")&gt;0,2,IF(COUNTIFS($A$2:$A$200,$A42,$D$2:$D$200,"*novo*",$N$2:$N$200,"C1")&gt;0,1,IF(COUNTIFS($A$2:$A$200,$A42,$D$2:$D$200,"*novo*",$N$2:$N$200,"C0")&gt;0,0,""))))),IF(AND((COUNTIFS($A$2:$A$200,$A42,$D$2:$D$200,"*novo*",$N$2:$N$200,"C0")+COUNTIFS($A$2:$A$200,$A42,$D$2:$D$200,"*novo*",$N$2:$N$200,"C1")+COUNTIFS($A$2:$A$200,$A42,$D$2:$D$200,"*novo*",$N$2:$N$200,"C2")+COUNTIFS($A$2:$A$200,$A42,$D$2:$D$200,"*novo*",$N$2:$N$200,"C3")+COUNTIFS($A$2:$A$200,$A42,$D$2:$D$200,"*novo*",$N$2:$N$200,"C4"))=0,INDEX(posicao_contratual!$Y$2:$Y$200,MATCH($A42,posicao_contratual!$A$2:$A$200,0))=0),0,"")),"")</f>
        <v/>
      </c>
    </row>
    <row r="43" spans="1:15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IF(OR($A43="",$C43=""),"",IF(OR(($O43)="",($O43)&gt;(MIN(MATCH($C43,{"C0","C1","C2","C3","C4"},0)-1,COUNT(parametros!$F$2:$F$6)-1)),NOT(ISNUMBER(INDEX(parametros!$F$2:$F$6,(MIN(MATCH($C43,{"C0","C1","C2","C3","C4"},0)-1,COUNT(parametros!$F$2:$F$6)-1))+1))),NOT(ISNUMBER(INDEX(parametros!$F$2:$F$6,($O43)+1)))),"",INDEX(parametros!$F$2:$F$6,(MIN(MATCH($C43,{"C0","C1","C2","C3","C4"},0)-1,COUNT(parametros!$F$2:$F$6)-1))+1)/INDEX(parametros!$F$2:$F$6,($O43)+1))),"")</f>
        <v/>
      </c>
      <c r="J43" s="107" t="str">
        <f>IF(OR(L43="",F43=""),"",IF(UPPER(H43)="SIM",IF(ISNUMBER(I43),ROUND(L43*ROUND(F43*I43,2),2),""),ROUND(L43*F43,2)))</f>
        <v/>
      </c>
      <c r="K43" s="105"/>
      <c r="L43" s="85" t="str">
        <f t="shared" si="3"/>
        <v/>
      </c>
      <c r="M43" s="606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TIPO_INVALIDO",IF(AND(ISNUMBER(SEARCH("NOVO",D43)),OR(INDEX(posicao_contratual!$C$2:$C$200,MATCH(A43,posicao_contratual!$A$2:$A$200,0))&lt;&gt;0,F43="",COUNTIFS($A$2:$A$200,A43,$B$2:$B$200,"&lt;"&amp;B43,$L$2:$L$200,"&gt;0")&gt;0)),"ALERTA: NOVO ITEM INVALIDO - use Acrescimo se o item ja existia; novo item exige QTD_BASE_ORIGINAL 0, VU_ORIGINAL e ser o 1o acrescimo do item.",IF(AND(ISNUMBER(SEARCH("NOVO",D43)),OR(N43="",ISERROR(MATCH(N43,{"C0","C1","C2","C3","C4"},0)))),"ALERTA: BASE_VU_OBRIGATORIA",IF(AND(NOT(ISNUMBER(SEARCH("NOVO",D43))),N43&lt;&gt;""),"ALERTA: BASE_VU_NAO_APLICAVEL",IF(AND(UPPER(H43)="SIM",NOT(ISNUMBER(I43))),"ALERTA: BASE_VU_INVALIDA_OU_POSTERIOR_AO_FATOR_ALVO","OK"))))))))))</f>
        <v/>
      </c>
      <c r="N43" s="608"/>
      <c r="O43" s="610" t="str">
        <f>IFERROR(IF((COUNTIFS($A$2:$A$200,$A43,$D$2:$D$200,"*novo*",$N$2:$N$200,"C0")+COUNTIFS($A$2:$A$200,$A43,$D$2:$D$200,"*novo*",$N$2:$N$200,"C1")+COUNTIFS($A$2:$A$200,$A43,$D$2:$D$200,"*novo*",$N$2:$N$200,"C2")+COUNTIFS($A$2:$A$200,$A43,$D$2:$D$200,"*novo*",$N$2:$N$200,"C3")+COUNTIFS($A$2:$A$200,$A43,$D$2:$D$200,"*novo*",$N$2:$N$200,"C4"))=1,IF(COUNTIFS($A$2:$A$200,$A43,$D$2:$D$200,"*novo*",$N$2:$N$200,"C4")&gt;0,4,IF(COUNTIFS($A$2:$A$200,$A43,$D$2:$D$200,"*novo*",$N$2:$N$200,"C3")&gt;0,3,IF(COUNTIFS($A$2:$A$200,$A43,$D$2:$D$200,"*novo*",$N$2:$N$200,"C2")&gt;0,2,IF(COUNTIFS($A$2:$A$200,$A43,$D$2:$D$200,"*novo*",$N$2:$N$200,"C1")&gt;0,1,IF(COUNTIFS($A$2:$A$200,$A43,$D$2:$D$200,"*novo*",$N$2:$N$200,"C0")&gt;0,0,""))))),IF(AND((COUNTIFS($A$2:$A$200,$A43,$D$2:$D$200,"*novo*",$N$2:$N$200,"C0")+COUNTIFS($A$2:$A$200,$A43,$D$2:$D$200,"*novo*",$N$2:$N$200,"C1")+COUNTIFS($A$2:$A$200,$A43,$D$2:$D$200,"*novo*",$N$2:$N$200,"C2")+COUNTIFS($A$2:$A$200,$A43,$D$2:$D$200,"*novo*",$N$2:$N$200,"C3")+COUNTIFS($A$2:$A$200,$A43,$D$2:$D$200,"*novo*",$N$2:$N$200,"C4"))=0,INDEX(posicao_contratual!$Y$2:$Y$200,MATCH($A43,posicao_contratual!$A$2:$A$200,0))=0),0,"")),"")</f>
        <v/>
      </c>
    </row>
    <row r="44" spans="1:15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IF(OR($A44="",$C44=""),"",IF(OR(($O44)="",($O44)&gt;(MIN(MATCH($C44,{"C0","C1","C2","C3","C4"},0)-1,COUNT(parametros!$F$2:$F$6)-1)),NOT(ISNUMBER(INDEX(parametros!$F$2:$F$6,(MIN(MATCH($C44,{"C0","C1","C2","C3","C4"},0)-1,COUNT(parametros!$F$2:$F$6)-1))+1))),NOT(ISNUMBER(INDEX(parametros!$F$2:$F$6,($O44)+1)))),"",INDEX(parametros!$F$2:$F$6,(MIN(MATCH($C44,{"C0","C1","C2","C3","C4"},0)-1,COUNT(parametros!$F$2:$F$6)-1))+1)/INDEX(parametros!$F$2:$F$6,($O44)+1))),"")</f>
        <v/>
      </c>
      <c r="J44" s="107" t="str">
        <f>IF(OR(L44="",F44=""),"",IF(UPPER(H44)="SIM",IF(ISNUMBER(I44),ROUND(L44*ROUND(F44*I44,2),2),""),ROUND(L44*F44,2)))</f>
        <v/>
      </c>
      <c r="K44" s="105"/>
      <c r="L44" s="85" t="str">
        <f t="shared" si="3"/>
        <v/>
      </c>
      <c r="M44" s="606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TIPO_INVALIDO",IF(AND(ISNUMBER(SEARCH("NOVO",D44)),OR(INDEX(posicao_contratual!$C$2:$C$200,MATCH(A44,posicao_contratual!$A$2:$A$200,0))&lt;&gt;0,F44="",COUNTIFS($A$2:$A$200,A44,$B$2:$B$200,"&lt;"&amp;B44,$L$2:$L$200,"&gt;0")&gt;0)),"ALERTA: NOVO ITEM INVALIDO - use Acrescimo se o item ja existia; novo item exige QTD_BASE_ORIGINAL 0, VU_ORIGINAL e ser o 1o acrescimo do item.",IF(AND(ISNUMBER(SEARCH("NOVO",D44)),OR(N44="",ISERROR(MATCH(N44,{"C0","C1","C2","C3","C4"},0)))),"ALERTA: BASE_VU_OBRIGATORIA",IF(AND(NOT(ISNUMBER(SEARCH("NOVO",D44))),N44&lt;&gt;""),"ALERTA: BASE_VU_NAO_APLICAVEL",IF(AND(UPPER(H44)="SIM",NOT(ISNUMBER(I44))),"ALERTA: BASE_VU_INVALIDA_OU_POSTERIOR_AO_FATOR_ALVO","OK"))))))))))</f>
        <v/>
      </c>
      <c r="N44" s="608"/>
      <c r="O44" s="610" t="str">
        <f>IFERROR(IF((COUNTIFS($A$2:$A$200,$A44,$D$2:$D$200,"*novo*",$N$2:$N$200,"C0")+COUNTIFS($A$2:$A$200,$A44,$D$2:$D$200,"*novo*",$N$2:$N$200,"C1")+COUNTIFS($A$2:$A$200,$A44,$D$2:$D$200,"*novo*",$N$2:$N$200,"C2")+COUNTIFS($A$2:$A$200,$A44,$D$2:$D$200,"*novo*",$N$2:$N$200,"C3")+COUNTIFS($A$2:$A$200,$A44,$D$2:$D$200,"*novo*",$N$2:$N$200,"C4"))=1,IF(COUNTIFS($A$2:$A$200,$A44,$D$2:$D$200,"*novo*",$N$2:$N$200,"C4")&gt;0,4,IF(COUNTIFS($A$2:$A$200,$A44,$D$2:$D$200,"*novo*",$N$2:$N$200,"C3")&gt;0,3,IF(COUNTIFS($A$2:$A$200,$A44,$D$2:$D$200,"*novo*",$N$2:$N$200,"C2")&gt;0,2,IF(COUNTIFS($A$2:$A$200,$A44,$D$2:$D$200,"*novo*",$N$2:$N$200,"C1")&gt;0,1,IF(COUNTIFS($A$2:$A$200,$A44,$D$2:$D$200,"*novo*",$N$2:$N$200,"C0")&gt;0,0,""))))),IF(AND((COUNTIFS($A$2:$A$200,$A44,$D$2:$D$200,"*novo*",$N$2:$N$200,"C0")+COUNTIFS($A$2:$A$200,$A44,$D$2:$D$200,"*novo*",$N$2:$N$200,"C1")+COUNTIFS($A$2:$A$200,$A44,$D$2:$D$200,"*novo*",$N$2:$N$200,"C2")+COUNTIFS($A$2:$A$200,$A44,$D$2:$D$200,"*novo*",$N$2:$N$200,"C3")+COUNTIFS($A$2:$A$200,$A44,$D$2:$D$200,"*novo*",$N$2:$N$200,"C4"))=0,INDEX(posicao_contratual!$Y$2:$Y$200,MATCH($A44,posicao_contratual!$A$2:$A$200,0))=0),0,"")),"")</f>
        <v/>
      </c>
    </row>
    <row r="45" spans="1:15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IF(OR($A45="",$C45=""),"",IF(OR(($O45)="",($O45)&gt;(MIN(MATCH($C45,{"C0","C1","C2","C3","C4"},0)-1,COUNT(parametros!$F$2:$F$6)-1)),NOT(ISNUMBER(INDEX(parametros!$F$2:$F$6,(MIN(MATCH($C45,{"C0","C1","C2","C3","C4"},0)-1,COUNT(parametros!$F$2:$F$6)-1))+1))),NOT(ISNUMBER(INDEX(parametros!$F$2:$F$6,($O45)+1)))),"",INDEX(parametros!$F$2:$F$6,(MIN(MATCH($C45,{"C0","C1","C2","C3","C4"},0)-1,COUNT(parametros!$F$2:$F$6)-1))+1)/INDEX(parametros!$F$2:$F$6,($O45)+1))),"")</f>
        <v/>
      </c>
      <c r="J45" s="107" t="str">
        <f>IF(OR(L45="",F45=""),"",IF(UPPER(H45)="SIM",IF(ISNUMBER(I45),ROUND(L45*ROUND(F45*I45,2),2),""),ROUND(L45*F45,2)))</f>
        <v/>
      </c>
      <c r="K45" s="105"/>
      <c r="L45" s="85" t="str">
        <f t="shared" si="3"/>
        <v/>
      </c>
      <c r="M45" s="606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TIPO_INVALIDO",IF(AND(ISNUMBER(SEARCH("NOVO",D45)),OR(INDEX(posicao_contratual!$C$2:$C$200,MATCH(A45,posicao_contratual!$A$2:$A$200,0))&lt;&gt;0,F45="",COUNTIFS($A$2:$A$200,A45,$B$2:$B$200,"&lt;"&amp;B45,$L$2:$L$200,"&gt;0")&gt;0)),"ALERTA: NOVO ITEM INVALIDO - use Acrescimo se o item ja existia; novo item exige QTD_BASE_ORIGINAL 0, VU_ORIGINAL e ser o 1o acrescimo do item.",IF(AND(ISNUMBER(SEARCH("NOVO",D45)),OR(N45="",ISERROR(MATCH(N45,{"C0","C1","C2","C3","C4"},0)))),"ALERTA: BASE_VU_OBRIGATORIA",IF(AND(NOT(ISNUMBER(SEARCH("NOVO",D45))),N45&lt;&gt;""),"ALERTA: BASE_VU_NAO_APLICAVEL",IF(AND(UPPER(H45)="SIM",NOT(ISNUMBER(I45))),"ALERTA: BASE_VU_INVALIDA_OU_POSTERIOR_AO_FATOR_ALVO","OK"))))))))))</f>
        <v/>
      </c>
      <c r="N45" s="608"/>
      <c r="O45" s="610" t="str">
        <f>IFERROR(IF((COUNTIFS($A$2:$A$200,$A45,$D$2:$D$200,"*novo*",$N$2:$N$200,"C0")+COUNTIFS($A$2:$A$200,$A45,$D$2:$D$200,"*novo*",$N$2:$N$200,"C1")+COUNTIFS($A$2:$A$200,$A45,$D$2:$D$200,"*novo*",$N$2:$N$200,"C2")+COUNTIFS($A$2:$A$200,$A45,$D$2:$D$200,"*novo*",$N$2:$N$200,"C3")+COUNTIFS($A$2:$A$200,$A45,$D$2:$D$200,"*novo*",$N$2:$N$200,"C4"))=1,IF(COUNTIFS($A$2:$A$200,$A45,$D$2:$D$200,"*novo*",$N$2:$N$200,"C4")&gt;0,4,IF(COUNTIFS($A$2:$A$200,$A45,$D$2:$D$200,"*novo*",$N$2:$N$200,"C3")&gt;0,3,IF(COUNTIFS($A$2:$A$200,$A45,$D$2:$D$200,"*novo*",$N$2:$N$200,"C2")&gt;0,2,IF(COUNTIFS($A$2:$A$200,$A45,$D$2:$D$200,"*novo*",$N$2:$N$200,"C1")&gt;0,1,IF(COUNTIFS($A$2:$A$200,$A45,$D$2:$D$200,"*novo*",$N$2:$N$200,"C0")&gt;0,0,""))))),IF(AND((COUNTIFS($A$2:$A$200,$A45,$D$2:$D$200,"*novo*",$N$2:$N$200,"C0")+COUNTIFS($A$2:$A$200,$A45,$D$2:$D$200,"*novo*",$N$2:$N$200,"C1")+COUNTIFS($A$2:$A$200,$A45,$D$2:$D$200,"*novo*",$N$2:$N$200,"C2")+COUNTIFS($A$2:$A$200,$A45,$D$2:$D$200,"*novo*",$N$2:$N$200,"C3")+COUNTIFS($A$2:$A$200,$A45,$D$2:$D$200,"*novo*",$N$2:$N$200,"C4"))=0,INDEX(posicao_contratual!$Y$2:$Y$200,MATCH($A45,posicao_contratual!$A$2:$A$200,0))=0),0,"")),"")</f>
        <v/>
      </c>
    </row>
    <row r="46" spans="1:15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IF(OR($A46="",$C46=""),"",IF(OR(($O46)="",($O46)&gt;(MIN(MATCH($C46,{"C0","C1","C2","C3","C4"},0)-1,COUNT(parametros!$F$2:$F$6)-1)),NOT(ISNUMBER(INDEX(parametros!$F$2:$F$6,(MIN(MATCH($C46,{"C0","C1","C2","C3","C4"},0)-1,COUNT(parametros!$F$2:$F$6)-1))+1))),NOT(ISNUMBER(INDEX(parametros!$F$2:$F$6,($O46)+1)))),"",INDEX(parametros!$F$2:$F$6,(MIN(MATCH($C46,{"C0","C1","C2","C3","C4"},0)-1,COUNT(parametros!$F$2:$F$6)-1))+1)/INDEX(parametros!$F$2:$F$6,($O46)+1))),"")</f>
        <v/>
      </c>
      <c r="J46" s="107" t="str">
        <f>IF(OR(L46="",F46=""),"",IF(UPPER(H46)="SIM",IF(ISNUMBER(I46),ROUND(L46*ROUND(F46*I46,2),2),""),ROUND(L46*F46,2)))</f>
        <v/>
      </c>
      <c r="K46" s="105"/>
      <c r="L46" s="85" t="str">
        <f t="shared" si="3"/>
        <v/>
      </c>
      <c r="M46" s="606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TIPO_INVALIDO",IF(AND(ISNUMBER(SEARCH("NOVO",D46)),OR(INDEX(posicao_contratual!$C$2:$C$200,MATCH(A46,posicao_contratual!$A$2:$A$200,0))&lt;&gt;0,F46="",COUNTIFS($A$2:$A$200,A46,$B$2:$B$200,"&lt;"&amp;B46,$L$2:$L$200,"&gt;0")&gt;0)),"ALERTA: NOVO ITEM INVALIDO - use Acrescimo se o item ja existia; novo item exige QTD_BASE_ORIGINAL 0, VU_ORIGINAL e ser o 1o acrescimo do item.",IF(AND(ISNUMBER(SEARCH("NOVO",D46)),OR(N46="",ISERROR(MATCH(N46,{"C0","C1","C2","C3","C4"},0)))),"ALERTA: BASE_VU_OBRIGATORIA",IF(AND(NOT(ISNUMBER(SEARCH("NOVO",D46))),N46&lt;&gt;""),"ALERTA: BASE_VU_NAO_APLICAVEL",IF(AND(UPPER(H46)="SIM",NOT(ISNUMBER(I46))),"ALERTA: BASE_VU_INVALIDA_OU_POSTERIOR_AO_FATOR_ALVO","OK"))))))))))</f>
        <v/>
      </c>
      <c r="N46" s="608"/>
      <c r="O46" s="610" t="str">
        <f>IFERROR(IF((COUNTIFS($A$2:$A$200,$A46,$D$2:$D$200,"*novo*",$N$2:$N$200,"C0")+COUNTIFS($A$2:$A$200,$A46,$D$2:$D$200,"*novo*",$N$2:$N$200,"C1")+COUNTIFS($A$2:$A$200,$A46,$D$2:$D$200,"*novo*",$N$2:$N$200,"C2")+COUNTIFS($A$2:$A$200,$A46,$D$2:$D$200,"*novo*",$N$2:$N$200,"C3")+COUNTIFS($A$2:$A$200,$A46,$D$2:$D$200,"*novo*",$N$2:$N$200,"C4"))=1,IF(COUNTIFS($A$2:$A$200,$A46,$D$2:$D$200,"*novo*",$N$2:$N$200,"C4")&gt;0,4,IF(COUNTIFS($A$2:$A$200,$A46,$D$2:$D$200,"*novo*",$N$2:$N$200,"C3")&gt;0,3,IF(COUNTIFS($A$2:$A$200,$A46,$D$2:$D$200,"*novo*",$N$2:$N$200,"C2")&gt;0,2,IF(COUNTIFS($A$2:$A$200,$A46,$D$2:$D$200,"*novo*",$N$2:$N$200,"C1")&gt;0,1,IF(COUNTIFS($A$2:$A$200,$A46,$D$2:$D$200,"*novo*",$N$2:$N$200,"C0")&gt;0,0,""))))),IF(AND((COUNTIFS($A$2:$A$200,$A46,$D$2:$D$200,"*novo*",$N$2:$N$200,"C0")+COUNTIFS($A$2:$A$200,$A46,$D$2:$D$200,"*novo*",$N$2:$N$200,"C1")+COUNTIFS($A$2:$A$200,$A46,$D$2:$D$200,"*novo*",$N$2:$N$200,"C2")+COUNTIFS($A$2:$A$200,$A46,$D$2:$D$200,"*novo*",$N$2:$N$200,"C3")+COUNTIFS($A$2:$A$200,$A46,$D$2:$D$200,"*novo*",$N$2:$N$200,"C4"))=0,INDEX(posicao_contratual!$Y$2:$Y$200,MATCH($A46,posicao_contratual!$A$2:$A$200,0))=0),0,"")),"")</f>
        <v/>
      </c>
    </row>
    <row r="47" spans="1:15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IF(OR($A47="",$C47=""),"",IF(OR(($O47)="",($O47)&gt;(MIN(MATCH($C47,{"C0","C1","C2","C3","C4"},0)-1,COUNT(parametros!$F$2:$F$6)-1)),NOT(ISNUMBER(INDEX(parametros!$F$2:$F$6,(MIN(MATCH($C47,{"C0","C1","C2","C3","C4"},0)-1,COUNT(parametros!$F$2:$F$6)-1))+1))),NOT(ISNUMBER(INDEX(parametros!$F$2:$F$6,($O47)+1)))),"",INDEX(parametros!$F$2:$F$6,(MIN(MATCH($C47,{"C0","C1","C2","C3","C4"},0)-1,COUNT(parametros!$F$2:$F$6)-1))+1)/INDEX(parametros!$F$2:$F$6,($O47)+1))),"")</f>
        <v/>
      </c>
      <c r="J47" s="107" t="str">
        <f>IF(OR(L47="",F47=""),"",IF(UPPER(H47)="SIM",IF(ISNUMBER(I47),ROUND(L47*ROUND(F47*I47,2),2),""),ROUND(L47*F47,2)))</f>
        <v/>
      </c>
      <c r="K47" s="105"/>
      <c r="L47" s="85" t="str">
        <f t="shared" si="3"/>
        <v/>
      </c>
      <c r="M47" s="606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TIPO_INVALIDO",IF(AND(ISNUMBER(SEARCH("NOVO",D47)),OR(INDEX(posicao_contratual!$C$2:$C$200,MATCH(A47,posicao_contratual!$A$2:$A$200,0))&lt;&gt;0,F47="",COUNTIFS($A$2:$A$200,A47,$B$2:$B$200,"&lt;"&amp;B47,$L$2:$L$200,"&gt;0")&gt;0)),"ALERTA: NOVO ITEM INVALIDO - use Acrescimo se o item ja existia; novo item exige QTD_BASE_ORIGINAL 0, VU_ORIGINAL e ser o 1o acrescimo do item.",IF(AND(ISNUMBER(SEARCH("NOVO",D47)),OR(N47="",ISERROR(MATCH(N47,{"C0","C1","C2","C3","C4"},0)))),"ALERTA: BASE_VU_OBRIGATORIA",IF(AND(NOT(ISNUMBER(SEARCH("NOVO",D47))),N47&lt;&gt;""),"ALERTA: BASE_VU_NAO_APLICAVEL",IF(AND(UPPER(H47)="SIM",NOT(ISNUMBER(I47))),"ALERTA: BASE_VU_INVALIDA_OU_POSTERIOR_AO_FATOR_ALVO","OK"))))))))))</f>
        <v/>
      </c>
      <c r="N47" s="608"/>
      <c r="O47" s="610" t="str">
        <f>IFERROR(IF((COUNTIFS($A$2:$A$200,$A47,$D$2:$D$200,"*novo*",$N$2:$N$200,"C0")+COUNTIFS($A$2:$A$200,$A47,$D$2:$D$200,"*novo*",$N$2:$N$200,"C1")+COUNTIFS($A$2:$A$200,$A47,$D$2:$D$200,"*novo*",$N$2:$N$200,"C2")+COUNTIFS($A$2:$A$200,$A47,$D$2:$D$200,"*novo*",$N$2:$N$200,"C3")+COUNTIFS($A$2:$A$200,$A47,$D$2:$D$200,"*novo*",$N$2:$N$200,"C4"))=1,IF(COUNTIFS($A$2:$A$200,$A47,$D$2:$D$200,"*novo*",$N$2:$N$200,"C4")&gt;0,4,IF(COUNTIFS($A$2:$A$200,$A47,$D$2:$D$200,"*novo*",$N$2:$N$200,"C3")&gt;0,3,IF(COUNTIFS($A$2:$A$200,$A47,$D$2:$D$200,"*novo*",$N$2:$N$200,"C2")&gt;0,2,IF(COUNTIFS($A$2:$A$200,$A47,$D$2:$D$200,"*novo*",$N$2:$N$200,"C1")&gt;0,1,IF(COUNTIFS($A$2:$A$200,$A47,$D$2:$D$200,"*novo*",$N$2:$N$200,"C0")&gt;0,0,""))))),IF(AND((COUNTIFS($A$2:$A$200,$A47,$D$2:$D$200,"*novo*",$N$2:$N$200,"C0")+COUNTIFS($A$2:$A$200,$A47,$D$2:$D$200,"*novo*",$N$2:$N$200,"C1")+COUNTIFS($A$2:$A$200,$A47,$D$2:$D$200,"*novo*",$N$2:$N$200,"C2")+COUNTIFS($A$2:$A$200,$A47,$D$2:$D$200,"*novo*",$N$2:$N$200,"C3")+COUNTIFS($A$2:$A$200,$A47,$D$2:$D$200,"*novo*",$N$2:$N$200,"C4"))=0,INDEX(posicao_contratual!$Y$2:$Y$200,MATCH($A47,posicao_contratual!$A$2:$A$200,0))=0),0,"")),"")</f>
        <v/>
      </c>
    </row>
    <row r="48" spans="1:15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IF(OR($A48="",$C48=""),"",IF(OR(($O48)="",($O48)&gt;(MIN(MATCH($C48,{"C0","C1","C2","C3","C4"},0)-1,COUNT(parametros!$F$2:$F$6)-1)),NOT(ISNUMBER(INDEX(parametros!$F$2:$F$6,(MIN(MATCH($C48,{"C0","C1","C2","C3","C4"},0)-1,COUNT(parametros!$F$2:$F$6)-1))+1))),NOT(ISNUMBER(INDEX(parametros!$F$2:$F$6,($O48)+1)))),"",INDEX(parametros!$F$2:$F$6,(MIN(MATCH($C48,{"C0","C1","C2","C3","C4"},0)-1,COUNT(parametros!$F$2:$F$6)-1))+1)/INDEX(parametros!$F$2:$F$6,($O48)+1))),"")</f>
        <v/>
      </c>
      <c r="J48" s="107" t="str">
        <f>IF(OR(L48="",F48=""),"",IF(UPPER(H48)="SIM",IF(ISNUMBER(I48),ROUND(L48*ROUND(F48*I48,2),2),""),ROUND(L48*F48,2)))</f>
        <v/>
      </c>
      <c r="K48" s="105"/>
      <c r="L48" s="85" t="str">
        <f t="shared" si="3"/>
        <v/>
      </c>
      <c r="M48" s="606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TIPO_INVALIDO",IF(AND(ISNUMBER(SEARCH("NOVO",D48)),OR(INDEX(posicao_contratual!$C$2:$C$200,MATCH(A48,posicao_contratual!$A$2:$A$200,0))&lt;&gt;0,F48="",COUNTIFS($A$2:$A$200,A48,$B$2:$B$200,"&lt;"&amp;B48,$L$2:$L$200,"&gt;0")&gt;0)),"ALERTA: NOVO ITEM INVALIDO - use Acrescimo se o item ja existia; novo item exige QTD_BASE_ORIGINAL 0, VU_ORIGINAL e ser o 1o acrescimo do item.",IF(AND(ISNUMBER(SEARCH("NOVO",D48)),OR(N48="",ISERROR(MATCH(N48,{"C0","C1","C2","C3","C4"},0)))),"ALERTA: BASE_VU_OBRIGATORIA",IF(AND(NOT(ISNUMBER(SEARCH("NOVO",D48))),N48&lt;&gt;""),"ALERTA: BASE_VU_NAO_APLICAVEL",IF(AND(UPPER(H48)="SIM",NOT(ISNUMBER(I48))),"ALERTA: BASE_VU_INVALIDA_OU_POSTERIOR_AO_FATOR_ALVO","OK"))))))))))</f>
        <v/>
      </c>
      <c r="N48" s="608"/>
      <c r="O48" s="610" t="str">
        <f>IFERROR(IF((COUNTIFS($A$2:$A$200,$A48,$D$2:$D$200,"*novo*",$N$2:$N$200,"C0")+COUNTIFS($A$2:$A$200,$A48,$D$2:$D$200,"*novo*",$N$2:$N$200,"C1")+COUNTIFS($A$2:$A$200,$A48,$D$2:$D$200,"*novo*",$N$2:$N$200,"C2")+COUNTIFS($A$2:$A$200,$A48,$D$2:$D$200,"*novo*",$N$2:$N$200,"C3")+COUNTIFS($A$2:$A$200,$A48,$D$2:$D$200,"*novo*",$N$2:$N$200,"C4"))=1,IF(COUNTIFS($A$2:$A$200,$A48,$D$2:$D$200,"*novo*",$N$2:$N$200,"C4")&gt;0,4,IF(COUNTIFS($A$2:$A$200,$A48,$D$2:$D$200,"*novo*",$N$2:$N$200,"C3")&gt;0,3,IF(COUNTIFS($A$2:$A$200,$A48,$D$2:$D$200,"*novo*",$N$2:$N$200,"C2")&gt;0,2,IF(COUNTIFS($A$2:$A$200,$A48,$D$2:$D$200,"*novo*",$N$2:$N$200,"C1")&gt;0,1,IF(COUNTIFS($A$2:$A$200,$A48,$D$2:$D$200,"*novo*",$N$2:$N$200,"C0")&gt;0,0,""))))),IF(AND((COUNTIFS($A$2:$A$200,$A48,$D$2:$D$200,"*novo*",$N$2:$N$200,"C0")+COUNTIFS($A$2:$A$200,$A48,$D$2:$D$200,"*novo*",$N$2:$N$200,"C1")+COUNTIFS($A$2:$A$200,$A48,$D$2:$D$200,"*novo*",$N$2:$N$200,"C2")+COUNTIFS($A$2:$A$200,$A48,$D$2:$D$200,"*novo*",$N$2:$N$200,"C3")+COUNTIFS($A$2:$A$200,$A48,$D$2:$D$200,"*novo*",$N$2:$N$200,"C4"))=0,INDEX(posicao_contratual!$Y$2:$Y$200,MATCH($A48,posicao_contratual!$A$2:$A$200,0))=0),0,"")),"")</f>
        <v/>
      </c>
    </row>
    <row r="49" spans="1:15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IF(OR($A49="",$C49=""),"",IF(OR(($O49)="",($O49)&gt;(MIN(MATCH($C49,{"C0","C1","C2","C3","C4"},0)-1,COUNT(parametros!$F$2:$F$6)-1)),NOT(ISNUMBER(INDEX(parametros!$F$2:$F$6,(MIN(MATCH($C49,{"C0","C1","C2","C3","C4"},0)-1,COUNT(parametros!$F$2:$F$6)-1))+1))),NOT(ISNUMBER(INDEX(parametros!$F$2:$F$6,($O49)+1)))),"",INDEX(parametros!$F$2:$F$6,(MIN(MATCH($C49,{"C0","C1","C2","C3","C4"},0)-1,COUNT(parametros!$F$2:$F$6)-1))+1)/INDEX(parametros!$F$2:$F$6,($O49)+1))),"")</f>
        <v/>
      </c>
      <c r="J49" s="107" t="str">
        <f>IF(OR(L49="",F49=""),"",IF(UPPER(H49)="SIM",IF(ISNUMBER(I49),ROUND(L49*ROUND(F49*I49,2),2),""),ROUND(L49*F49,2)))</f>
        <v/>
      </c>
      <c r="K49" s="105"/>
      <c r="L49" s="85" t="str">
        <f t="shared" si="3"/>
        <v/>
      </c>
      <c r="M49" s="606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TIPO_INVALIDO",IF(AND(ISNUMBER(SEARCH("NOVO",D49)),OR(INDEX(posicao_contratual!$C$2:$C$200,MATCH(A49,posicao_contratual!$A$2:$A$200,0))&lt;&gt;0,F49="",COUNTIFS($A$2:$A$200,A49,$B$2:$B$200,"&lt;"&amp;B49,$L$2:$L$200,"&gt;0")&gt;0)),"ALERTA: NOVO ITEM INVALIDO - use Acrescimo se o item ja existia; novo item exige QTD_BASE_ORIGINAL 0, VU_ORIGINAL e ser o 1o acrescimo do item.",IF(AND(ISNUMBER(SEARCH("NOVO",D49)),OR(N49="",ISERROR(MATCH(N49,{"C0","C1","C2","C3","C4"},0)))),"ALERTA: BASE_VU_OBRIGATORIA",IF(AND(NOT(ISNUMBER(SEARCH("NOVO",D49))),N49&lt;&gt;""),"ALERTA: BASE_VU_NAO_APLICAVEL",IF(AND(UPPER(H49)="SIM",NOT(ISNUMBER(I49))),"ALERTA: BASE_VU_INVALIDA_OU_POSTERIOR_AO_FATOR_ALVO","OK"))))))))))</f>
        <v/>
      </c>
      <c r="N49" s="608"/>
      <c r="O49" s="610" t="str">
        <f>IFERROR(IF((COUNTIFS($A$2:$A$200,$A49,$D$2:$D$200,"*novo*",$N$2:$N$200,"C0")+COUNTIFS($A$2:$A$200,$A49,$D$2:$D$200,"*novo*",$N$2:$N$200,"C1")+COUNTIFS($A$2:$A$200,$A49,$D$2:$D$200,"*novo*",$N$2:$N$200,"C2")+COUNTIFS($A$2:$A$200,$A49,$D$2:$D$200,"*novo*",$N$2:$N$200,"C3")+COUNTIFS($A$2:$A$200,$A49,$D$2:$D$200,"*novo*",$N$2:$N$200,"C4"))=1,IF(COUNTIFS($A$2:$A$200,$A49,$D$2:$D$200,"*novo*",$N$2:$N$200,"C4")&gt;0,4,IF(COUNTIFS($A$2:$A$200,$A49,$D$2:$D$200,"*novo*",$N$2:$N$200,"C3")&gt;0,3,IF(COUNTIFS($A$2:$A$200,$A49,$D$2:$D$200,"*novo*",$N$2:$N$200,"C2")&gt;0,2,IF(COUNTIFS($A$2:$A$200,$A49,$D$2:$D$200,"*novo*",$N$2:$N$200,"C1")&gt;0,1,IF(COUNTIFS($A$2:$A$200,$A49,$D$2:$D$200,"*novo*",$N$2:$N$200,"C0")&gt;0,0,""))))),IF(AND((COUNTIFS($A$2:$A$200,$A49,$D$2:$D$200,"*novo*",$N$2:$N$200,"C0")+COUNTIFS($A$2:$A$200,$A49,$D$2:$D$200,"*novo*",$N$2:$N$200,"C1")+COUNTIFS($A$2:$A$200,$A49,$D$2:$D$200,"*novo*",$N$2:$N$200,"C2")+COUNTIFS($A$2:$A$200,$A49,$D$2:$D$200,"*novo*",$N$2:$N$200,"C3")+COUNTIFS($A$2:$A$200,$A49,$D$2:$D$200,"*novo*",$N$2:$N$200,"C4"))=0,INDEX(posicao_contratual!$Y$2:$Y$200,MATCH($A49,posicao_contratual!$A$2:$A$200,0))=0),0,"")),"")</f>
        <v/>
      </c>
    </row>
    <row r="50" spans="1:15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IF(OR($A50="",$C50=""),"",IF(OR(($O50)="",($O50)&gt;(MIN(MATCH($C50,{"C0","C1","C2","C3","C4"},0)-1,COUNT(parametros!$F$2:$F$6)-1)),NOT(ISNUMBER(INDEX(parametros!$F$2:$F$6,(MIN(MATCH($C50,{"C0","C1","C2","C3","C4"},0)-1,COUNT(parametros!$F$2:$F$6)-1))+1))),NOT(ISNUMBER(INDEX(parametros!$F$2:$F$6,($O50)+1)))),"",INDEX(parametros!$F$2:$F$6,(MIN(MATCH($C50,{"C0","C1","C2","C3","C4"},0)-1,COUNT(parametros!$F$2:$F$6)-1))+1)/INDEX(parametros!$F$2:$F$6,($O50)+1))),"")</f>
        <v/>
      </c>
      <c r="J50" s="107" t="str">
        <f>IF(OR(L50="",F50=""),"",IF(UPPER(H50)="SIM",IF(ISNUMBER(I50),ROUND(L50*ROUND(F50*I50,2),2),""),ROUND(L50*F50,2)))</f>
        <v/>
      </c>
      <c r="K50" s="105"/>
      <c r="L50" s="85" t="str">
        <f t="shared" si="3"/>
        <v/>
      </c>
      <c r="M50" s="606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TIPO_INVALIDO",IF(AND(ISNUMBER(SEARCH("NOVO",D50)),OR(INDEX(posicao_contratual!$C$2:$C$200,MATCH(A50,posicao_contratual!$A$2:$A$200,0))&lt;&gt;0,F50="",COUNTIFS($A$2:$A$200,A50,$B$2:$B$200,"&lt;"&amp;B50,$L$2:$L$200,"&gt;0")&gt;0)),"ALERTA: NOVO ITEM INVALIDO - use Acrescimo se o item ja existia; novo item exige QTD_BASE_ORIGINAL 0, VU_ORIGINAL e ser o 1o acrescimo do item.",IF(AND(ISNUMBER(SEARCH("NOVO",D50)),OR(N50="",ISERROR(MATCH(N50,{"C0","C1","C2","C3","C4"},0)))),"ALERTA: BASE_VU_OBRIGATORIA",IF(AND(NOT(ISNUMBER(SEARCH("NOVO",D50))),N50&lt;&gt;""),"ALERTA: BASE_VU_NAO_APLICAVEL",IF(AND(UPPER(H50)="SIM",NOT(ISNUMBER(I50))),"ALERTA: BASE_VU_INVALIDA_OU_POSTERIOR_AO_FATOR_ALVO","OK"))))))))))</f>
        <v/>
      </c>
      <c r="N50" s="608"/>
      <c r="O50" s="610" t="str">
        <f>IFERROR(IF((COUNTIFS($A$2:$A$200,$A50,$D$2:$D$200,"*novo*",$N$2:$N$200,"C0")+COUNTIFS($A$2:$A$200,$A50,$D$2:$D$200,"*novo*",$N$2:$N$200,"C1")+COUNTIFS($A$2:$A$200,$A50,$D$2:$D$200,"*novo*",$N$2:$N$200,"C2")+COUNTIFS($A$2:$A$200,$A50,$D$2:$D$200,"*novo*",$N$2:$N$200,"C3")+COUNTIFS($A$2:$A$200,$A50,$D$2:$D$200,"*novo*",$N$2:$N$200,"C4"))=1,IF(COUNTIFS($A$2:$A$200,$A50,$D$2:$D$200,"*novo*",$N$2:$N$200,"C4")&gt;0,4,IF(COUNTIFS($A$2:$A$200,$A50,$D$2:$D$200,"*novo*",$N$2:$N$200,"C3")&gt;0,3,IF(COUNTIFS($A$2:$A$200,$A50,$D$2:$D$200,"*novo*",$N$2:$N$200,"C2")&gt;0,2,IF(COUNTIFS($A$2:$A$200,$A50,$D$2:$D$200,"*novo*",$N$2:$N$200,"C1")&gt;0,1,IF(COUNTIFS($A$2:$A$200,$A50,$D$2:$D$200,"*novo*",$N$2:$N$200,"C0")&gt;0,0,""))))),IF(AND((COUNTIFS($A$2:$A$200,$A50,$D$2:$D$200,"*novo*",$N$2:$N$200,"C0")+COUNTIFS($A$2:$A$200,$A50,$D$2:$D$200,"*novo*",$N$2:$N$200,"C1")+COUNTIFS($A$2:$A$200,$A50,$D$2:$D$200,"*novo*",$N$2:$N$200,"C2")+COUNTIFS($A$2:$A$200,$A50,$D$2:$D$200,"*novo*",$N$2:$N$200,"C3")+COUNTIFS($A$2:$A$200,$A50,$D$2:$D$200,"*novo*",$N$2:$N$200,"C4"))=0,INDEX(posicao_contratual!$Y$2:$Y$200,MATCH($A50,posicao_contratual!$A$2:$A$200,0))=0),0,"")),"")</f>
        <v/>
      </c>
    </row>
    <row r="51" spans="1:15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IF(OR($A51="",$C51=""),"",IF(OR(($O51)="",($O51)&gt;(MIN(MATCH($C51,{"C0","C1","C2","C3","C4"},0)-1,COUNT(parametros!$F$2:$F$6)-1)),NOT(ISNUMBER(INDEX(parametros!$F$2:$F$6,(MIN(MATCH($C51,{"C0","C1","C2","C3","C4"},0)-1,COUNT(parametros!$F$2:$F$6)-1))+1))),NOT(ISNUMBER(INDEX(parametros!$F$2:$F$6,($O51)+1)))),"",INDEX(parametros!$F$2:$F$6,(MIN(MATCH($C51,{"C0","C1","C2","C3","C4"},0)-1,COUNT(parametros!$F$2:$F$6)-1))+1)/INDEX(parametros!$F$2:$F$6,($O51)+1))),"")</f>
        <v/>
      </c>
      <c r="J51" s="107" t="str">
        <f>IF(OR(L51="",F51=""),"",IF(UPPER(H51)="SIM",IF(ISNUMBER(I51),ROUND(L51*ROUND(F51*I51,2),2),""),ROUND(L51*F51,2)))</f>
        <v/>
      </c>
      <c r="K51" s="105"/>
      <c r="L51" s="85" t="str">
        <f t="shared" si="3"/>
        <v/>
      </c>
      <c r="M51" s="606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TIPO_INVALIDO",IF(AND(ISNUMBER(SEARCH("NOVO",D51)),OR(INDEX(posicao_contratual!$C$2:$C$200,MATCH(A51,posicao_contratual!$A$2:$A$200,0))&lt;&gt;0,F51="",COUNTIFS($A$2:$A$200,A51,$B$2:$B$200,"&lt;"&amp;B51,$L$2:$L$200,"&gt;0")&gt;0)),"ALERTA: NOVO ITEM INVALIDO - use Acrescimo se o item ja existia; novo item exige QTD_BASE_ORIGINAL 0, VU_ORIGINAL e ser o 1o acrescimo do item.",IF(AND(ISNUMBER(SEARCH("NOVO",D51)),OR(N51="",ISERROR(MATCH(N51,{"C0","C1","C2","C3","C4"},0)))),"ALERTA: BASE_VU_OBRIGATORIA",IF(AND(NOT(ISNUMBER(SEARCH("NOVO",D51))),N51&lt;&gt;""),"ALERTA: BASE_VU_NAO_APLICAVEL",IF(AND(UPPER(H51)="SIM",NOT(ISNUMBER(I51))),"ALERTA: BASE_VU_INVALIDA_OU_POSTERIOR_AO_FATOR_ALVO","OK"))))))))))</f>
        <v/>
      </c>
      <c r="N51" s="608"/>
      <c r="O51" s="610" t="str">
        <f>IFERROR(IF((COUNTIFS($A$2:$A$200,$A51,$D$2:$D$200,"*novo*",$N$2:$N$200,"C0")+COUNTIFS($A$2:$A$200,$A51,$D$2:$D$200,"*novo*",$N$2:$N$200,"C1")+COUNTIFS($A$2:$A$200,$A51,$D$2:$D$200,"*novo*",$N$2:$N$200,"C2")+COUNTIFS($A$2:$A$200,$A51,$D$2:$D$200,"*novo*",$N$2:$N$200,"C3")+COUNTIFS($A$2:$A$200,$A51,$D$2:$D$200,"*novo*",$N$2:$N$200,"C4"))=1,IF(COUNTIFS($A$2:$A$200,$A51,$D$2:$D$200,"*novo*",$N$2:$N$200,"C4")&gt;0,4,IF(COUNTIFS($A$2:$A$200,$A51,$D$2:$D$200,"*novo*",$N$2:$N$200,"C3")&gt;0,3,IF(COUNTIFS($A$2:$A$200,$A51,$D$2:$D$200,"*novo*",$N$2:$N$200,"C2")&gt;0,2,IF(COUNTIFS($A$2:$A$200,$A51,$D$2:$D$200,"*novo*",$N$2:$N$200,"C1")&gt;0,1,IF(COUNTIFS($A$2:$A$200,$A51,$D$2:$D$200,"*novo*",$N$2:$N$200,"C0")&gt;0,0,""))))),IF(AND((COUNTIFS($A$2:$A$200,$A51,$D$2:$D$200,"*novo*",$N$2:$N$200,"C0")+COUNTIFS($A$2:$A$200,$A51,$D$2:$D$200,"*novo*",$N$2:$N$200,"C1")+COUNTIFS($A$2:$A$200,$A51,$D$2:$D$200,"*novo*",$N$2:$N$200,"C2")+COUNTIFS($A$2:$A$200,$A51,$D$2:$D$200,"*novo*",$N$2:$N$200,"C3")+COUNTIFS($A$2:$A$200,$A51,$D$2:$D$200,"*novo*",$N$2:$N$200,"C4"))=0,INDEX(posicao_contratual!$Y$2:$Y$200,MATCH($A51,posicao_contratual!$A$2:$A$200,0))=0),0,"")),"")</f>
        <v/>
      </c>
    </row>
    <row r="52" spans="1:15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IF(OR($A52="",$C52=""),"",IF(OR(($O52)="",($O52)&gt;(MIN(MATCH($C52,{"C0","C1","C2","C3","C4"},0)-1,COUNT(parametros!$F$2:$F$6)-1)),NOT(ISNUMBER(INDEX(parametros!$F$2:$F$6,(MIN(MATCH($C52,{"C0","C1","C2","C3","C4"},0)-1,COUNT(parametros!$F$2:$F$6)-1))+1))),NOT(ISNUMBER(INDEX(parametros!$F$2:$F$6,($O52)+1)))),"",INDEX(parametros!$F$2:$F$6,(MIN(MATCH($C52,{"C0","C1","C2","C3","C4"},0)-1,COUNT(parametros!$F$2:$F$6)-1))+1)/INDEX(parametros!$F$2:$F$6,($O52)+1))),"")</f>
        <v/>
      </c>
      <c r="J52" s="107" t="str">
        <f>IF(OR(L52="",F52=""),"",IF(UPPER(H52)="SIM",IF(ISNUMBER(I52),ROUND(L52*ROUND(F52*I52,2),2),""),ROUND(L52*F52,2)))</f>
        <v/>
      </c>
      <c r="K52" s="105"/>
      <c r="L52" s="85" t="str">
        <f t="shared" si="3"/>
        <v/>
      </c>
      <c r="M52" s="606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TIPO_INVALIDO",IF(AND(ISNUMBER(SEARCH("NOVO",D52)),OR(INDEX(posicao_contratual!$C$2:$C$200,MATCH(A52,posicao_contratual!$A$2:$A$200,0))&lt;&gt;0,F52="",COUNTIFS($A$2:$A$200,A52,$B$2:$B$200,"&lt;"&amp;B52,$L$2:$L$200,"&gt;0")&gt;0)),"ALERTA: NOVO ITEM INVALIDO - use Acrescimo se o item ja existia; novo item exige QTD_BASE_ORIGINAL 0, VU_ORIGINAL e ser o 1o acrescimo do item.",IF(AND(ISNUMBER(SEARCH("NOVO",D52)),OR(N52="",ISERROR(MATCH(N52,{"C0","C1","C2","C3","C4"},0)))),"ALERTA: BASE_VU_OBRIGATORIA",IF(AND(NOT(ISNUMBER(SEARCH("NOVO",D52))),N52&lt;&gt;""),"ALERTA: BASE_VU_NAO_APLICAVEL",IF(AND(UPPER(H52)="SIM",NOT(ISNUMBER(I52))),"ALERTA: BASE_VU_INVALIDA_OU_POSTERIOR_AO_FATOR_ALVO","OK"))))))))))</f>
        <v/>
      </c>
      <c r="N52" s="608"/>
      <c r="O52" s="610" t="str">
        <f>IFERROR(IF((COUNTIFS($A$2:$A$200,$A52,$D$2:$D$200,"*novo*",$N$2:$N$200,"C0")+COUNTIFS($A$2:$A$200,$A52,$D$2:$D$200,"*novo*",$N$2:$N$200,"C1")+COUNTIFS($A$2:$A$200,$A52,$D$2:$D$200,"*novo*",$N$2:$N$200,"C2")+COUNTIFS($A$2:$A$200,$A52,$D$2:$D$200,"*novo*",$N$2:$N$200,"C3")+COUNTIFS($A$2:$A$200,$A52,$D$2:$D$200,"*novo*",$N$2:$N$200,"C4"))=1,IF(COUNTIFS($A$2:$A$200,$A52,$D$2:$D$200,"*novo*",$N$2:$N$200,"C4")&gt;0,4,IF(COUNTIFS($A$2:$A$200,$A52,$D$2:$D$200,"*novo*",$N$2:$N$200,"C3")&gt;0,3,IF(COUNTIFS($A$2:$A$200,$A52,$D$2:$D$200,"*novo*",$N$2:$N$200,"C2")&gt;0,2,IF(COUNTIFS($A$2:$A$200,$A52,$D$2:$D$200,"*novo*",$N$2:$N$200,"C1")&gt;0,1,IF(COUNTIFS($A$2:$A$200,$A52,$D$2:$D$200,"*novo*",$N$2:$N$200,"C0")&gt;0,0,""))))),IF(AND((COUNTIFS($A$2:$A$200,$A52,$D$2:$D$200,"*novo*",$N$2:$N$200,"C0")+COUNTIFS($A$2:$A$200,$A52,$D$2:$D$200,"*novo*",$N$2:$N$200,"C1")+COUNTIFS($A$2:$A$200,$A52,$D$2:$D$200,"*novo*",$N$2:$N$200,"C2")+COUNTIFS($A$2:$A$200,$A52,$D$2:$D$200,"*novo*",$N$2:$N$200,"C3")+COUNTIFS($A$2:$A$200,$A52,$D$2:$D$200,"*novo*",$N$2:$N$200,"C4"))=0,INDEX(posicao_contratual!$Y$2:$Y$200,MATCH($A52,posicao_contratual!$A$2:$A$200,0))=0),0,"")),"")</f>
        <v/>
      </c>
    </row>
    <row r="53" spans="1:15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IF(OR($A53="",$C53=""),"",IF(OR(($O53)="",($O53)&gt;(MIN(MATCH($C53,{"C0","C1","C2","C3","C4"},0)-1,COUNT(parametros!$F$2:$F$6)-1)),NOT(ISNUMBER(INDEX(parametros!$F$2:$F$6,(MIN(MATCH($C53,{"C0","C1","C2","C3","C4"},0)-1,COUNT(parametros!$F$2:$F$6)-1))+1))),NOT(ISNUMBER(INDEX(parametros!$F$2:$F$6,($O53)+1)))),"",INDEX(parametros!$F$2:$F$6,(MIN(MATCH($C53,{"C0","C1","C2","C3","C4"},0)-1,COUNT(parametros!$F$2:$F$6)-1))+1)/INDEX(parametros!$F$2:$F$6,($O53)+1))),"")</f>
        <v/>
      </c>
      <c r="J53" s="107" t="str">
        <f>IF(OR(L53="",F53=""),"",IF(UPPER(H53)="SIM",IF(ISNUMBER(I53),ROUND(L53*ROUND(F53*I53,2),2),""),ROUND(L53*F53,2)))</f>
        <v/>
      </c>
      <c r="K53" s="105"/>
      <c r="L53" s="85" t="str">
        <f t="shared" si="3"/>
        <v/>
      </c>
      <c r="M53" s="606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TIPO_INVALIDO",IF(AND(ISNUMBER(SEARCH("NOVO",D53)),OR(INDEX(posicao_contratual!$C$2:$C$200,MATCH(A53,posicao_contratual!$A$2:$A$200,0))&lt;&gt;0,F53="",COUNTIFS($A$2:$A$200,A53,$B$2:$B$200,"&lt;"&amp;B53,$L$2:$L$200,"&gt;0")&gt;0)),"ALERTA: NOVO ITEM INVALIDO - use Acrescimo se o item ja existia; novo item exige QTD_BASE_ORIGINAL 0, VU_ORIGINAL e ser o 1o acrescimo do item.",IF(AND(ISNUMBER(SEARCH("NOVO",D53)),OR(N53="",ISERROR(MATCH(N53,{"C0","C1","C2","C3","C4"},0)))),"ALERTA: BASE_VU_OBRIGATORIA",IF(AND(NOT(ISNUMBER(SEARCH("NOVO",D53))),N53&lt;&gt;""),"ALERTA: BASE_VU_NAO_APLICAVEL",IF(AND(UPPER(H53)="SIM",NOT(ISNUMBER(I53))),"ALERTA: BASE_VU_INVALIDA_OU_POSTERIOR_AO_FATOR_ALVO","OK"))))))))))</f>
        <v/>
      </c>
      <c r="N53" s="608"/>
      <c r="O53" s="610" t="str">
        <f>IFERROR(IF((COUNTIFS($A$2:$A$200,$A53,$D$2:$D$200,"*novo*",$N$2:$N$200,"C0")+COUNTIFS($A$2:$A$200,$A53,$D$2:$D$200,"*novo*",$N$2:$N$200,"C1")+COUNTIFS($A$2:$A$200,$A53,$D$2:$D$200,"*novo*",$N$2:$N$200,"C2")+COUNTIFS($A$2:$A$200,$A53,$D$2:$D$200,"*novo*",$N$2:$N$200,"C3")+COUNTIFS($A$2:$A$200,$A53,$D$2:$D$200,"*novo*",$N$2:$N$200,"C4"))=1,IF(COUNTIFS($A$2:$A$200,$A53,$D$2:$D$200,"*novo*",$N$2:$N$200,"C4")&gt;0,4,IF(COUNTIFS($A$2:$A$200,$A53,$D$2:$D$200,"*novo*",$N$2:$N$200,"C3")&gt;0,3,IF(COUNTIFS($A$2:$A$200,$A53,$D$2:$D$200,"*novo*",$N$2:$N$200,"C2")&gt;0,2,IF(COUNTIFS($A$2:$A$200,$A53,$D$2:$D$200,"*novo*",$N$2:$N$200,"C1")&gt;0,1,IF(COUNTIFS($A$2:$A$200,$A53,$D$2:$D$200,"*novo*",$N$2:$N$200,"C0")&gt;0,0,""))))),IF(AND((COUNTIFS($A$2:$A$200,$A53,$D$2:$D$200,"*novo*",$N$2:$N$200,"C0")+COUNTIFS($A$2:$A$200,$A53,$D$2:$D$200,"*novo*",$N$2:$N$200,"C1")+COUNTIFS($A$2:$A$200,$A53,$D$2:$D$200,"*novo*",$N$2:$N$200,"C2")+COUNTIFS($A$2:$A$200,$A53,$D$2:$D$200,"*novo*",$N$2:$N$200,"C3")+COUNTIFS($A$2:$A$200,$A53,$D$2:$D$200,"*novo*",$N$2:$N$200,"C4"))=0,INDEX(posicao_contratual!$Y$2:$Y$200,MATCH($A53,posicao_contratual!$A$2:$A$200,0))=0),0,"")),"")</f>
        <v/>
      </c>
    </row>
    <row r="54" spans="1:15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IF(OR($A54="",$C54=""),"",IF(OR(($O54)="",($O54)&gt;(MIN(MATCH($C54,{"C0","C1","C2","C3","C4"},0)-1,COUNT(parametros!$F$2:$F$6)-1)),NOT(ISNUMBER(INDEX(parametros!$F$2:$F$6,(MIN(MATCH($C54,{"C0","C1","C2","C3","C4"},0)-1,COUNT(parametros!$F$2:$F$6)-1))+1))),NOT(ISNUMBER(INDEX(parametros!$F$2:$F$6,($O54)+1)))),"",INDEX(parametros!$F$2:$F$6,(MIN(MATCH($C54,{"C0","C1","C2","C3","C4"},0)-1,COUNT(parametros!$F$2:$F$6)-1))+1)/INDEX(parametros!$F$2:$F$6,($O54)+1))),"")</f>
        <v/>
      </c>
      <c r="J54" s="107" t="str">
        <f>IF(OR(L54="",F54=""),"",IF(UPPER(H54)="SIM",IF(ISNUMBER(I54),ROUND(L54*ROUND(F54*I54,2),2),""),ROUND(L54*F54,2)))</f>
        <v/>
      </c>
      <c r="K54" s="105"/>
      <c r="L54" s="85" t="str">
        <f t="shared" si="3"/>
        <v/>
      </c>
      <c r="M54" s="606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TIPO_INVALIDO",IF(AND(ISNUMBER(SEARCH("NOVO",D54)),OR(INDEX(posicao_contratual!$C$2:$C$200,MATCH(A54,posicao_contratual!$A$2:$A$200,0))&lt;&gt;0,F54="",COUNTIFS($A$2:$A$200,A54,$B$2:$B$200,"&lt;"&amp;B54,$L$2:$L$200,"&gt;0")&gt;0)),"ALERTA: NOVO ITEM INVALIDO - use Acrescimo se o item ja existia; novo item exige QTD_BASE_ORIGINAL 0, VU_ORIGINAL e ser o 1o acrescimo do item.",IF(AND(ISNUMBER(SEARCH("NOVO",D54)),OR(N54="",ISERROR(MATCH(N54,{"C0","C1","C2","C3","C4"},0)))),"ALERTA: BASE_VU_OBRIGATORIA",IF(AND(NOT(ISNUMBER(SEARCH("NOVO",D54))),N54&lt;&gt;""),"ALERTA: BASE_VU_NAO_APLICAVEL",IF(AND(UPPER(H54)="SIM",NOT(ISNUMBER(I54))),"ALERTA: BASE_VU_INVALIDA_OU_POSTERIOR_AO_FATOR_ALVO","OK"))))))))))</f>
        <v/>
      </c>
      <c r="N54" s="608"/>
      <c r="O54" s="610" t="str">
        <f>IFERROR(IF((COUNTIFS($A$2:$A$200,$A54,$D$2:$D$200,"*novo*",$N$2:$N$200,"C0")+COUNTIFS($A$2:$A$200,$A54,$D$2:$D$200,"*novo*",$N$2:$N$200,"C1")+COUNTIFS($A$2:$A$200,$A54,$D$2:$D$200,"*novo*",$N$2:$N$200,"C2")+COUNTIFS($A$2:$A$200,$A54,$D$2:$D$200,"*novo*",$N$2:$N$200,"C3")+COUNTIFS($A$2:$A$200,$A54,$D$2:$D$200,"*novo*",$N$2:$N$200,"C4"))=1,IF(COUNTIFS($A$2:$A$200,$A54,$D$2:$D$200,"*novo*",$N$2:$N$200,"C4")&gt;0,4,IF(COUNTIFS($A$2:$A$200,$A54,$D$2:$D$200,"*novo*",$N$2:$N$200,"C3")&gt;0,3,IF(COUNTIFS($A$2:$A$200,$A54,$D$2:$D$200,"*novo*",$N$2:$N$200,"C2")&gt;0,2,IF(COUNTIFS($A$2:$A$200,$A54,$D$2:$D$200,"*novo*",$N$2:$N$200,"C1")&gt;0,1,IF(COUNTIFS($A$2:$A$200,$A54,$D$2:$D$200,"*novo*",$N$2:$N$200,"C0")&gt;0,0,""))))),IF(AND((COUNTIFS($A$2:$A$200,$A54,$D$2:$D$200,"*novo*",$N$2:$N$200,"C0")+COUNTIFS($A$2:$A$200,$A54,$D$2:$D$200,"*novo*",$N$2:$N$200,"C1")+COUNTIFS($A$2:$A$200,$A54,$D$2:$D$200,"*novo*",$N$2:$N$200,"C2")+COUNTIFS($A$2:$A$200,$A54,$D$2:$D$200,"*novo*",$N$2:$N$200,"C3")+COUNTIFS($A$2:$A$200,$A54,$D$2:$D$200,"*novo*",$N$2:$N$200,"C4"))=0,INDEX(posicao_contratual!$Y$2:$Y$200,MATCH($A54,posicao_contratual!$A$2:$A$200,0))=0),0,"")),"")</f>
        <v/>
      </c>
    </row>
    <row r="55" spans="1:15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IF(OR($A55="",$C55=""),"",IF(OR(($O55)="",($O55)&gt;(MIN(MATCH($C55,{"C0","C1","C2","C3","C4"},0)-1,COUNT(parametros!$F$2:$F$6)-1)),NOT(ISNUMBER(INDEX(parametros!$F$2:$F$6,(MIN(MATCH($C55,{"C0","C1","C2","C3","C4"},0)-1,COUNT(parametros!$F$2:$F$6)-1))+1))),NOT(ISNUMBER(INDEX(parametros!$F$2:$F$6,($O55)+1)))),"",INDEX(parametros!$F$2:$F$6,(MIN(MATCH($C55,{"C0","C1","C2","C3","C4"},0)-1,COUNT(parametros!$F$2:$F$6)-1))+1)/INDEX(parametros!$F$2:$F$6,($O55)+1))),"")</f>
        <v/>
      </c>
      <c r="J55" s="107" t="str">
        <f>IF(OR(L55="",F55=""),"",IF(UPPER(H55)="SIM",IF(ISNUMBER(I55),ROUND(L55*ROUND(F55*I55,2),2),""),ROUND(L55*F55,2)))</f>
        <v/>
      </c>
      <c r="K55" s="105"/>
      <c r="L55" s="85" t="str">
        <f t="shared" si="3"/>
        <v/>
      </c>
      <c r="M55" s="606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TIPO_INVALIDO",IF(AND(ISNUMBER(SEARCH("NOVO",D55)),OR(INDEX(posicao_contratual!$C$2:$C$200,MATCH(A55,posicao_contratual!$A$2:$A$200,0))&lt;&gt;0,F55="",COUNTIFS($A$2:$A$200,A55,$B$2:$B$200,"&lt;"&amp;B55,$L$2:$L$200,"&gt;0")&gt;0)),"ALERTA: NOVO ITEM INVALIDO - use Acrescimo se o item ja existia; novo item exige QTD_BASE_ORIGINAL 0, VU_ORIGINAL e ser o 1o acrescimo do item.",IF(AND(ISNUMBER(SEARCH("NOVO",D55)),OR(N55="",ISERROR(MATCH(N55,{"C0","C1","C2","C3","C4"},0)))),"ALERTA: BASE_VU_OBRIGATORIA",IF(AND(NOT(ISNUMBER(SEARCH("NOVO",D55))),N55&lt;&gt;""),"ALERTA: BASE_VU_NAO_APLICAVEL",IF(AND(UPPER(H55)="SIM",NOT(ISNUMBER(I55))),"ALERTA: BASE_VU_INVALIDA_OU_POSTERIOR_AO_FATOR_ALVO","OK"))))))))))</f>
        <v/>
      </c>
      <c r="N55" s="608"/>
      <c r="O55" s="610" t="str">
        <f>IFERROR(IF((COUNTIFS($A$2:$A$200,$A55,$D$2:$D$200,"*novo*",$N$2:$N$200,"C0")+COUNTIFS($A$2:$A$200,$A55,$D$2:$D$200,"*novo*",$N$2:$N$200,"C1")+COUNTIFS($A$2:$A$200,$A55,$D$2:$D$200,"*novo*",$N$2:$N$200,"C2")+COUNTIFS($A$2:$A$200,$A55,$D$2:$D$200,"*novo*",$N$2:$N$200,"C3")+COUNTIFS($A$2:$A$200,$A55,$D$2:$D$200,"*novo*",$N$2:$N$200,"C4"))=1,IF(COUNTIFS($A$2:$A$200,$A55,$D$2:$D$200,"*novo*",$N$2:$N$200,"C4")&gt;0,4,IF(COUNTIFS($A$2:$A$200,$A55,$D$2:$D$200,"*novo*",$N$2:$N$200,"C3")&gt;0,3,IF(COUNTIFS($A$2:$A$200,$A55,$D$2:$D$200,"*novo*",$N$2:$N$200,"C2")&gt;0,2,IF(COUNTIFS($A$2:$A$200,$A55,$D$2:$D$200,"*novo*",$N$2:$N$200,"C1")&gt;0,1,IF(COUNTIFS($A$2:$A$200,$A55,$D$2:$D$200,"*novo*",$N$2:$N$200,"C0")&gt;0,0,""))))),IF(AND((COUNTIFS($A$2:$A$200,$A55,$D$2:$D$200,"*novo*",$N$2:$N$200,"C0")+COUNTIFS($A$2:$A$200,$A55,$D$2:$D$200,"*novo*",$N$2:$N$200,"C1")+COUNTIFS($A$2:$A$200,$A55,$D$2:$D$200,"*novo*",$N$2:$N$200,"C2")+COUNTIFS($A$2:$A$200,$A55,$D$2:$D$200,"*novo*",$N$2:$N$200,"C3")+COUNTIFS($A$2:$A$200,$A55,$D$2:$D$200,"*novo*",$N$2:$N$200,"C4"))=0,INDEX(posicao_contratual!$Y$2:$Y$200,MATCH($A55,posicao_contratual!$A$2:$A$200,0))=0),0,"")),"")</f>
        <v/>
      </c>
    </row>
    <row r="56" spans="1:15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IF(OR($A56="",$C56=""),"",IF(OR(($O56)="",($O56)&gt;(MIN(MATCH($C56,{"C0","C1","C2","C3","C4"},0)-1,COUNT(parametros!$F$2:$F$6)-1)),NOT(ISNUMBER(INDEX(parametros!$F$2:$F$6,(MIN(MATCH($C56,{"C0","C1","C2","C3","C4"},0)-1,COUNT(parametros!$F$2:$F$6)-1))+1))),NOT(ISNUMBER(INDEX(parametros!$F$2:$F$6,($O56)+1)))),"",INDEX(parametros!$F$2:$F$6,(MIN(MATCH($C56,{"C0","C1","C2","C3","C4"},0)-1,COUNT(parametros!$F$2:$F$6)-1))+1)/INDEX(parametros!$F$2:$F$6,($O56)+1))),"")</f>
        <v/>
      </c>
      <c r="J56" s="107" t="str">
        <f>IF(OR(L56="",F56=""),"",IF(UPPER(H56)="SIM",IF(ISNUMBER(I56),ROUND(L56*ROUND(F56*I56,2),2),""),ROUND(L56*F56,2)))</f>
        <v/>
      </c>
      <c r="K56" s="105"/>
      <c r="L56" s="85" t="str">
        <f t="shared" si="3"/>
        <v/>
      </c>
      <c r="M56" s="606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TIPO_INVALIDO",IF(AND(ISNUMBER(SEARCH("NOVO",D56)),OR(INDEX(posicao_contratual!$C$2:$C$200,MATCH(A56,posicao_contratual!$A$2:$A$200,0))&lt;&gt;0,F56="",COUNTIFS($A$2:$A$200,A56,$B$2:$B$200,"&lt;"&amp;B56,$L$2:$L$200,"&gt;0")&gt;0)),"ALERTA: NOVO ITEM INVALIDO - use Acrescimo se o item ja existia; novo item exige QTD_BASE_ORIGINAL 0, VU_ORIGINAL e ser o 1o acrescimo do item.",IF(AND(ISNUMBER(SEARCH("NOVO",D56)),OR(N56="",ISERROR(MATCH(N56,{"C0","C1","C2","C3","C4"},0)))),"ALERTA: BASE_VU_OBRIGATORIA",IF(AND(NOT(ISNUMBER(SEARCH("NOVO",D56))),N56&lt;&gt;""),"ALERTA: BASE_VU_NAO_APLICAVEL",IF(AND(UPPER(H56)="SIM",NOT(ISNUMBER(I56))),"ALERTA: BASE_VU_INVALIDA_OU_POSTERIOR_AO_FATOR_ALVO","OK"))))))))))</f>
        <v/>
      </c>
      <c r="N56" s="608"/>
      <c r="O56" s="610" t="str">
        <f>IFERROR(IF((COUNTIFS($A$2:$A$200,$A56,$D$2:$D$200,"*novo*",$N$2:$N$200,"C0")+COUNTIFS($A$2:$A$200,$A56,$D$2:$D$200,"*novo*",$N$2:$N$200,"C1")+COUNTIFS($A$2:$A$200,$A56,$D$2:$D$200,"*novo*",$N$2:$N$200,"C2")+COUNTIFS($A$2:$A$200,$A56,$D$2:$D$200,"*novo*",$N$2:$N$200,"C3")+COUNTIFS($A$2:$A$200,$A56,$D$2:$D$200,"*novo*",$N$2:$N$200,"C4"))=1,IF(COUNTIFS($A$2:$A$200,$A56,$D$2:$D$200,"*novo*",$N$2:$N$200,"C4")&gt;0,4,IF(COUNTIFS($A$2:$A$200,$A56,$D$2:$D$200,"*novo*",$N$2:$N$200,"C3")&gt;0,3,IF(COUNTIFS($A$2:$A$200,$A56,$D$2:$D$200,"*novo*",$N$2:$N$200,"C2")&gt;0,2,IF(COUNTIFS($A$2:$A$200,$A56,$D$2:$D$200,"*novo*",$N$2:$N$200,"C1")&gt;0,1,IF(COUNTIFS($A$2:$A$200,$A56,$D$2:$D$200,"*novo*",$N$2:$N$200,"C0")&gt;0,0,""))))),IF(AND((COUNTIFS($A$2:$A$200,$A56,$D$2:$D$200,"*novo*",$N$2:$N$200,"C0")+COUNTIFS($A$2:$A$200,$A56,$D$2:$D$200,"*novo*",$N$2:$N$200,"C1")+COUNTIFS($A$2:$A$200,$A56,$D$2:$D$200,"*novo*",$N$2:$N$200,"C2")+COUNTIFS($A$2:$A$200,$A56,$D$2:$D$200,"*novo*",$N$2:$N$200,"C3")+COUNTIFS($A$2:$A$200,$A56,$D$2:$D$200,"*novo*",$N$2:$N$200,"C4"))=0,INDEX(posicao_contratual!$Y$2:$Y$200,MATCH($A56,posicao_contratual!$A$2:$A$200,0))=0),0,"")),"")</f>
        <v/>
      </c>
    </row>
    <row r="57" spans="1:15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IF(OR($A57="",$C57=""),"",IF(OR(($O57)="",($O57)&gt;(MIN(MATCH($C57,{"C0","C1","C2","C3","C4"},0)-1,COUNT(parametros!$F$2:$F$6)-1)),NOT(ISNUMBER(INDEX(parametros!$F$2:$F$6,(MIN(MATCH($C57,{"C0","C1","C2","C3","C4"},0)-1,COUNT(parametros!$F$2:$F$6)-1))+1))),NOT(ISNUMBER(INDEX(parametros!$F$2:$F$6,($O57)+1)))),"",INDEX(parametros!$F$2:$F$6,(MIN(MATCH($C57,{"C0","C1","C2","C3","C4"},0)-1,COUNT(parametros!$F$2:$F$6)-1))+1)/INDEX(parametros!$F$2:$F$6,($O57)+1))),"")</f>
        <v/>
      </c>
      <c r="J57" s="107" t="str">
        <f>IF(OR(L57="",F57=""),"",IF(UPPER(H57)="SIM",IF(ISNUMBER(I57),ROUND(L57*ROUND(F57*I57,2),2),""),ROUND(L57*F57,2)))</f>
        <v/>
      </c>
      <c r="K57" s="105"/>
      <c r="L57" s="85" t="str">
        <f t="shared" si="3"/>
        <v/>
      </c>
      <c r="M57" s="606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TIPO_INVALIDO",IF(AND(ISNUMBER(SEARCH("NOVO",D57)),OR(INDEX(posicao_contratual!$C$2:$C$200,MATCH(A57,posicao_contratual!$A$2:$A$200,0))&lt;&gt;0,F57="",COUNTIFS($A$2:$A$200,A57,$B$2:$B$200,"&lt;"&amp;B57,$L$2:$L$200,"&gt;0")&gt;0)),"ALERTA: NOVO ITEM INVALIDO - use Acrescimo se o item ja existia; novo item exige QTD_BASE_ORIGINAL 0, VU_ORIGINAL e ser o 1o acrescimo do item.",IF(AND(ISNUMBER(SEARCH("NOVO",D57)),OR(N57="",ISERROR(MATCH(N57,{"C0","C1","C2","C3","C4"},0)))),"ALERTA: BASE_VU_OBRIGATORIA",IF(AND(NOT(ISNUMBER(SEARCH("NOVO",D57))),N57&lt;&gt;""),"ALERTA: BASE_VU_NAO_APLICAVEL",IF(AND(UPPER(H57)="SIM",NOT(ISNUMBER(I57))),"ALERTA: BASE_VU_INVALIDA_OU_POSTERIOR_AO_FATOR_ALVO","OK"))))))))))</f>
        <v/>
      </c>
      <c r="N57" s="608"/>
      <c r="O57" s="610" t="str">
        <f>IFERROR(IF((COUNTIFS($A$2:$A$200,$A57,$D$2:$D$200,"*novo*",$N$2:$N$200,"C0")+COUNTIFS($A$2:$A$200,$A57,$D$2:$D$200,"*novo*",$N$2:$N$200,"C1")+COUNTIFS($A$2:$A$200,$A57,$D$2:$D$200,"*novo*",$N$2:$N$200,"C2")+COUNTIFS($A$2:$A$200,$A57,$D$2:$D$200,"*novo*",$N$2:$N$200,"C3")+COUNTIFS($A$2:$A$200,$A57,$D$2:$D$200,"*novo*",$N$2:$N$200,"C4"))=1,IF(COUNTIFS($A$2:$A$200,$A57,$D$2:$D$200,"*novo*",$N$2:$N$200,"C4")&gt;0,4,IF(COUNTIFS($A$2:$A$200,$A57,$D$2:$D$200,"*novo*",$N$2:$N$200,"C3")&gt;0,3,IF(COUNTIFS($A$2:$A$200,$A57,$D$2:$D$200,"*novo*",$N$2:$N$200,"C2")&gt;0,2,IF(COUNTIFS($A$2:$A$200,$A57,$D$2:$D$200,"*novo*",$N$2:$N$200,"C1")&gt;0,1,IF(COUNTIFS($A$2:$A$200,$A57,$D$2:$D$200,"*novo*",$N$2:$N$200,"C0")&gt;0,0,""))))),IF(AND((COUNTIFS($A$2:$A$200,$A57,$D$2:$D$200,"*novo*",$N$2:$N$200,"C0")+COUNTIFS($A$2:$A$200,$A57,$D$2:$D$200,"*novo*",$N$2:$N$200,"C1")+COUNTIFS($A$2:$A$200,$A57,$D$2:$D$200,"*novo*",$N$2:$N$200,"C2")+COUNTIFS($A$2:$A$200,$A57,$D$2:$D$200,"*novo*",$N$2:$N$200,"C3")+COUNTIFS($A$2:$A$200,$A57,$D$2:$D$200,"*novo*",$N$2:$N$200,"C4"))=0,INDEX(posicao_contratual!$Y$2:$Y$200,MATCH($A57,posicao_contratual!$A$2:$A$200,0))=0),0,"")),"")</f>
        <v/>
      </c>
    </row>
    <row r="58" spans="1:15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IF(OR($A58="",$C58=""),"",IF(OR(($O58)="",($O58)&gt;(MIN(MATCH($C58,{"C0","C1","C2","C3","C4"},0)-1,COUNT(parametros!$F$2:$F$6)-1)),NOT(ISNUMBER(INDEX(parametros!$F$2:$F$6,(MIN(MATCH($C58,{"C0","C1","C2","C3","C4"},0)-1,COUNT(parametros!$F$2:$F$6)-1))+1))),NOT(ISNUMBER(INDEX(parametros!$F$2:$F$6,($O58)+1)))),"",INDEX(parametros!$F$2:$F$6,(MIN(MATCH($C58,{"C0","C1","C2","C3","C4"},0)-1,COUNT(parametros!$F$2:$F$6)-1))+1)/INDEX(parametros!$F$2:$F$6,($O58)+1))),"")</f>
        <v/>
      </c>
      <c r="J58" s="107" t="str">
        <f>IF(OR(L58="",F58=""),"",IF(UPPER(H58)="SIM",IF(ISNUMBER(I58),ROUND(L58*ROUND(F58*I58,2),2),""),ROUND(L58*F58,2)))</f>
        <v/>
      </c>
      <c r="K58" s="105"/>
      <c r="L58" s="85" t="str">
        <f t="shared" si="3"/>
        <v/>
      </c>
      <c r="M58" s="606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TIPO_INVALIDO",IF(AND(ISNUMBER(SEARCH("NOVO",D58)),OR(INDEX(posicao_contratual!$C$2:$C$200,MATCH(A58,posicao_contratual!$A$2:$A$200,0))&lt;&gt;0,F58="",COUNTIFS($A$2:$A$200,A58,$B$2:$B$200,"&lt;"&amp;B58,$L$2:$L$200,"&gt;0")&gt;0)),"ALERTA: NOVO ITEM INVALIDO - use Acrescimo se o item ja existia; novo item exige QTD_BASE_ORIGINAL 0, VU_ORIGINAL e ser o 1o acrescimo do item.",IF(AND(ISNUMBER(SEARCH("NOVO",D58)),OR(N58="",ISERROR(MATCH(N58,{"C0","C1","C2","C3","C4"},0)))),"ALERTA: BASE_VU_OBRIGATORIA",IF(AND(NOT(ISNUMBER(SEARCH("NOVO",D58))),N58&lt;&gt;""),"ALERTA: BASE_VU_NAO_APLICAVEL",IF(AND(UPPER(H58)="SIM",NOT(ISNUMBER(I58))),"ALERTA: BASE_VU_INVALIDA_OU_POSTERIOR_AO_FATOR_ALVO","OK"))))))))))</f>
        <v/>
      </c>
      <c r="N58" s="608"/>
      <c r="O58" s="610" t="str">
        <f>IFERROR(IF((COUNTIFS($A$2:$A$200,$A58,$D$2:$D$200,"*novo*",$N$2:$N$200,"C0")+COUNTIFS($A$2:$A$200,$A58,$D$2:$D$200,"*novo*",$N$2:$N$200,"C1")+COUNTIFS($A$2:$A$200,$A58,$D$2:$D$200,"*novo*",$N$2:$N$200,"C2")+COUNTIFS($A$2:$A$200,$A58,$D$2:$D$200,"*novo*",$N$2:$N$200,"C3")+COUNTIFS($A$2:$A$200,$A58,$D$2:$D$200,"*novo*",$N$2:$N$200,"C4"))=1,IF(COUNTIFS($A$2:$A$200,$A58,$D$2:$D$200,"*novo*",$N$2:$N$200,"C4")&gt;0,4,IF(COUNTIFS($A$2:$A$200,$A58,$D$2:$D$200,"*novo*",$N$2:$N$200,"C3")&gt;0,3,IF(COUNTIFS($A$2:$A$200,$A58,$D$2:$D$200,"*novo*",$N$2:$N$200,"C2")&gt;0,2,IF(COUNTIFS($A$2:$A$200,$A58,$D$2:$D$200,"*novo*",$N$2:$N$200,"C1")&gt;0,1,IF(COUNTIFS($A$2:$A$200,$A58,$D$2:$D$200,"*novo*",$N$2:$N$200,"C0")&gt;0,0,""))))),IF(AND((COUNTIFS($A$2:$A$200,$A58,$D$2:$D$200,"*novo*",$N$2:$N$200,"C0")+COUNTIFS($A$2:$A$200,$A58,$D$2:$D$200,"*novo*",$N$2:$N$200,"C1")+COUNTIFS($A$2:$A$200,$A58,$D$2:$D$200,"*novo*",$N$2:$N$200,"C2")+COUNTIFS($A$2:$A$200,$A58,$D$2:$D$200,"*novo*",$N$2:$N$200,"C3")+COUNTIFS($A$2:$A$200,$A58,$D$2:$D$200,"*novo*",$N$2:$N$200,"C4"))=0,INDEX(posicao_contratual!$Y$2:$Y$200,MATCH($A58,posicao_contratual!$A$2:$A$200,0))=0),0,"")),"")</f>
        <v/>
      </c>
    </row>
    <row r="59" spans="1:15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IF(OR($A59="",$C59=""),"",IF(OR(($O59)="",($O59)&gt;(MIN(MATCH($C59,{"C0","C1","C2","C3","C4"},0)-1,COUNT(parametros!$F$2:$F$6)-1)),NOT(ISNUMBER(INDEX(parametros!$F$2:$F$6,(MIN(MATCH($C59,{"C0","C1","C2","C3","C4"},0)-1,COUNT(parametros!$F$2:$F$6)-1))+1))),NOT(ISNUMBER(INDEX(parametros!$F$2:$F$6,($O59)+1)))),"",INDEX(parametros!$F$2:$F$6,(MIN(MATCH($C59,{"C0","C1","C2","C3","C4"},0)-1,COUNT(parametros!$F$2:$F$6)-1))+1)/INDEX(parametros!$F$2:$F$6,($O59)+1))),"")</f>
        <v/>
      </c>
      <c r="J59" s="107" t="str">
        <f>IF(OR(L59="",F59=""),"",IF(UPPER(H59)="SIM",IF(ISNUMBER(I59),ROUND(L59*ROUND(F59*I59,2),2),""),ROUND(L59*F59,2)))</f>
        <v/>
      </c>
      <c r="K59" s="105"/>
      <c r="L59" s="85" t="str">
        <f t="shared" si="3"/>
        <v/>
      </c>
      <c r="M59" s="606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TIPO_INVALIDO",IF(AND(ISNUMBER(SEARCH("NOVO",D59)),OR(INDEX(posicao_contratual!$C$2:$C$200,MATCH(A59,posicao_contratual!$A$2:$A$200,0))&lt;&gt;0,F59="",COUNTIFS($A$2:$A$200,A59,$B$2:$B$200,"&lt;"&amp;B59,$L$2:$L$200,"&gt;0")&gt;0)),"ALERTA: NOVO ITEM INVALIDO - use Acrescimo se o item ja existia; novo item exige QTD_BASE_ORIGINAL 0, VU_ORIGINAL e ser o 1o acrescimo do item.",IF(AND(ISNUMBER(SEARCH("NOVO",D59)),OR(N59="",ISERROR(MATCH(N59,{"C0","C1","C2","C3","C4"},0)))),"ALERTA: BASE_VU_OBRIGATORIA",IF(AND(NOT(ISNUMBER(SEARCH("NOVO",D59))),N59&lt;&gt;""),"ALERTA: BASE_VU_NAO_APLICAVEL",IF(AND(UPPER(H59)="SIM",NOT(ISNUMBER(I59))),"ALERTA: BASE_VU_INVALIDA_OU_POSTERIOR_AO_FATOR_ALVO","OK"))))))))))</f>
        <v/>
      </c>
      <c r="N59" s="608"/>
      <c r="O59" s="610" t="str">
        <f>IFERROR(IF((COUNTIFS($A$2:$A$200,$A59,$D$2:$D$200,"*novo*",$N$2:$N$200,"C0")+COUNTIFS($A$2:$A$200,$A59,$D$2:$D$200,"*novo*",$N$2:$N$200,"C1")+COUNTIFS($A$2:$A$200,$A59,$D$2:$D$200,"*novo*",$N$2:$N$200,"C2")+COUNTIFS($A$2:$A$200,$A59,$D$2:$D$200,"*novo*",$N$2:$N$200,"C3")+COUNTIFS($A$2:$A$200,$A59,$D$2:$D$200,"*novo*",$N$2:$N$200,"C4"))=1,IF(COUNTIFS($A$2:$A$200,$A59,$D$2:$D$200,"*novo*",$N$2:$N$200,"C4")&gt;0,4,IF(COUNTIFS($A$2:$A$200,$A59,$D$2:$D$200,"*novo*",$N$2:$N$200,"C3")&gt;0,3,IF(COUNTIFS($A$2:$A$200,$A59,$D$2:$D$200,"*novo*",$N$2:$N$200,"C2")&gt;0,2,IF(COUNTIFS($A$2:$A$200,$A59,$D$2:$D$200,"*novo*",$N$2:$N$200,"C1")&gt;0,1,IF(COUNTIFS($A$2:$A$200,$A59,$D$2:$D$200,"*novo*",$N$2:$N$200,"C0")&gt;0,0,""))))),IF(AND((COUNTIFS($A$2:$A$200,$A59,$D$2:$D$200,"*novo*",$N$2:$N$200,"C0")+COUNTIFS($A$2:$A$200,$A59,$D$2:$D$200,"*novo*",$N$2:$N$200,"C1")+COUNTIFS($A$2:$A$200,$A59,$D$2:$D$200,"*novo*",$N$2:$N$200,"C2")+COUNTIFS($A$2:$A$200,$A59,$D$2:$D$200,"*novo*",$N$2:$N$200,"C3")+COUNTIFS($A$2:$A$200,$A59,$D$2:$D$200,"*novo*",$N$2:$N$200,"C4"))=0,INDEX(posicao_contratual!$Y$2:$Y$200,MATCH($A59,posicao_contratual!$A$2:$A$200,0))=0),0,"")),"")</f>
        <v/>
      </c>
    </row>
    <row r="60" spans="1:15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IF(OR($A60="",$C60=""),"",IF(OR(($O60)="",($O60)&gt;(MIN(MATCH($C60,{"C0","C1","C2","C3","C4"},0)-1,COUNT(parametros!$F$2:$F$6)-1)),NOT(ISNUMBER(INDEX(parametros!$F$2:$F$6,(MIN(MATCH($C60,{"C0","C1","C2","C3","C4"},0)-1,COUNT(parametros!$F$2:$F$6)-1))+1))),NOT(ISNUMBER(INDEX(parametros!$F$2:$F$6,($O60)+1)))),"",INDEX(parametros!$F$2:$F$6,(MIN(MATCH($C60,{"C0","C1","C2","C3","C4"},0)-1,COUNT(parametros!$F$2:$F$6)-1))+1)/INDEX(parametros!$F$2:$F$6,($O60)+1))),"")</f>
        <v/>
      </c>
      <c r="J60" s="107" t="str">
        <f>IF(OR(L60="",F60=""),"",IF(UPPER(H60)="SIM",IF(ISNUMBER(I60),ROUND(L60*ROUND(F60*I60,2),2),""),ROUND(L60*F60,2)))</f>
        <v/>
      </c>
      <c r="K60" s="105"/>
      <c r="L60" s="85" t="str">
        <f t="shared" si="3"/>
        <v/>
      </c>
      <c r="M60" s="606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TIPO_INVALIDO",IF(AND(ISNUMBER(SEARCH("NOVO",D60)),OR(INDEX(posicao_contratual!$C$2:$C$200,MATCH(A60,posicao_contratual!$A$2:$A$200,0))&lt;&gt;0,F60="",COUNTIFS($A$2:$A$200,A60,$B$2:$B$200,"&lt;"&amp;B60,$L$2:$L$200,"&gt;0")&gt;0)),"ALERTA: NOVO ITEM INVALIDO - use Acrescimo se o item ja existia; novo item exige QTD_BASE_ORIGINAL 0, VU_ORIGINAL e ser o 1o acrescimo do item.",IF(AND(ISNUMBER(SEARCH("NOVO",D60)),OR(N60="",ISERROR(MATCH(N60,{"C0","C1","C2","C3","C4"},0)))),"ALERTA: BASE_VU_OBRIGATORIA",IF(AND(NOT(ISNUMBER(SEARCH("NOVO",D60))),N60&lt;&gt;""),"ALERTA: BASE_VU_NAO_APLICAVEL",IF(AND(UPPER(H60)="SIM",NOT(ISNUMBER(I60))),"ALERTA: BASE_VU_INVALIDA_OU_POSTERIOR_AO_FATOR_ALVO","OK"))))))))))</f>
        <v/>
      </c>
      <c r="N60" s="608"/>
      <c r="O60" s="610" t="str">
        <f>IFERROR(IF((COUNTIFS($A$2:$A$200,$A60,$D$2:$D$200,"*novo*",$N$2:$N$200,"C0")+COUNTIFS($A$2:$A$200,$A60,$D$2:$D$200,"*novo*",$N$2:$N$200,"C1")+COUNTIFS($A$2:$A$200,$A60,$D$2:$D$200,"*novo*",$N$2:$N$200,"C2")+COUNTIFS($A$2:$A$200,$A60,$D$2:$D$200,"*novo*",$N$2:$N$200,"C3")+COUNTIFS($A$2:$A$200,$A60,$D$2:$D$200,"*novo*",$N$2:$N$200,"C4"))=1,IF(COUNTIFS($A$2:$A$200,$A60,$D$2:$D$200,"*novo*",$N$2:$N$200,"C4")&gt;0,4,IF(COUNTIFS($A$2:$A$200,$A60,$D$2:$D$200,"*novo*",$N$2:$N$200,"C3")&gt;0,3,IF(COUNTIFS($A$2:$A$200,$A60,$D$2:$D$200,"*novo*",$N$2:$N$200,"C2")&gt;0,2,IF(COUNTIFS($A$2:$A$200,$A60,$D$2:$D$200,"*novo*",$N$2:$N$200,"C1")&gt;0,1,IF(COUNTIFS($A$2:$A$200,$A60,$D$2:$D$200,"*novo*",$N$2:$N$200,"C0")&gt;0,0,""))))),IF(AND((COUNTIFS($A$2:$A$200,$A60,$D$2:$D$200,"*novo*",$N$2:$N$200,"C0")+COUNTIFS($A$2:$A$200,$A60,$D$2:$D$200,"*novo*",$N$2:$N$200,"C1")+COUNTIFS($A$2:$A$200,$A60,$D$2:$D$200,"*novo*",$N$2:$N$200,"C2")+COUNTIFS($A$2:$A$200,$A60,$D$2:$D$200,"*novo*",$N$2:$N$200,"C3")+COUNTIFS($A$2:$A$200,$A60,$D$2:$D$200,"*novo*",$N$2:$N$200,"C4"))=0,INDEX(posicao_contratual!$Y$2:$Y$200,MATCH($A60,posicao_contratual!$A$2:$A$200,0))=0),0,"")),"")</f>
        <v/>
      </c>
    </row>
    <row r="61" spans="1:15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IF(OR($A61="",$C61=""),"",IF(OR(($O61)="",($O61)&gt;(MIN(MATCH($C61,{"C0","C1","C2","C3","C4"},0)-1,COUNT(parametros!$F$2:$F$6)-1)),NOT(ISNUMBER(INDEX(parametros!$F$2:$F$6,(MIN(MATCH($C61,{"C0","C1","C2","C3","C4"},0)-1,COUNT(parametros!$F$2:$F$6)-1))+1))),NOT(ISNUMBER(INDEX(parametros!$F$2:$F$6,($O61)+1)))),"",INDEX(parametros!$F$2:$F$6,(MIN(MATCH($C61,{"C0","C1","C2","C3","C4"},0)-1,COUNT(parametros!$F$2:$F$6)-1))+1)/INDEX(parametros!$F$2:$F$6,($O61)+1))),"")</f>
        <v/>
      </c>
      <c r="J61" s="107" t="str">
        <f>IF(OR(L61="",F61=""),"",IF(UPPER(H61)="SIM",IF(ISNUMBER(I61),ROUND(L61*ROUND(F61*I61,2),2),""),ROUND(L61*F61,2)))</f>
        <v/>
      </c>
      <c r="K61" s="105"/>
      <c r="L61" s="85" t="str">
        <f t="shared" si="3"/>
        <v/>
      </c>
      <c r="M61" s="606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TIPO_INVALIDO",IF(AND(ISNUMBER(SEARCH("NOVO",D61)),OR(INDEX(posicao_contratual!$C$2:$C$200,MATCH(A61,posicao_contratual!$A$2:$A$200,0))&lt;&gt;0,F61="",COUNTIFS($A$2:$A$200,A61,$B$2:$B$200,"&lt;"&amp;B61,$L$2:$L$200,"&gt;0")&gt;0)),"ALERTA: NOVO ITEM INVALIDO - use Acrescimo se o item ja existia; novo item exige QTD_BASE_ORIGINAL 0, VU_ORIGINAL e ser o 1o acrescimo do item.",IF(AND(ISNUMBER(SEARCH("NOVO",D61)),OR(N61="",ISERROR(MATCH(N61,{"C0","C1","C2","C3","C4"},0)))),"ALERTA: BASE_VU_OBRIGATORIA",IF(AND(NOT(ISNUMBER(SEARCH("NOVO",D61))),N61&lt;&gt;""),"ALERTA: BASE_VU_NAO_APLICAVEL",IF(AND(UPPER(H61)="SIM",NOT(ISNUMBER(I61))),"ALERTA: BASE_VU_INVALIDA_OU_POSTERIOR_AO_FATOR_ALVO","OK"))))))))))</f>
        <v/>
      </c>
      <c r="N61" s="608"/>
      <c r="O61" s="610" t="str">
        <f>IFERROR(IF((COUNTIFS($A$2:$A$200,$A61,$D$2:$D$200,"*novo*",$N$2:$N$200,"C0")+COUNTIFS($A$2:$A$200,$A61,$D$2:$D$200,"*novo*",$N$2:$N$200,"C1")+COUNTIFS($A$2:$A$200,$A61,$D$2:$D$200,"*novo*",$N$2:$N$200,"C2")+COUNTIFS($A$2:$A$200,$A61,$D$2:$D$200,"*novo*",$N$2:$N$200,"C3")+COUNTIFS($A$2:$A$200,$A61,$D$2:$D$200,"*novo*",$N$2:$N$200,"C4"))=1,IF(COUNTIFS($A$2:$A$200,$A61,$D$2:$D$200,"*novo*",$N$2:$N$200,"C4")&gt;0,4,IF(COUNTIFS($A$2:$A$200,$A61,$D$2:$D$200,"*novo*",$N$2:$N$200,"C3")&gt;0,3,IF(COUNTIFS($A$2:$A$200,$A61,$D$2:$D$200,"*novo*",$N$2:$N$200,"C2")&gt;0,2,IF(COUNTIFS($A$2:$A$200,$A61,$D$2:$D$200,"*novo*",$N$2:$N$200,"C1")&gt;0,1,IF(COUNTIFS($A$2:$A$200,$A61,$D$2:$D$200,"*novo*",$N$2:$N$200,"C0")&gt;0,0,""))))),IF(AND((COUNTIFS($A$2:$A$200,$A61,$D$2:$D$200,"*novo*",$N$2:$N$200,"C0")+COUNTIFS($A$2:$A$200,$A61,$D$2:$D$200,"*novo*",$N$2:$N$200,"C1")+COUNTIFS($A$2:$A$200,$A61,$D$2:$D$200,"*novo*",$N$2:$N$200,"C2")+COUNTIFS($A$2:$A$200,$A61,$D$2:$D$200,"*novo*",$N$2:$N$200,"C3")+COUNTIFS($A$2:$A$200,$A61,$D$2:$D$200,"*novo*",$N$2:$N$200,"C4"))=0,INDEX(posicao_contratual!$Y$2:$Y$200,MATCH($A61,posicao_contratual!$A$2:$A$200,0))=0),0,"")),"")</f>
        <v/>
      </c>
    </row>
    <row r="62" spans="1:15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IF(OR($A62="",$C62=""),"",IF(OR(($O62)="",($O62)&gt;(MIN(MATCH($C62,{"C0","C1","C2","C3","C4"},0)-1,COUNT(parametros!$F$2:$F$6)-1)),NOT(ISNUMBER(INDEX(parametros!$F$2:$F$6,(MIN(MATCH($C62,{"C0","C1","C2","C3","C4"},0)-1,COUNT(parametros!$F$2:$F$6)-1))+1))),NOT(ISNUMBER(INDEX(parametros!$F$2:$F$6,($O62)+1)))),"",INDEX(parametros!$F$2:$F$6,(MIN(MATCH($C62,{"C0","C1","C2","C3","C4"},0)-1,COUNT(parametros!$F$2:$F$6)-1))+1)/INDEX(parametros!$F$2:$F$6,($O62)+1))),"")</f>
        <v/>
      </c>
      <c r="J62" s="107" t="str">
        <f>IF(OR(L62="",F62=""),"",IF(UPPER(H62)="SIM",IF(ISNUMBER(I62),ROUND(L62*ROUND(F62*I62,2),2),""),ROUND(L62*F62,2)))</f>
        <v/>
      </c>
      <c r="K62" s="105"/>
      <c r="L62" s="85" t="str">
        <f t="shared" si="3"/>
        <v/>
      </c>
      <c r="M62" s="606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TIPO_INVALIDO",IF(AND(ISNUMBER(SEARCH("NOVO",D62)),OR(INDEX(posicao_contratual!$C$2:$C$200,MATCH(A62,posicao_contratual!$A$2:$A$200,0))&lt;&gt;0,F62="",COUNTIFS($A$2:$A$200,A62,$B$2:$B$200,"&lt;"&amp;B62,$L$2:$L$200,"&gt;0")&gt;0)),"ALERTA: NOVO ITEM INVALIDO - use Acrescimo se o item ja existia; novo item exige QTD_BASE_ORIGINAL 0, VU_ORIGINAL e ser o 1o acrescimo do item.",IF(AND(ISNUMBER(SEARCH("NOVO",D62)),OR(N62="",ISERROR(MATCH(N62,{"C0","C1","C2","C3","C4"},0)))),"ALERTA: BASE_VU_OBRIGATORIA",IF(AND(NOT(ISNUMBER(SEARCH("NOVO",D62))),N62&lt;&gt;""),"ALERTA: BASE_VU_NAO_APLICAVEL",IF(AND(UPPER(H62)="SIM",NOT(ISNUMBER(I62))),"ALERTA: BASE_VU_INVALIDA_OU_POSTERIOR_AO_FATOR_ALVO","OK"))))))))))</f>
        <v/>
      </c>
      <c r="N62" s="608"/>
      <c r="O62" s="610" t="str">
        <f>IFERROR(IF((COUNTIFS($A$2:$A$200,$A62,$D$2:$D$200,"*novo*",$N$2:$N$200,"C0")+COUNTIFS($A$2:$A$200,$A62,$D$2:$D$200,"*novo*",$N$2:$N$200,"C1")+COUNTIFS($A$2:$A$200,$A62,$D$2:$D$200,"*novo*",$N$2:$N$200,"C2")+COUNTIFS($A$2:$A$200,$A62,$D$2:$D$200,"*novo*",$N$2:$N$200,"C3")+COUNTIFS($A$2:$A$200,$A62,$D$2:$D$200,"*novo*",$N$2:$N$200,"C4"))=1,IF(COUNTIFS($A$2:$A$200,$A62,$D$2:$D$200,"*novo*",$N$2:$N$200,"C4")&gt;0,4,IF(COUNTIFS($A$2:$A$200,$A62,$D$2:$D$200,"*novo*",$N$2:$N$200,"C3")&gt;0,3,IF(COUNTIFS($A$2:$A$200,$A62,$D$2:$D$200,"*novo*",$N$2:$N$200,"C2")&gt;0,2,IF(COUNTIFS($A$2:$A$200,$A62,$D$2:$D$200,"*novo*",$N$2:$N$200,"C1")&gt;0,1,IF(COUNTIFS($A$2:$A$200,$A62,$D$2:$D$200,"*novo*",$N$2:$N$200,"C0")&gt;0,0,""))))),IF(AND((COUNTIFS($A$2:$A$200,$A62,$D$2:$D$200,"*novo*",$N$2:$N$200,"C0")+COUNTIFS($A$2:$A$200,$A62,$D$2:$D$200,"*novo*",$N$2:$N$200,"C1")+COUNTIFS($A$2:$A$200,$A62,$D$2:$D$200,"*novo*",$N$2:$N$200,"C2")+COUNTIFS($A$2:$A$200,$A62,$D$2:$D$200,"*novo*",$N$2:$N$200,"C3")+COUNTIFS($A$2:$A$200,$A62,$D$2:$D$200,"*novo*",$N$2:$N$200,"C4"))=0,INDEX(posicao_contratual!$Y$2:$Y$200,MATCH($A62,posicao_contratual!$A$2:$A$200,0))=0),0,"")),"")</f>
        <v/>
      </c>
    </row>
    <row r="63" spans="1:15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IF(OR($A63="",$C63=""),"",IF(OR(($O63)="",($O63)&gt;(MIN(MATCH($C63,{"C0","C1","C2","C3","C4"},0)-1,COUNT(parametros!$F$2:$F$6)-1)),NOT(ISNUMBER(INDEX(parametros!$F$2:$F$6,(MIN(MATCH($C63,{"C0","C1","C2","C3","C4"},0)-1,COUNT(parametros!$F$2:$F$6)-1))+1))),NOT(ISNUMBER(INDEX(parametros!$F$2:$F$6,($O63)+1)))),"",INDEX(parametros!$F$2:$F$6,(MIN(MATCH($C63,{"C0","C1","C2","C3","C4"},0)-1,COUNT(parametros!$F$2:$F$6)-1))+1)/INDEX(parametros!$F$2:$F$6,($O63)+1))),"")</f>
        <v/>
      </c>
      <c r="J63" s="107" t="str">
        <f>IF(OR(L63="",F63=""),"",IF(UPPER(H63)="SIM",IF(ISNUMBER(I63),ROUND(L63*ROUND(F63*I63,2),2),""),ROUND(L63*F63,2)))</f>
        <v/>
      </c>
      <c r="K63" s="105"/>
      <c r="L63" s="85" t="str">
        <f t="shared" si="3"/>
        <v/>
      </c>
      <c r="M63" s="606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TIPO_INVALIDO",IF(AND(ISNUMBER(SEARCH("NOVO",D63)),OR(INDEX(posicao_contratual!$C$2:$C$200,MATCH(A63,posicao_contratual!$A$2:$A$200,0))&lt;&gt;0,F63="",COUNTIFS($A$2:$A$200,A63,$B$2:$B$200,"&lt;"&amp;B63,$L$2:$L$200,"&gt;0")&gt;0)),"ALERTA: NOVO ITEM INVALIDO - use Acrescimo se o item ja existia; novo item exige QTD_BASE_ORIGINAL 0, VU_ORIGINAL e ser o 1o acrescimo do item.",IF(AND(ISNUMBER(SEARCH("NOVO",D63)),OR(N63="",ISERROR(MATCH(N63,{"C0","C1","C2","C3","C4"},0)))),"ALERTA: BASE_VU_OBRIGATORIA",IF(AND(NOT(ISNUMBER(SEARCH("NOVO",D63))),N63&lt;&gt;""),"ALERTA: BASE_VU_NAO_APLICAVEL",IF(AND(UPPER(H63)="SIM",NOT(ISNUMBER(I63))),"ALERTA: BASE_VU_INVALIDA_OU_POSTERIOR_AO_FATOR_ALVO","OK"))))))))))</f>
        <v/>
      </c>
      <c r="N63" s="608"/>
      <c r="O63" s="610" t="str">
        <f>IFERROR(IF((COUNTIFS($A$2:$A$200,$A63,$D$2:$D$200,"*novo*",$N$2:$N$200,"C0")+COUNTIFS($A$2:$A$200,$A63,$D$2:$D$200,"*novo*",$N$2:$N$200,"C1")+COUNTIFS($A$2:$A$200,$A63,$D$2:$D$200,"*novo*",$N$2:$N$200,"C2")+COUNTIFS($A$2:$A$200,$A63,$D$2:$D$200,"*novo*",$N$2:$N$200,"C3")+COUNTIFS($A$2:$A$200,$A63,$D$2:$D$200,"*novo*",$N$2:$N$200,"C4"))=1,IF(COUNTIFS($A$2:$A$200,$A63,$D$2:$D$200,"*novo*",$N$2:$N$200,"C4")&gt;0,4,IF(COUNTIFS($A$2:$A$200,$A63,$D$2:$D$200,"*novo*",$N$2:$N$200,"C3")&gt;0,3,IF(COUNTIFS($A$2:$A$200,$A63,$D$2:$D$200,"*novo*",$N$2:$N$200,"C2")&gt;0,2,IF(COUNTIFS($A$2:$A$200,$A63,$D$2:$D$200,"*novo*",$N$2:$N$200,"C1")&gt;0,1,IF(COUNTIFS($A$2:$A$200,$A63,$D$2:$D$200,"*novo*",$N$2:$N$200,"C0")&gt;0,0,""))))),IF(AND((COUNTIFS($A$2:$A$200,$A63,$D$2:$D$200,"*novo*",$N$2:$N$200,"C0")+COUNTIFS($A$2:$A$200,$A63,$D$2:$D$200,"*novo*",$N$2:$N$200,"C1")+COUNTIFS($A$2:$A$200,$A63,$D$2:$D$200,"*novo*",$N$2:$N$200,"C2")+COUNTIFS($A$2:$A$200,$A63,$D$2:$D$200,"*novo*",$N$2:$N$200,"C3")+COUNTIFS($A$2:$A$200,$A63,$D$2:$D$200,"*novo*",$N$2:$N$200,"C4"))=0,INDEX(posicao_contratual!$Y$2:$Y$200,MATCH($A63,posicao_contratual!$A$2:$A$200,0))=0),0,"")),"")</f>
        <v/>
      </c>
    </row>
    <row r="64" spans="1:15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IF(OR($A64="",$C64=""),"",IF(OR(($O64)="",($O64)&gt;(MIN(MATCH($C64,{"C0","C1","C2","C3","C4"},0)-1,COUNT(parametros!$F$2:$F$6)-1)),NOT(ISNUMBER(INDEX(parametros!$F$2:$F$6,(MIN(MATCH($C64,{"C0","C1","C2","C3","C4"},0)-1,COUNT(parametros!$F$2:$F$6)-1))+1))),NOT(ISNUMBER(INDEX(parametros!$F$2:$F$6,($O64)+1)))),"",INDEX(parametros!$F$2:$F$6,(MIN(MATCH($C64,{"C0","C1","C2","C3","C4"},0)-1,COUNT(parametros!$F$2:$F$6)-1))+1)/INDEX(parametros!$F$2:$F$6,($O64)+1))),"")</f>
        <v/>
      </c>
      <c r="J64" s="107" t="str">
        <f>IF(OR(L64="",F64=""),"",IF(UPPER(H64)="SIM",IF(ISNUMBER(I64),ROUND(L64*ROUND(F64*I64,2),2),""),ROUND(L64*F64,2)))</f>
        <v/>
      </c>
      <c r="K64" s="105"/>
      <c r="L64" s="85" t="str">
        <f t="shared" si="3"/>
        <v/>
      </c>
      <c r="M64" s="606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TIPO_INVALIDO",IF(AND(ISNUMBER(SEARCH("NOVO",D64)),OR(INDEX(posicao_contratual!$C$2:$C$200,MATCH(A64,posicao_contratual!$A$2:$A$200,0))&lt;&gt;0,F64="",COUNTIFS($A$2:$A$200,A64,$B$2:$B$200,"&lt;"&amp;B64,$L$2:$L$200,"&gt;0")&gt;0)),"ALERTA: NOVO ITEM INVALIDO - use Acrescimo se o item ja existia; novo item exige QTD_BASE_ORIGINAL 0, VU_ORIGINAL e ser o 1o acrescimo do item.",IF(AND(ISNUMBER(SEARCH("NOVO",D64)),OR(N64="",ISERROR(MATCH(N64,{"C0","C1","C2","C3","C4"},0)))),"ALERTA: BASE_VU_OBRIGATORIA",IF(AND(NOT(ISNUMBER(SEARCH("NOVO",D64))),N64&lt;&gt;""),"ALERTA: BASE_VU_NAO_APLICAVEL",IF(AND(UPPER(H64)="SIM",NOT(ISNUMBER(I64))),"ALERTA: BASE_VU_INVALIDA_OU_POSTERIOR_AO_FATOR_ALVO","OK"))))))))))</f>
        <v/>
      </c>
      <c r="N64" s="608"/>
      <c r="O64" s="610" t="str">
        <f>IFERROR(IF((COUNTIFS($A$2:$A$200,$A64,$D$2:$D$200,"*novo*",$N$2:$N$200,"C0")+COUNTIFS($A$2:$A$200,$A64,$D$2:$D$200,"*novo*",$N$2:$N$200,"C1")+COUNTIFS($A$2:$A$200,$A64,$D$2:$D$200,"*novo*",$N$2:$N$200,"C2")+COUNTIFS($A$2:$A$200,$A64,$D$2:$D$200,"*novo*",$N$2:$N$200,"C3")+COUNTIFS($A$2:$A$200,$A64,$D$2:$D$200,"*novo*",$N$2:$N$200,"C4"))=1,IF(COUNTIFS($A$2:$A$200,$A64,$D$2:$D$200,"*novo*",$N$2:$N$200,"C4")&gt;0,4,IF(COUNTIFS($A$2:$A$200,$A64,$D$2:$D$200,"*novo*",$N$2:$N$200,"C3")&gt;0,3,IF(COUNTIFS($A$2:$A$200,$A64,$D$2:$D$200,"*novo*",$N$2:$N$200,"C2")&gt;0,2,IF(COUNTIFS($A$2:$A$200,$A64,$D$2:$D$200,"*novo*",$N$2:$N$200,"C1")&gt;0,1,IF(COUNTIFS($A$2:$A$200,$A64,$D$2:$D$200,"*novo*",$N$2:$N$200,"C0")&gt;0,0,""))))),IF(AND((COUNTIFS($A$2:$A$200,$A64,$D$2:$D$200,"*novo*",$N$2:$N$200,"C0")+COUNTIFS($A$2:$A$200,$A64,$D$2:$D$200,"*novo*",$N$2:$N$200,"C1")+COUNTIFS($A$2:$A$200,$A64,$D$2:$D$200,"*novo*",$N$2:$N$200,"C2")+COUNTIFS($A$2:$A$200,$A64,$D$2:$D$200,"*novo*",$N$2:$N$200,"C3")+COUNTIFS($A$2:$A$200,$A64,$D$2:$D$200,"*novo*",$N$2:$N$200,"C4"))=0,INDEX(posicao_contratual!$Y$2:$Y$200,MATCH($A64,posicao_contratual!$A$2:$A$200,0))=0),0,"")),"")</f>
        <v/>
      </c>
    </row>
    <row r="65" spans="1:15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IF(OR($A65="",$C65=""),"",IF(OR(($O65)="",($O65)&gt;(MIN(MATCH($C65,{"C0","C1","C2","C3","C4"},0)-1,COUNT(parametros!$F$2:$F$6)-1)),NOT(ISNUMBER(INDEX(parametros!$F$2:$F$6,(MIN(MATCH($C65,{"C0","C1","C2","C3","C4"},0)-1,COUNT(parametros!$F$2:$F$6)-1))+1))),NOT(ISNUMBER(INDEX(parametros!$F$2:$F$6,($O65)+1)))),"",INDEX(parametros!$F$2:$F$6,(MIN(MATCH($C65,{"C0","C1","C2","C3","C4"},0)-1,COUNT(parametros!$F$2:$F$6)-1))+1)/INDEX(parametros!$F$2:$F$6,($O65)+1))),"")</f>
        <v/>
      </c>
      <c r="J65" s="107" t="str">
        <f>IF(OR(L65="",F65=""),"",IF(UPPER(H65)="SIM",IF(ISNUMBER(I65),ROUND(L65*ROUND(F65*I65,2),2),""),ROUND(L65*F65,2)))</f>
        <v/>
      </c>
      <c r="K65" s="105"/>
      <c r="L65" s="85" t="str">
        <f t="shared" si="3"/>
        <v/>
      </c>
      <c r="M65" s="606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TIPO_INVALIDO",IF(AND(ISNUMBER(SEARCH("NOVO",D65)),OR(INDEX(posicao_contratual!$C$2:$C$200,MATCH(A65,posicao_contratual!$A$2:$A$200,0))&lt;&gt;0,F65="",COUNTIFS($A$2:$A$200,A65,$B$2:$B$200,"&lt;"&amp;B65,$L$2:$L$200,"&gt;0")&gt;0)),"ALERTA: NOVO ITEM INVALIDO - use Acrescimo se o item ja existia; novo item exige QTD_BASE_ORIGINAL 0, VU_ORIGINAL e ser o 1o acrescimo do item.",IF(AND(ISNUMBER(SEARCH("NOVO",D65)),OR(N65="",ISERROR(MATCH(N65,{"C0","C1","C2","C3","C4"},0)))),"ALERTA: BASE_VU_OBRIGATORIA",IF(AND(NOT(ISNUMBER(SEARCH("NOVO",D65))),N65&lt;&gt;""),"ALERTA: BASE_VU_NAO_APLICAVEL",IF(AND(UPPER(H65)="SIM",NOT(ISNUMBER(I65))),"ALERTA: BASE_VU_INVALIDA_OU_POSTERIOR_AO_FATOR_ALVO","OK"))))))))))</f>
        <v/>
      </c>
      <c r="N65" s="608"/>
      <c r="O65" s="610" t="str">
        <f>IFERROR(IF((COUNTIFS($A$2:$A$200,$A65,$D$2:$D$200,"*novo*",$N$2:$N$200,"C0")+COUNTIFS($A$2:$A$200,$A65,$D$2:$D$200,"*novo*",$N$2:$N$200,"C1")+COUNTIFS($A$2:$A$200,$A65,$D$2:$D$200,"*novo*",$N$2:$N$200,"C2")+COUNTIFS($A$2:$A$200,$A65,$D$2:$D$200,"*novo*",$N$2:$N$200,"C3")+COUNTIFS($A$2:$A$200,$A65,$D$2:$D$200,"*novo*",$N$2:$N$200,"C4"))=1,IF(COUNTIFS($A$2:$A$200,$A65,$D$2:$D$200,"*novo*",$N$2:$N$200,"C4")&gt;0,4,IF(COUNTIFS($A$2:$A$200,$A65,$D$2:$D$200,"*novo*",$N$2:$N$200,"C3")&gt;0,3,IF(COUNTIFS($A$2:$A$200,$A65,$D$2:$D$200,"*novo*",$N$2:$N$200,"C2")&gt;0,2,IF(COUNTIFS($A$2:$A$200,$A65,$D$2:$D$200,"*novo*",$N$2:$N$200,"C1")&gt;0,1,IF(COUNTIFS($A$2:$A$200,$A65,$D$2:$D$200,"*novo*",$N$2:$N$200,"C0")&gt;0,0,""))))),IF(AND((COUNTIFS($A$2:$A$200,$A65,$D$2:$D$200,"*novo*",$N$2:$N$200,"C0")+COUNTIFS($A$2:$A$200,$A65,$D$2:$D$200,"*novo*",$N$2:$N$200,"C1")+COUNTIFS($A$2:$A$200,$A65,$D$2:$D$200,"*novo*",$N$2:$N$200,"C2")+COUNTIFS($A$2:$A$200,$A65,$D$2:$D$200,"*novo*",$N$2:$N$200,"C3")+COUNTIFS($A$2:$A$200,$A65,$D$2:$D$200,"*novo*",$N$2:$N$200,"C4"))=0,INDEX(posicao_contratual!$Y$2:$Y$200,MATCH($A65,posicao_contratual!$A$2:$A$200,0))=0),0,"")),"")</f>
        <v/>
      </c>
    </row>
    <row r="66" spans="1:15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IF(OR($A66="",$C66=""),"",IF(OR(($O66)="",($O66)&gt;(MIN(MATCH($C66,{"C0","C1","C2","C3","C4"},0)-1,COUNT(parametros!$F$2:$F$6)-1)),NOT(ISNUMBER(INDEX(parametros!$F$2:$F$6,(MIN(MATCH($C66,{"C0","C1","C2","C3","C4"},0)-1,COUNT(parametros!$F$2:$F$6)-1))+1))),NOT(ISNUMBER(INDEX(parametros!$F$2:$F$6,($O66)+1)))),"",INDEX(parametros!$F$2:$F$6,(MIN(MATCH($C66,{"C0","C1","C2","C3","C4"},0)-1,COUNT(parametros!$F$2:$F$6)-1))+1)/INDEX(parametros!$F$2:$F$6,($O66)+1))),"")</f>
        <v/>
      </c>
      <c r="J66" s="107" t="str">
        <f>IF(OR(L66="",F66=""),"",IF(UPPER(H66)="SIM",IF(ISNUMBER(I66),ROUND(L66*ROUND(F66*I66,2),2),""),ROUND(L66*F66,2)))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606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TIPO_INVALIDO",IF(AND(ISNUMBER(SEARCH("NOVO",D66)),OR(INDEX(posicao_contratual!$C$2:$C$200,MATCH(A66,posicao_contratual!$A$2:$A$200,0))&lt;&gt;0,F66="",COUNTIFS($A$2:$A$200,A66,$B$2:$B$200,"&lt;"&amp;B66,$L$2:$L$200,"&gt;0")&gt;0)),"ALERTA: NOVO ITEM INVALIDO - use Acrescimo se o item ja existia; novo item exige QTD_BASE_ORIGINAL 0, VU_ORIGINAL e ser o 1o acrescimo do item.",IF(AND(ISNUMBER(SEARCH("NOVO",D66)),OR(N66="",ISERROR(MATCH(N66,{"C0","C1","C2","C3","C4"},0)))),"ALERTA: BASE_VU_OBRIGATORIA",IF(AND(NOT(ISNUMBER(SEARCH("NOVO",D66))),N66&lt;&gt;""),"ALERTA: BASE_VU_NAO_APLICAVEL",IF(AND(UPPER(H66)="SIM",NOT(ISNUMBER(I66))),"ALERTA: BASE_VU_INVALIDA_OU_POSTERIOR_AO_FATOR_ALVO","OK"))))))))))</f>
        <v/>
      </c>
      <c r="N66" s="608"/>
      <c r="O66" s="610" t="str">
        <f>IFERROR(IF((COUNTIFS($A$2:$A$200,$A66,$D$2:$D$200,"*novo*",$N$2:$N$200,"C0")+COUNTIFS($A$2:$A$200,$A66,$D$2:$D$200,"*novo*",$N$2:$N$200,"C1")+COUNTIFS($A$2:$A$200,$A66,$D$2:$D$200,"*novo*",$N$2:$N$200,"C2")+COUNTIFS($A$2:$A$200,$A66,$D$2:$D$200,"*novo*",$N$2:$N$200,"C3")+COUNTIFS($A$2:$A$200,$A66,$D$2:$D$200,"*novo*",$N$2:$N$200,"C4"))=1,IF(COUNTIFS($A$2:$A$200,$A66,$D$2:$D$200,"*novo*",$N$2:$N$200,"C4")&gt;0,4,IF(COUNTIFS($A$2:$A$200,$A66,$D$2:$D$200,"*novo*",$N$2:$N$200,"C3")&gt;0,3,IF(COUNTIFS($A$2:$A$200,$A66,$D$2:$D$200,"*novo*",$N$2:$N$200,"C2")&gt;0,2,IF(COUNTIFS($A$2:$A$200,$A66,$D$2:$D$200,"*novo*",$N$2:$N$200,"C1")&gt;0,1,IF(COUNTIFS($A$2:$A$200,$A66,$D$2:$D$200,"*novo*",$N$2:$N$200,"C0")&gt;0,0,""))))),IF(AND((COUNTIFS($A$2:$A$200,$A66,$D$2:$D$200,"*novo*",$N$2:$N$200,"C0")+COUNTIFS($A$2:$A$200,$A66,$D$2:$D$200,"*novo*",$N$2:$N$200,"C1")+COUNTIFS($A$2:$A$200,$A66,$D$2:$D$200,"*novo*",$N$2:$N$200,"C2")+COUNTIFS($A$2:$A$200,$A66,$D$2:$D$200,"*novo*",$N$2:$N$200,"C3")+COUNTIFS($A$2:$A$200,$A66,$D$2:$D$200,"*novo*",$N$2:$N$200,"C4"))=0,INDEX(posicao_contratual!$Y$2:$Y$200,MATCH($A66,posicao_contratual!$A$2:$A$200,0))=0),0,"")),"")</f>
        <v/>
      </c>
    </row>
    <row r="67" spans="1:15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IF(OR($A67="",$C67=""),"",IF(OR(($O67)="",($O67)&gt;(MIN(MATCH($C67,{"C0","C1","C2","C3","C4"},0)-1,COUNT(parametros!$F$2:$F$6)-1)),NOT(ISNUMBER(INDEX(parametros!$F$2:$F$6,(MIN(MATCH($C67,{"C0","C1","C2","C3","C4"},0)-1,COUNT(parametros!$F$2:$F$6)-1))+1))),NOT(ISNUMBER(INDEX(parametros!$F$2:$F$6,($O67)+1)))),"",INDEX(parametros!$F$2:$F$6,(MIN(MATCH($C67,{"C0","C1","C2","C3","C4"},0)-1,COUNT(parametros!$F$2:$F$6)-1))+1)/INDEX(parametros!$F$2:$F$6,($O67)+1))),"")</f>
        <v/>
      </c>
      <c r="J67" s="107" t="str">
        <f>IF(OR(L67="",F67=""),"",IF(UPPER(H67)="SIM",IF(ISNUMBER(I67),ROUND(L67*ROUND(F67*I67,2),2),""),ROUND(L67*F67,2)))</f>
        <v/>
      </c>
      <c r="K67" s="105"/>
      <c r="L67" s="85" t="str">
        <f t="shared" si="5"/>
        <v/>
      </c>
      <c r="M67" s="606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TIPO_INVALIDO",IF(AND(ISNUMBER(SEARCH("NOVO",D67)),OR(INDEX(posicao_contratual!$C$2:$C$200,MATCH(A67,posicao_contratual!$A$2:$A$200,0))&lt;&gt;0,F67="",COUNTIFS($A$2:$A$200,A67,$B$2:$B$200,"&lt;"&amp;B67,$L$2:$L$200,"&gt;0")&gt;0)),"ALERTA: NOVO ITEM INVALIDO - use Acrescimo se o item ja existia; novo item exige QTD_BASE_ORIGINAL 0, VU_ORIGINAL e ser o 1o acrescimo do item.",IF(AND(ISNUMBER(SEARCH("NOVO",D67)),OR(N67="",ISERROR(MATCH(N67,{"C0","C1","C2","C3","C4"},0)))),"ALERTA: BASE_VU_OBRIGATORIA",IF(AND(NOT(ISNUMBER(SEARCH("NOVO",D67))),N67&lt;&gt;""),"ALERTA: BASE_VU_NAO_APLICAVEL",IF(AND(UPPER(H67)="SIM",NOT(ISNUMBER(I67))),"ALERTA: BASE_VU_INVALIDA_OU_POSTERIOR_AO_FATOR_ALVO","OK"))))))))))</f>
        <v/>
      </c>
      <c r="N67" s="608"/>
      <c r="O67" s="610" t="str">
        <f>IFERROR(IF((COUNTIFS($A$2:$A$200,$A67,$D$2:$D$200,"*novo*",$N$2:$N$200,"C0")+COUNTIFS($A$2:$A$200,$A67,$D$2:$D$200,"*novo*",$N$2:$N$200,"C1")+COUNTIFS($A$2:$A$200,$A67,$D$2:$D$200,"*novo*",$N$2:$N$200,"C2")+COUNTIFS($A$2:$A$200,$A67,$D$2:$D$200,"*novo*",$N$2:$N$200,"C3")+COUNTIFS($A$2:$A$200,$A67,$D$2:$D$200,"*novo*",$N$2:$N$200,"C4"))=1,IF(COUNTIFS($A$2:$A$200,$A67,$D$2:$D$200,"*novo*",$N$2:$N$200,"C4")&gt;0,4,IF(COUNTIFS($A$2:$A$200,$A67,$D$2:$D$200,"*novo*",$N$2:$N$200,"C3")&gt;0,3,IF(COUNTIFS($A$2:$A$200,$A67,$D$2:$D$200,"*novo*",$N$2:$N$200,"C2")&gt;0,2,IF(COUNTIFS($A$2:$A$200,$A67,$D$2:$D$200,"*novo*",$N$2:$N$200,"C1")&gt;0,1,IF(COUNTIFS($A$2:$A$200,$A67,$D$2:$D$200,"*novo*",$N$2:$N$200,"C0")&gt;0,0,""))))),IF(AND((COUNTIFS($A$2:$A$200,$A67,$D$2:$D$200,"*novo*",$N$2:$N$200,"C0")+COUNTIFS($A$2:$A$200,$A67,$D$2:$D$200,"*novo*",$N$2:$N$200,"C1")+COUNTIFS($A$2:$A$200,$A67,$D$2:$D$200,"*novo*",$N$2:$N$200,"C2")+COUNTIFS($A$2:$A$200,$A67,$D$2:$D$200,"*novo*",$N$2:$N$200,"C3")+COUNTIFS($A$2:$A$200,$A67,$D$2:$D$200,"*novo*",$N$2:$N$200,"C4"))=0,INDEX(posicao_contratual!$Y$2:$Y$200,MATCH($A67,posicao_contratual!$A$2:$A$200,0))=0),0,"")),"")</f>
        <v/>
      </c>
    </row>
    <row r="68" spans="1:15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IF(OR($A68="",$C68=""),"",IF(OR(($O68)="",($O68)&gt;(MIN(MATCH($C68,{"C0","C1","C2","C3","C4"},0)-1,COUNT(parametros!$F$2:$F$6)-1)),NOT(ISNUMBER(INDEX(parametros!$F$2:$F$6,(MIN(MATCH($C68,{"C0","C1","C2","C3","C4"},0)-1,COUNT(parametros!$F$2:$F$6)-1))+1))),NOT(ISNUMBER(INDEX(parametros!$F$2:$F$6,($O68)+1)))),"",INDEX(parametros!$F$2:$F$6,(MIN(MATCH($C68,{"C0","C1","C2","C3","C4"},0)-1,COUNT(parametros!$F$2:$F$6)-1))+1)/INDEX(parametros!$F$2:$F$6,($O68)+1))),"")</f>
        <v/>
      </c>
      <c r="J68" s="107" t="str">
        <f>IF(OR(L68="",F68=""),"",IF(UPPER(H68)="SIM",IF(ISNUMBER(I68),ROUND(L68*ROUND(F68*I68,2),2),""),ROUND(L68*F68,2)))</f>
        <v/>
      </c>
      <c r="K68" s="105"/>
      <c r="L68" s="85" t="str">
        <f t="shared" si="5"/>
        <v/>
      </c>
      <c r="M68" s="606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TIPO_INVALIDO",IF(AND(ISNUMBER(SEARCH("NOVO",D68)),OR(INDEX(posicao_contratual!$C$2:$C$200,MATCH(A68,posicao_contratual!$A$2:$A$200,0))&lt;&gt;0,F68="",COUNTIFS($A$2:$A$200,A68,$B$2:$B$200,"&lt;"&amp;B68,$L$2:$L$200,"&gt;0")&gt;0)),"ALERTA: NOVO ITEM INVALIDO - use Acrescimo se o item ja existia; novo item exige QTD_BASE_ORIGINAL 0, VU_ORIGINAL e ser o 1o acrescimo do item.",IF(AND(ISNUMBER(SEARCH("NOVO",D68)),OR(N68="",ISERROR(MATCH(N68,{"C0","C1","C2","C3","C4"},0)))),"ALERTA: BASE_VU_OBRIGATORIA",IF(AND(NOT(ISNUMBER(SEARCH("NOVO",D68))),N68&lt;&gt;""),"ALERTA: BASE_VU_NAO_APLICAVEL",IF(AND(UPPER(H68)="SIM",NOT(ISNUMBER(I68))),"ALERTA: BASE_VU_INVALIDA_OU_POSTERIOR_AO_FATOR_ALVO","OK"))))))))))</f>
        <v/>
      </c>
      <c r="N68" s="608"/>
      <c r="O68" s="610" t="str">
        <f>IFERROR(IF((COUNTIFS($A$2:$A$200,$A68,$D$2:$D$200,"*novo*",$N$2:$N$200,"C0")+COUNTIFS($A$2:$A$200,$A68,$D$2:$D$200,"*novo*",$N$2:$N$200,"C1")+COUNTIFS($A$2:$A$200,$A68,$D$2:$D$200,"*novo*",$N$2:$N$200,"C2")+COUNTIFS($A$2:$A$200,$A68,$D$2:$D$200,"*novo*",$N$2:$N$200,"C3")+COUNTIFS($A$2:$A$200,$A68,$D$2:$D$200,"*novo*",$N$2:$N$200,"C4"))=1,IF(COUNTIFS($A$2:$A$200,$A68,$D$2:$D$200,"*novo*",$N$2:$N$200,"C4")&gt;0,4,IF(COUNTIFS($A$2:$A$200,$A68,$D$2:$D$200,"*novo*",$N$2:$N$200,"C3")&gt;0,3,IF(COUNTIFS($A$2:$A$200,$A68,$D$2:$D$200,"*novo*",$N$2:$N$200,"C2")&gt;0,2,IF(COUNTIFS($A$2:$A$200,$A68,$D$2:$D$200,"*novo*",$N$2:$N$200,"C1")&gt;0,1,IF(COUNTIFS($A$2:$A$200,$A68,$D$2:$D$200,"*novo*",$N$2:$N$200,"C0")&gt;0,0,""))))),IF(AND((COUNTIFS($A$2:$A$200,$A68,$D$2:$D$200,"*novo*",$N$2:$N$200,"C0")+COUNTIFS($A$2:$A$200,$A68,$D$2:$D$200,"*novo*",$N$2:$N$200,"C1")+COUNTIFS($A$2:$A$200,$A68,$D$2:$D$200,"*novo*",$N$2:$N$200,"C2")+COUNTIFS($A$2:$A$200,$A68,$D$2:$D$200,"*novo*",$N$2:$N$200,"C3")+COUNTIFS($A$2:$A$200,$A68,$D$2:$D$200,"*novo*",$N$2:$N$200,"C4"))=0,INDEX(posicao_contratual!$Y$2:$Y$200,MATCH($A68,posicao_contratual!$A$2:$A$200,0))=0),0,"")),"")</f>
        <v/>
      </c>
    </row>
    <row r="69" spans="1:15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IF(OR($A69="",$C69=""),"",IF(OR(($O69)="",($O69)&gt;(MIN(MATCH($C69,{"C0","C1","C2","C3","C4"},0)-1,COUNT(parametros!$F$2:$F$6)-1)),NOT(ISNUMBER(INDEX(parametros!$F$2:$F$6,(MIN(MATCH($C69,{"C0","C1","C2","C3","C4"},0)-1,COUNT(parametros!$F$2:$F$6)-1))+1))),NOT(ISNUMBER(INDEX(parametros!$F$2:$F$6,($O69)+1)))),"",INDEX(parametros!$F$2:$F$6,(MIN(MATCH($C69,{"C0","C1","C2","C3","C4"},0)-1,COUNT(parametros!$F$2:$F$6)-1))+1)/INDEX(parametros!$F$2:$F$6,($O69)+1))),"")</f>
        <v/>
      </c>
      <c r="J69" s="107" t="str">
        <f>IF(OR(L69="",F69=""),"",IF(UPPER(H69)="SIM",IF(ISNUMBER(I69),ROUND(L69*ROUND(F69*I69,2),2),""),ROUND(L69*F69,2)))</f>
        <v/>
      </c>
      <c r="K69" s="105"/>
      <c r="L69" s="85" t="str">
        <f t="shared" si="5"/>
        <v/>
      </c>
      <c r="M69" s="606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TIPO_INVALIDO",IF(AND(ISNUMBER(SEARCH("NOVO",D69)),OR(INDEX(posicao_contratual!$C$2:$C$200,MATCH(A69,posicao_contratual!$A$2:$A$200,0))&lt;&gt;0,F69="",COUNTIFS($A$2:$A$200,A69,$B$2:$B$200,"&lt;"&amp;B69,$L$2:$L$200,"&gt;0")&gt;0)),"ALERTA: NOVO ITEM INVALIDO - use Acrescimo se o item ja existia; novo item exige QTD_BASE_ORIGINAL 0, VU_ORIGINAL e ser o 1o acrescimo do item.",IF(AND(ISNUMBER(SEARCH("NOVO",D69)),OR(N69="",ISERROR(MATCH(N69,{"C0","C1","C2","C3","C4"},0)))),"ALERTA: BASE_VU_OBRIGATORIA",IF(AND(NOT(ISNUMBER(SEARCH("NOVO",D69))),N69&lt;&gt;""),"ALERTA: BASE_VU_NAO_APLICAVEL",IF(AND(UPPER(H69)="SIM",NOT(ISNUMBER(I69))),"ALERTA: BASE_VU_INVALIDA_OU_POSTERIOR_AO_FATOR_ALVO","OK"))))))))))</f>
        <v/>
      </c>
      <c r="N69" s="608"/>
      <c r="O69" s="610" t="str">
        <f>IFERROR(IF((COUNTIFS($A$2:$A$200,$A69,$D$2:$D$200,"*novo*",$N$2:$N$200,"C0")+COUNTIFS($A$2:$A$200,$A69,$D$2:$D$200,"*novo*",$N$2:$N$200,"C1")+COUNTIFS($A$2:$A$200,$A69,$D$2:$D$200,"*novo*",$N$2:$N$200,"C2")+COUNTIFS($A$2:$A$200,$A69,$D$2:$D$200,"*novo*",$N$2:$N$200,"C3")+COUNTIFS($A$2:$A$200,$A69,$D$2:$D$200,"*novo*",$N$2:$N$200,"C4"))=1,IF(COUNTIFS($A$2:$A$200,$A69,$D$2:$D$200,"*novo*",$N$2:$N$200,"C4")&gt;0,4,IF(COUNTIFS($A$2:$A$200,$A69,$D$2:$D$200,"*novo*",$N$2:$N$200,"C3")&gt;0,3,IF(COUNTIFS($A$2:$A$200,$A69,$D$2:$D$200,"*novo*",$N$2:$N$200,"C2")&gt;0,2,IF(COUNTIFS($A$2:$A$200,$A69,$D$2:$D$200,"*novo*",$N$2:$N$200,"C1")&gt;0,1,IF(COUNTIFS($A$2:$A$200,$A69,$D$2:$D$200,"*novo*",$N$2:$N$200,"C0")&gt;0,0,""))))),IF(AND((COUNTIFS($A$2:$A$200,$A69,$D$2:$D$200,"*novo*",$N$2:$N$200,"C0")+COUNTIFS($A$2:$A$200,$A69,$D$2:$D$200,"*novo*",$N$2:$N$200,"C1")+COUNTIFS($A$2:$A$200,$A69,$D$2:$D$200,"*novo*",$N$2:$N$200,"C2")+COUNTIFS($A$2:$A$200,$A69,$D$2:$D$200,"*novo*",$N$2:$N$200,"C3")+COUNTIFS($A$2:$A$200,$A69,$D$2:$D$200,"*novo*",$N$2:$N$200,"C4"))=0,INDEX(posicao_contratual!$Y$2:$Y$200,MATCH($A69,posicao_contratual!$A$2:$A$200,0))=0),0,"")),"")</f>
        <v/>
      </c>
    </row>
    <row r="70" spans="1:15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IF(OR($A70="",$C70=""),"",IF(OR(($O70)="",($O70)&gt;(MIN(MATCH($C70,{"C0","C1","C2","C3","C4"},0)-1,COUNT(parametros!$F$2:$F$6)-1)),NOT(ISNUMBER(INDEX(parametros!$F$2:$F$6,(MIN(MATCH($C70,{"C0","C1","C2","C3","C4"},0)-1,COUNT(parametros!$F$2:$F$6)-1))+1))),NOT(ISNUMBER(INDEX(parametros!$F$2:$F$6,($O70)+1)))),"",INDEX(parametros!$F$2:$F$6,(MIN(MATCH($C70,{"C0","C1","C2","C3","C4"},0)-1,COUNT(parametros!$F$2:$F$6)-1))+1)/INDEX(parametros!$F$2:$F$6,($O70)+1))),"")</f>
        <v/>
      </c>
      <c r="J70" s="107" t="str">
        <f>IF(OR(L70="",F70=""),"",IF(UPPER(H70)="SIM",IF(ISNUMBER(I70),ROUND(L70*ROUND(F70*I70,2),2),""),ROUND(L70*F70,2)))</f>
        <v/>
      </c>
      <c r="K70" s="105"/>
      <c r="L70" s="85" t="str">
        <f t="shared" si="5"/>
        <v/>
      </c>
      <c r="M70" s="606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TIPO_INVALIDO",IF(AND(ISNUMBER(SEARCH("NOVO",D70)),OR(INDEX(posicao_contratual!$C$2:$C$200,MATCH(A70,posicao_contratual!$A$2:$A$200,0))&lt;&gt;0,F70="",COUNTIFS($A$2:$A$200,A70,$B$2:$B$200,"&lt;"&amp;B70,$L$2:$L$200,"&gt;0")&gt;0)),"ALERTA: NOVO ITEM INVALIDO - use Acrescimo se o item ja existia; novo item exige QTD_BASE_ORIGINAL 0, VU_ORIGINAL e ser o 1o acrescimo do item.",IF(AND(ISNUMBER(SEARCH("NOVO",D70)),OR(N70="",ISERROR(MATCH(N70,{"C0","C1","C2","C3","C4"},0)))),"ALERTA: BASE_VU_OBRIGATORIA",IF(AND(NOT(ISNUMBER(SEARCH("NOVO",D70))),N70&lt;&gt;""),"ALERTA: BASE_VU_NAO_APLICAVEL",IF(AND(UPPER(H70)="SIM",NOT(ISNUMBER(I70))),"ALERTA: BASE_VU_INVALIDA_OU_POSTERIOR_AO_FATOR_ALVO","OK"))))))))))</f>
        <v/>
      </c>
      <c r="N70" s="608"/>
      <c r="O70" s="610" t="str">
        <f>IFERROR(IF((COUNTIFS($A$2:$A$200,$A70,$D$2:$D$200,"*novo*",$N$2:$N$200,"C0")+COUNTIFS($A$2:$A$200,$A70,$D$2:$D$200,"*novo*",$N$2:$N$200,"C1")+COUNTIFS($A$2:$A$200,$A70,$D$2:$D$200,"*novo*",$N$2:$N$200,"C2")+COUNTIFS($A$2:$A$200,$A70,$D$2:$D$200,"*novo*",$N$2:$N$200,"C3")+COUNTIFS($A$2:$A$200,$A70,$D$2:$D$200,"*novo*",$N$2:$N$200,"C4"))=1,IF(COUNTIFS($A$2:$A$200,$A70,$D$2:$D$200,"*novo*",$N$2:$N$200,"C4")&gt;0,4,IF(COUNTIFS($A$2:$A$200,$A70,$D$2:$D$200,"*novo*",$N$2:$N$200,"C3")&gt;0,3,IF(COUNTIFS($A$2:$A$200,$A70,$D$2:$D$200,"*novo*",$N$2:$N$200,"C2")&gt;0,2,IF(COUNTIFS($A$2:$A$200,$A70,$D$2:$D$200,"*novo*",$N$2:$N$200,"C1")&gt;0,1,IF(COUNTIFS($A$2:$A$200,$A70,$D$2:$D$200,"*novo*",$N$2:$N$200,"C0")&gt;0,0,""))))),IF(AND((COUNTIFS($A$2:$A$200,$A70,$D$2:$D$200,"*novo*",$N$2:$N$200,"C0")+COUNTIFS($A$2:$A$200,$A70,$D$2:$D$200,"*novo*",$N$2:$N$200,"C1")+COUNTIFS($A$2:$A$200,$A70,$D$2:$D$200,"*novo*",$N$2:$N$200,"C2")+COUNTIFS($A$2:$A$200,$A70,$D$2:$D$200,"*novo*",$N$2:$N$200,"C3")+COUNTIFS($A$2:$A$200,$A70,$D$2:$D$200,"*novo*",$N$2:$N$200,"C4"))=0,INDEX(posicao_contratual!$Y$2:$Y$200,MATCH($A70,posicao_contratual!$A$2:$A$200,0))=0),0,"")),"")</f>
        <v/>
      </c>
    </row>
    <row r="71" spans="1:15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IF(OR($A71="",$C71=""),"",IF(OR(($O71)="",($O71)&gt;(MIN(MATCH($C71,{"C0","C1","C2","C3","C4"},0)-1,COUNT(parametros!$F$2:$F$6)-1)),NOT(ISNUMBER(INDEX(parametros!$F$2:$F$6,(MIN(MATCH($C71,{"C0","C1","C2","C3","C4"},0)-1,COUNT(parametros!$F$2:$F$6)-1))+1))),NOT(ISNUMBER(INDEX(parametros!$F$2:$F$6,($O71)+1)))),"",INDEX(parametros!$F$2:$F$6,(MIN(MATCH($C71,{"C0","C1","C2","C3","C4"},0)-1,COUNT(parametros!$F$2:$F$6)-1))+1)/INDEX(parametros!$F$2:$F$6,($O71)+1))),"")</f>
        <v/>
      </c>
      <c r="J71" s="107" t="str">
        <f>IF(OR(L71="",F71=""),"",IF(UPPER(H71)="SIM",IF(ISNUMBER(I71),ROUND(L71*ROUND(F71*I71,2),2),""),ROUND(L71*F71,2)))</f>
        <v/>
      </c>
      <c r="K71" s="105"/>
      <c r="L71" s="85" t="str">
        <f t="shared" si="5"/>
        <v/>
      </c>
      <c r="M71" s="606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TIPO_INVALIDO",IF(AND(ISNUMBER(SEARCH("NOVO",D71)),OR(INDEX(posicao_contratual!$C$2:$C$200,MATCH(A71,posicao_contratual!$A$2:$A$200,0))&lt;&gt;0,F71="",COUNTIFS($A$2:$A$200,A71,$B$2:$B$200,"&lt;"&amp;B71,$L$2:$L$200,"&gt;0")&gt;0)),"ALERTA: NOVO ITEM INVALIDO - use Acrescimo se o item ja existia; novo item exige QTD_BASE_ORIGINAL 0, VU_ORIGINAL e ser o 1o acrescimo do item.",IF(AND(ISNUMBER(SEARCH("NOVO",D71)),OR(N71="",ISERROR(MATCH(N71,{"C0","C1","C2","C3","C4"},0)))),"ALERTA: BASE_VU_OBRIGATORIA",IF(AND(NOT(ISNUMBER(SEARCH("NOVO",D71))),N71&lt;&gt;""),"ALERTA: BASE_VU_NAO_APLICAVEL",IF(AND(UPPER(H71)="SIM",NOT(ISNUMBER(I71))),"ALERTA: BASE_VU_INVALIDA_OU_POSTERIOR_AO_FATOR_ALVO","OK"))))))))))</f>
        <v/>
      </c>
      <c r="N71" s="608"/>
      <c r="O71" s="610" t="str">
        <f>IFERROR(IF((COUNTIFS($A$2:$A$200,$A71,$D$2:$D$200,"*novo*",$N$2:$N$200,"C0")+COUNTIFS($A$2:$A$200,$A71,$D$2:$D$200,"*novo*",$N$2:$N$200,"C1")+COUNTIFS($A$2:$A$200,$A71,$D$2:$D$200,"*novo*",$N$2:$N$200,"C2")+COUNTIFS($A$2:$A$200,$A71,$D$2:$D$200,"*novo*",$N$2:$N$200,"C3")+COUNTIFS($A$2:$A$200,$A71,$D$2:$D$200,"*novo*",$N$2:$N$200,"C4"))=1,IF(COUNTIFS($A$2:$A$200,$A71,$D$2:$D$200,"*novo*",$N$2:$N$200,"C4")&gt;0,4,IF(COUNTIFS($A$2:$A$200,$A71,$D$2:$D$200,"*novo*",$N$2:$N$200,"C3")&gt;0,3,IF(COUNTIFS($A$2:$A$200,$A71,$D$2:$D$200,"*novo*",$N$2:$N$200,"C2")&gt;0,2,IF(COUNTIFS($A$2:$A$200,$A71,$D$2:$D$200,"*novo*",$N$2:$N$200,"C1")&gt;0,1,IF(COUNTIFS($A$2:$A$200,$A71,$D$2:$D$200,"*novo*",$N$2:$N$200,"C0")&gt;0,0,""))))),IF(AND((COUNTIFS($A$2:$A$200,$A71,$D$2:$D$200,"*novo*",$N$2:$N$200,"C0")+COUNTIFS($A$2:$A$200,$A71,$D$2:$D$200,"*novo*",$N$2:$N$200,"C1")+COUNTIFS($A$2:$A$200,$A71,$D$2:$D$200,"*novo*",$N$2:$N$200,"C2")+COUNTIFS($A$2:$A$200,$A71,$D$2:$D$200,"*novo*",$N$2:$N$200,"C3")+COUNTIFS($A$2:$A$200,$A71,$D$2:$D$200,"*novo*",$N$2:$N$200,"C4"))=0,INDEX(posicao_contratual!$Y$2:$Y$200,MATCH($A71,posicao_contratual!$A$2:$A$200,0))=0),0,"")),"")</f>
        <v/>
      </c>
    </row>
    <row r="72" spans="1:15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IF(OR($A72="",$C72=""),"",IF(OR(($O72)="",($O72)&gt;(MIN(MATCH($C72,{"C0","C1","C2","C3","C4"},0)-1,COUNT(parametros!$F$2:$F$6)-1)),NOT(ISNUMBER(INDEX(parametros!$F$2:$F$6,(MIN(MATCH($C72,{"C0","C1","C2","C3","C4"},0)-1,COUNT(parametros!$F$2:$F$6)-1))+1))),NOT(ISNUMBER(INDEX(parametros!$F$2:$F$6,($O72)+1)))),"",INDEX(parametros!$F$2:$F$6,(MIN(MATCH($C72,{"C0","C1","C2","C3","C4"},0)-1,COUNT(parametros!$F$2:$F$6)-1))+1)/INDEX(parametros!$F$2:$F$6,($O72)+1))),"")</f>
        <v/>
      </c>
      <c r="J72" s="107" t="str">
        <f>IF(OR(L72="",F72=""),"",IF(UPPER(H72)="SIM",IF(ISNUMBER(I72),ROUND(L72*ROUND(F72*I72,2),2),""),ROUND(L72*F72,2)))</f>
        <v/>
      </c>
      <c r="K72" s="105"/>
      <c r="L72" s="85" t="str">
        <f t="shared" si="5"/>
        <v/>
      </c>
      <c r="M72" s="606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TIPO_INVALIDO",IF(AND(ISNUMBER(SEARCH("NOVO",D72)),OR(INDEX(posicao_contratual!$C$2:$C$200,MATCH(A72,posicao_contratual!$A$2:$A$200,0))&lt;&gt;0,F72="",COUNTIFS($A$2:$A$200,A72,$B$2:$B$200,"&lt;"&amp;B72,$L$2:$L$200,"&gt;0")&gt;0)),"ALERTA: NOVO ITEM INVALIDO - use Acrescimo se o item ja existia; novo item exige QTD_BASE_ORIGINAL 0, VU_ORIGINAL e ser o 1o acrescimo do item.",IF(AND(ISNUMBER(SEARCH("NOVO",D72)),OR(N72="",ISERROR(MATCH(N72,{"C0","C1","C2","C3","C4"},0)))),"ALERTA: BASE_VU_OBRIGATORIA",IF(AND(NOT(ISNUMBER(SEARCH("NOVO",D72))),N72&lt;&gt;""),"ALERTA: BASE_VU_NAO_APLICAVEL",IF(AND(UPPER(H72)="SIM",NOT(ISNUMBER(I72))),"ALERTA: BASE_VU_INVALIDA_OU_POSTERIOR_AO_FATOR_ALVO","OK"))))))))))</f>
        <v/>
      </c>
      <c r="N72" s="608"/>
      <c r="O72" s="610" t="str">
        <f>IFERROR(IF((COUNTIFS($A$2:$A$200,$A72,$D$2:$D$200,"*novo*",$N$2:$N$200,"C0")+COUNTIFS($A$2:$A$200,$A72,$D$2:$D$200,"*novo*",$N$2:$N$200,"C1")+COUNTIFS($A$2:$A$200,$A72,$D$2:$D$200,"*novo*",$N$2:$N$200,"C2")+COUNTIFS($A$2:$A$200,$A72,$D$2:$D$200,"*novo*",$N$2:$N$200,"C3")+COUNTIFS($A$2:$A$200,$A72,$D$2:$D$200,"*novo*",$N$2:$N$200,"C4"))=1,IF(COUNTIFS($A$2:$A$200,$A72,$D$2:$D$200,"*novo*",$N$2:$N$200,"C4")&gt;0,4,IF(COUNTIFS($A$2:$A$200,$A72,$D$2:$D$200,"*novo*",$N$2:$N$200,"C3")&gt;0,3,IF(COUNTIFS($A$2:$A$200,$A72,$D$2:$D$200,"*novo*",$N$2:$N$200,"C2")&gt;0,2,IF(COUNTIFS($A$2:$A$200,$A72,$D$2:$D$200,"*novo*",$N$2:$N$200,"C1")&gt;0,1,IF(COUNTIFS($A$2:$A$200,$A72,$D$2:$D$200,"*novo*",$N$2:$N$200,"C0")&gt;0,0,""))))),IF(AND((COUNTIFS($A$2:$A$200,$A72,$D$2:$D$200,"*novo*",$N$2:$N$200,"C0")+COUNTIFS($A$2:$A$200,$A72,$D$2:$D$200,"*novo*",$N$2:$N$200,"C1")+COUNTIFS($A$2:$A$200,$A72,$D$2:$D$200,"*novo*",$N$2:$N$200,"C2")+COUNTIFS($A$2:$A$200,$A72,$D$2:$D$200,"*novo*",$N$2:$N$200,"C3")+COUNTIFS($A$2:$A$200,$A72,$D$2:$D$200,"*novo*",$N$2:$N$200,"C4"))=0,INDEX(posicao_contratual!$Y$2:$Y$200,MATCH($A72,posicao_contratual!$A$2:$A$200,0))=0),0,"")),"")</f>
        <v/>
      </c>
    </row>
    <row r="73" spans="1:15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IF(OR($A73="",$C73=""),"",IF(OR(($O73)="",($O73)&gt;(MIN(MATCH($C73,{"C0","C1","C2","C3","C4"},0)-1,COUNT(parametros!$F$2:$F$6)-1)),NOT(ISNUMBER(INDEX(parametros!$F$2:$F$6,(MIN(MATCH($C73,{"C0","C1","C2","C3","C4"},0)-1,COUNT(parametros!$F$2:$F$6)-1))+1))),NOT(ISNUMBER(INDEX(parametros!$F$2:$F$6,($O73)+1)))),"",INDEX(parametros!$F$2:$F$6,(MIN(MATCH($C73,{"C0","C1","C2","C3","C4"},0)-1,COUNT(parametros!$F$2:$F$6)-1))+1)/INDEX(parametros!$F$2:$F$6,($O73)+1))),"")</f>
        <v/>
      </c>
      <c r="J73" s="107" t="str">
        <f>IF(OR(L73="",F73=""),"",IF(UPPER(H73)="SIM",IF(ISNUMBER(I73),ROUND(L73*ROUND(F73*I73,2),2),""),ROUND(L73*F73,2)))</f>
        <v/>
      </c>
      <c r="K73" s="105"/>
      <c r="L73" s="85" t="str">
        <f t="shared" si="5"/>
        <v/>
      </c>
      <c r="M73" s="606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TIPO_INVALIDO",IF(AND(ISNUMBER(SEARCH("NOVO",D73)),OR(INDEX(posicao_contratual!$C$2:$C$200,MATCH(A73,posicao_contratual!$A$2:$A$200,0))&lt;&gt;0,F73="",COUNTIFS($A$2:$A$200,A73,$B$2:$B$200,"&lt;"&amp;B73,$L$2:$L$200,"&gt;0")&gt;0)),"ALERTA: NOVO ITEM INVALIDO - use Acrescimo se o item ja existia; novo item exige QTD_BASE_ORIGINAL 0, VU_ORIGINAL e ser o 1o acrescimo do item.",IF(AND(ISNUMBER(SEARCH("NOVO",D73)),OR(N73="",ISERROR(MATCH(N73,{"C0","C1","C2","C3","C4"},0)))),"ALERTA: BASE_VU_OBRIGATORIA",IF(AND(NOT(ISNUMBER(SEARCH("NOVO",D73))),N73&lt;&gt;""),"ALERTA: BASE_VU_NAO_APLICAVEL",IF(AND(UPPER(H73)="SIM",NOT(ISNUMBER(I73))),"ALERTA: BASE_VU_INVALIDA_OU_POSTERIOR_AO_FATOR_ALVO","OK"))))))))))</f>
        <v/>
      </c>
      <c r="N73" s="608"/>
      <c r="O73" s="610" t="str">
        <f>IFERROR(IF((COUNTIFS($A$2:$A$200,$A73,$D$2:$D$200,"*novo*",$N$2:$N$200,"C0")+COUNTIFS($A$2:$A$200,$A73,$D$2:$D$200,"*novo*",$N$2:$N$200,"C1")+COUNTIFS($A$2:$A$200,$A73,$D$2:$D$200,"*novo*",$N$2:$N$200,"C2")+COUNTIFS($A$2:$A$200,$A73,$D$2:$D$200,"*novo*",$N$2:$N$200,"C3")+COUNTIFS($A$2:$A$200,$A73,$D$2:$D$200,"*novo*",$N$2:$N$200,"C4"))=1,IF(COUNTIFS($A$2:$A$200,$A73,$D$2:$D$200,"*novo*",$N$2:$N$200,"C4")&gt;0,4,IF(COUNTIFS($A$2:$A$200,$A73,$D$2:$D$200,"*novo*",$N$2:$N$200,"C3")&gt;0,3,IF(COUNTIFS($A$2:$A$200,$A73,$D$2:$D$200,"*novo*",$N$2:$N$200,"C2")&gt;0,2,IF(COUNTIFS($A$2:$A$200,$A73,$D$2:$D$200,"*novo*",$N$2:$N$200,"C1")&gt;0,1,IF(COUNTIFS($A$2:$A$200,$A73,$D$2:$D$200,"*novo*",$N$2:$N$200,"C0")&gt;0,0,""))))),IF(AND((COUNTIFS($A$2:$A$200,$A73,$D$2:$D$200,"*novo*",$N$2:$N$200,"C0")+COUNTIFS($A$2:$A$200,$A73,$D$2:$D$200,"*novo*",$N$2:$N$200,"C1")+COUNTIFS($A$2:$A$200,$A73,$D$2:$D$200,"*novo*",$N$2:$N$200,"C2")+COUNTIFS($A$2:$A$200,$A73,$D$2:$D$200,"*novo*",$N$2:$N$200,"C3")+COUNTIFS($A$2:$A$200,$A73,$D$2:$D$200,"*novo*",$N$2:$N$200,"C4"))=0,INDEX(posicao_contratual!$Y$2:$Y$200,MATCH($A73,posicao_contratual!$A$2:$A$200,0))=0),0,"")),"")</f>
        <v/>
      </c>
    </row>
    <row r="74" spans="1:15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IF(OR($A74="",$C74=""),"",IF(OR(($O74)="",($O74)&gt;(MIN(MATCH($C74,{"C0","C1","C2","C3","C4"},0)-1,COUNT(parametros!$F$2:$F$6)-1)),NOT(ISNUMBER(INDEX(parametros!$F$2:$F$6,(MIN(MATCH($C74,{"C0","C1","C2","C3","C4"},0)-1,COUNT(parametros!$F$2:$F$6)-1))+1))),NOT(ISNUMBER(INDEX(parametros!$F$2:$F$6,($O74)+1)))),"",INDEX(parametros!$F$2:$F$6,(MIN(MATCH($C74,{"C0","C1","C2","C3","C4"},0)-1,COUNT(parametros!$F$2:$F$6)-1))+1)/INDEX(parametros!$F$2:$F$6,($O74)+1))),"")</f>
        <v/>
      </c>
      <c r="J74" s="107" t="str">
        <f>IF(OR(L74="",F74=""),"",IF(UPPER(H74)="SIM",IF(ISNUMBER(I74),ROUND(L74*ROUND(F74*I74,2),2),""),ROUND(L74*F74,2)))</f>
        <v/>
      </c>
      <c r="K74" s="105"/>
      <c r="L74" s="85" t="str">
        <f t="shared" si="5"/>
        <v/>
      </c>
      <c r="M74" s="606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TIPO_INVALIDO",IF(AND(ISNUMBER(SEARCH("NOVO",D74)),OR(INDEX(posicao_contratual!$C$2:$C$200,MATCH(A74,posicao_contratual!$A$2:$A$200,0))&lt;&gt;0,F74="",COUNTIFS($A$2:$A$200,A74,$B$2:$B$200,"&lt;"&amp;B74,$L$2:$L$200,"&gt;0")&gt;0)),"ALERTA: NOVO ITEM INVALIDO - use Acrescimo se o item ja existia; novo item exige QTD_BASE_ORIGINAL 0, VU_ORIGINAL e ser o 1o acrescimo do item.",IF(AND(ISNUMBER(SEARCH("NOVO",D74)),OR(N74="",ISERROR(MATCH(N74,{"C0","C1","C2","C3","C4"},0)))),"ALERTA: BASE_VU_OBRIGATORIA",IF(AND(NOT(ISNUMBER(SEARCH("NOVO",D74))),N74&lt;&gt;""),"ALERTA: BASE_VU_NAO_APLICAVEL",IF(AND(UPPER(H74)="SIM",NOT(ISNUMBER(I74))),"ALERTA: BASE_VU_INVALIDA_OU_POSTERIOR_AO_FATOR_ALVO","OK"))))))))))</f>
        <v/>
      </c>
      <c r="N74" s="608"/>
      <c r="O74" s="610" t="str">
        <f>IFERROR(IF((COUNTIFS($A$2:$A$200,$A74,$D$2:$D$200,"*novo*",$N$2:$N$200,"C0")+COUNTIFS($A$2:$A$200,$A74,$D$2:$D$200,"*novo*",$N$2:$N$200,"C1")+COUNTIFS($A$2:$A$200,$A74,$D$2:$D$200,"*novo*",$N$2:$N$200,"C2")+COUNTIFS($A$2:$A$200,$A74,$D$2:$D$200,"*novo*",$N$2:$N$200,"C3")+COUNTIFS($A$2:$A$200,$A74,$D$2:$D$200,"*novo*",$N$2:$N$200,"C4"))=1,IF(COUNTIFS($A$2:$A$200,$A74,$D$2:$D$200,"*novo*",$N$2:$N$200,"C4")&gt;0,4,IF(COUNTIFS($A$2:$A$200,$A74,$D$2:$D$200,"*novo*",$N$2:$N$200,"C3")&gt;0,3,IF(COUNTIFS($A$2:$A$200,$A74,$D$2:$D$200,"*novo*",$N$2:$N$200,"C2")&gt;0,2,IF(COUNTIFS($A$2:$A$200,$A74,$D$2:$D$200,"*novo*",$N$2:$N$200,"C1")&gt;0,1,IF(COUNTIFS($A$2:$A$200,$A74,$D$2:$D$200,"*novo*",$N$2:$N$200,"C0")&gt;0,0,""))))),IF(AND((COUNTIFS($A$2:$A$200,$A74,$D$2:$D$200,"*novo*",$N$2:$N$200,"C0")+COUNTIFS($A$2:$A$200,$A74,$D$2:$D$200,"*novo*",$N$2:$N$200,"C1")+COUNTIFS($A$2:$A$200,$A74,$D$2:$D$200,"*novo*",$N$2:$N$200,"C2")+COUNTIFS($A$2:$A$200,$A74,$D$2:$D$200,"*novo*",$N$2:$N$200,"C3")+COUNTIFS($A$2:$A$200,$A74,$D$2:$D$200,"*novo*",$N$2:$N$200,"C4"))=0,INDEX(posicao_contratual!$Y$2:$Y$200,MATCH($A74,posicao_contratual!$A$2:$A$200,0))=0),0,"")),"")</f>
        <v/>
      </c>
    </row>
    <row r="75" spans="1:15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IF(OR($A75="",$C75=""),"",IF(OR(($O75)="",($O75)&gt;(MIN(MATCH($C75,{"C0","C1","C2","C3","C4"},0)-1,COUNT(parametros!$F$2:$F$6)-1)),NOT(ISNUMBER(INDEX(parametros!$F$2:$F$6,(MIN(MATCH($C75,{"C0","C1","C2","C3","C4"},0)-1,COUNT(parametros!$F$2:$F$6)-1))+1))),NOT(ISNUMBER(INDEX(parametros!$F$2:$F$6,($O75)+1)))),"",INDEX(parametros!$F$2:$F$6,(MIN(MATCH($C75,{"C0","C1","C2","C3","C4"},0)-1,COUNT(parametros!$F$2:$F$6)-1))+1)/INDEX(parametros!$F$2:$F$6,($O75)+1))),"")</f>
        <v/>
      </c>
      <c r="J75" s="107" t="str">
        <f>IF(OR(L75="",F75=""),"",IF(UPPER(H75)="SIM",IF(ISNUMBER(I75),ROUND(L75*ROUND(F75*I75,2),2),""),ROUND(L75*F75,2)))</f>
        <v/>
      </c>
      <c r="K75" s="105"/>
      <c r="L75" s="85" t="str">
        <f t="shared" si="5"/>
        <v/>
      </c>
      <c r="M75" s="606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TIPO_INVALIDO",IF(AND(ISNUMBER(SEARCH("NOVO",D75)),OR(INDEX(posicao_contratual!$C$2:$C$200,MATCH(A75,posicao_contratual!$A$2:$A$200,0))&lt;&gt;0,F75="",COUNTIFS($A$2:$A$200,A75,$B$2:$B$200,"&lt;"&amp;B75,$L$2:$L$200,"&gt;0")&gt;0)),"ALERTA: NOVO ITEM INVALIDO - use Acrescimo se o item ja existia; novo item exige QTD_BASE_ORIGINAL 0, VU_ORIGINAL e ser o 1o acrescimo do item.",IF(AND(ISNUMBER(SEARCH("NOVO",D75)),OR(N75="",ISERROR(MATCH(N75,{"C0","C1","C2","C3","C4"},0)))),"ALERTA: BASE_VU_OBRIGATORIA",IF(AND(NOT(ISNUMBER(SEARCH("NOVO",D75))),N75&lt;&gt;""),"ALERTA: BASE_VU_NAO_APLICAVEL",IF(AND(UPPER(H75)="SIM",NOT(ISNUMBER(I75))),"ALERTA: BASE_VU_INVALIDA_OU_POSTERIOR_AO_FATOR_ALVO","OK"))))))))))</f>
        <v/>
      </c>
      <c r="N75" s="608"/>
      <c r="O75" s="610" t="str">
        <f>IFERROR(IF((COUNTIFS($A$2:$A$200,$A75,$D$2:$D$200,"*novo*",$N$2:$N$200,"C0")+COUNTIFS($A$2:$A$200,$A75,$D$2:$D$200,"*novo*",$N$2:$N$200,"C1")+COUNTIFS($A$2:$A$200,$A75,$D$2:$D$200,"*novo*",$N$2:$N$200,"C2")+COUNTIFS($A$2:$A$200,$A75,$D$2:$D$200,"*novo*",$N$2:$N$200,"C3")+COUNTIFS($A$2:$A$200,$A75,$D$2:$D$200,"*novo*",$N$2:$N$200,"C4"))=1,IF(COUNTIFS($A$2:$A$200,$A75,$D$2:$D$200,"*novo*",$N$2:$N$200,"C4")&gt;0,4,IF(COUNTIFS($A$2:$A$200,$A75,$D$2:$D$200,"*novo*",$N$2:$N$200,"C3")&gt;0,3,IF(COUNTIFS($A$2:$A$200,$A75,$D$2:$D$200,"*novo*",$N$2:$N$200,"C2")&gt;0,2,IF(COUNTIFS($A$2:$A$200,$A75,$D$2:$D$200,"*novo*",$N$2:$N$200,"C1")&gt;0,1,IF(COUNTIFS($A$2:$A$200,$A75,$D$2:$D$200,"*novo*",$N$2:$N$200,"C0")&gt;0,0,""))))),IF(AND((COUNTIFS($A$2:$A$200,$A75,$D$2:$D$200,"*novo*",$N$2:$N$200,"C0")+COUNTIFS($A$2:$A$200,$A75,$D$2:$D$200,"*novo*",$N$2:$N$200,"C1")+COUNTIFS($A$2:$A$200,$A75,$D$2:$D$200,"*novo*",$N$2:$N$200,"C2")+COUNTIFS($A$2:$A$200,$A75,$D$2:$D$200,"*novo*",$N$2:$N$200,"C3")+COUNTIFS($A$2:$A$200,$A75,$D$2:$D$200,"*novo*",$N$2:$N$200,"C4"))=0,INDEX(posicao_contratual!$Y$2:$Y$200,MATCH($A75,posicao_contratual!$A$2:$A$200,0))=0),0,"")),"")</f>
        <v/>
      </c>
    </row>
    <row r="76" spans="1:15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IF(OR($A76="",$C76=""),"",IF(OR(($O76)="",($O76)&gt;(MIN(MATCH($C76,{"C0","C1","C2","C3","C4"},0)-1,COUNT(parametros!$F$2:$F$6)-1)),NOT(ISNUMBER(INDEX(parametros!$F$2:$F$6,(MIN(MATCH($C76,{"C0","C1","C2","C3","C4"},0)-1,COUNT(parametros!$F$2:$F$6)-1))+1))),NOT(ISNUMBER(INDEX(parametros!$F$2:$F$6,($O76)+1)))),"",INDEX(parametros!$F$2:$F$6,(MIN(MATCH($C76,{"C0","C1","C2","C3","C4"},0)-1,COUNT(parametros!$F$2:$F$6)-1))+1)/INDEX(parametros!$F$2:$F$6,($O76)+1))),"")</f>
        <v/>
      </c>
      <c r="J76" s="107" t="str">
        <f>IF(OR(L76="",F76=""),"",IF(UPPER(H76)="SIM",IF(ISNUMBER(I76),ROUND(L76*ROUND(F76*I76,2),2),""),ROUND(L76*F76,2)))</f>
        <v/>
      </c>
      <c r="K76" s="105"/>
      <c r="L76" s="85" t="str">
        <f t="shared" si="5"/>
        <v/>
      </c>
      <c r="M76" s="606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TIPO_INVALIDO",IF(AND(ISNUMBER(SEARCH("NOVO",D76)),OR(INDEX(posicao_contratual!$C$2:$C$200,MATCH(A76,posicao_contratual!$A$2:$A$200,0))&lt;&gt;0,F76="",COUNTIFS($A$2:$A$200,A76,$B$2:$B$200,"&lt;"&amp;B76,$L$2:$L$200,"&gt;0")&gt;0)),"ALERTA: NOVO ITEM INVALIDO - use Acrescimo se o item ja existia; novo item exige QTD_BASE_ORIGINAL 0, VU_ORIGINAL e ser o 1o acrescimo do item.",IF(AND(ISNUMBER(SEARCH("NOVO",D76)),OR(N76="",ISERROR(MATCH(N76,{"C0","C1","C2","C3","C4"},0)))),"ALERTA: BASE_VU_OBRIGATORIA",IF(AND(NOT(ISNUMBER(SEARCH("NOVO",D76))),N76&lt;&gt;""),"ALERTA: BASE_VU_NAO_APLICAVEL",IF(AND(UPPER(H76)="SIM",NOT(ISNUMBER(I76))),"ALERTA: BASE_VU_INVALIDA_OU_POSTERIOR_AO_FATOR_ALVO","OK"))))))))))</f>
        <v/>
      </c>
      <c r="N76" s="608"/>
      <c r="O76" s="610" t="str">
        <f>IFERROR(IF((COUNTIFS($A$2:$A$200,$A76,$D$2:$D$200,"*novo*",$N$2:$N$200,"C0")+COUNTIFS($A$2:$A$200,$A76,$D$2:$D$200,"*novo*",$N$2:$N$200,"C1")+COUNTIFS($A$2:$A$200,$A76,$D$2:$D$200,"*novo*",$N$2:$N$200,"C2")+COUNTIFS($A$2:$A$200,$A76,$D$2:$D$200,"*novo*",$N$2:$N$200,"C3")+COUNTIFS($A$2:$A$200,$A76,$D$2:$D$200,"*novo*",$N$2:$N$200,"C4"))=1,IF(COUNTIFS($A$2:$A$200,$A76,$D$2:$D$200,"*novo*",$N$2:$N$200,"C4")&gt;0,4,IF(COUNTIFS($A$2:$A$200,$A76,$D$2:$D$200,"*novo*",$N$2:$N$200,"C3")&gt;0,3,IF(COUNTIFS($A$2:$A$200,$A76,$D$2:$D$200,"*novo*",$N$2:$N$200,"C2")&gt;0,2,IF(COUNTIFS($A$2:$A$200,$A76,$D$2:$D$200,"*novo*",$N$2:$N$200,"C1")&gt;0,1,IF(COUNTIFS($A$2:$A$200,$A76,$D$2:$D$200,"*novo*",$N$2:$N$200,"C0")&gt;0,0,""))))),IF(AND((COUNTIFS($A$2:$A$200,$A76,$D$2:$D$200,"*novo*",$N$2:$N$200,"C0")+COUNTIFS($A$2:$A$200,$A76,$D$2:$D$200,"*novo*",$N$2:$N$200,"C1")+COUNTIFS($A$2:$A$200,$A76,$D$2:$D$200,"*novo*",$N$2:$N$200,"C2")+COUNTIFS($A$2:$A$200,$A76,$D$2:$D$200,"*novo*",$N$2:$N$200,"C3")+COUNTIFS($A$2:$A$200,$A76,$D$2:$D$200,"*novo*",$N$2:$N$200,"C4"))=0,INDEX(posicao_contratual!$Y$2:$Y$200,MATCH($A76,posicao_contratual!$A$2:$A$200,0))=0),0,"")),"")</f>
        <v/>
      </c>
    </row>
    <row r="77" spans="1:15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IF(OR($A77="",$C77=""),"",IF(OR(($O77)="",($O77)&gt;(MIN(MATCH($C77,{"C0","C1","C2","C3","C4"},0)-1,COUNT(parametros!$F$2:$F$6)-1)),NOT(ISNUMBER(INDEX(parametros!$F$2:$F$6,(MIN(MATCH($C77,{"C0","C1","C2","C3","C4"},0)-1,COUNT(parametros!$F$2:$F$6)-1))+1))),NOT(ISNUMBER(INDEX(parametros!$F$2:$F$6,($O77)+1)))),"",INDEX(parametros!$F$2:$F$6,(MIN(MATCH($C77,{"C0","C1","C2","C3","C4"},0)-1,COUNT(parametros!$F$2:$F$6)-1))+1)/INDEX(parametros!$F$2:$F$6,($O77)+1))),"")</f>
        <v/>
      </c>
      <c r="J77" s="107" t="str">
        <f>IF(OR(L77="",F77=""),"",IF(UPPER(H77)="SIM",IF(ISNUMBER(I77),ROUND(L77*ROUND(F77*I77,2),2),""),ROUND(L77*F77,2)))</f>
        <v/>
      </c>
      <c r="K77" s="105"/>
      <c r="L77" s="85" t="str">
        <f t="shared" si="5"/>
        <v/>
      </c>
      <c r="M77" s="606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TIPO_INVALIDO",IF(AND(ISNUMBER(SEARCH("NOVO",D77)),OR(INDEX(posicao_contratual!$C$2:$C$200,MATCH(A77,posicao_contratual!$A$2:$A$200,0))&lt;&gt;0,F77="",COUNTIFS($A$2:$A$200,A77,$B$2:$B$200,"&lt;"&amp;B77,$L$2:$L$200,"&gt;0")&gt;0)),"ALERTA: NOVO ITEM INVALIDO - use Acrescimo se o item ja existia; novo item exige QTD_BASE_ORIGINAL 0, VU_ORIGINAL e ser o 1o acrescimo do item.",IF(AND(ISNUMBER(SEARCH("NOVO",D77)),OR(N77="",ISERROR(MATCH(N77,{"C0","C1","C2","C3","C4"},0)))),"ALERTA: BASE_VU_OBRIGATORIA",IF(AND(NOT(ISNUMBER(SEARCH("NOVO",D77))),N77&lt;&gt;""),"ALERTA: BASE_VU_NAO_APLICAVEL",IF(AND(UPPER(H77)="SIM",NOT(ISNUMBER(I77))),"ALERTA: BASE_VU_INVALIDA_OU_POSTERIOR_AO_FATOR_ALVO","OK"))))))))))</f>
        <v/>
      </c>
      <c r="N77" s="608"/>
      <c r="O77" s="610" t="str">
        <f>IFERROR(IF((COUNTIFS($A$2:$A$200,$A77,$D$2:$D$200,"*novo*",$N$2:$N$200,"C0")+COUNTIFS($A$2:$A$200,$A77,$D$2:$D$200,"*novo*",$N$2:$N$200,"C1")+COUNTIFS($A$2:$A$200,$A77,$D$2:$D$200,"*novo*",$N$2:$N$200,"C2")+COUNTIFS($A$2:$A$200,$A77,$D$2:$D$200,"*novo*",$N$2:$N$200,"C3")+COUNTIFS($A$2:$A$200,$A77,$D$2:$D$200,"*novo*",$N$2:$N$200,"C4"))=1,IF(COUNTIFS($A$2:$A$200,$A77,$D$2:$D$200,"*novo*",$N$2:$N$200,"C4")&gt;0,4,IF(COUNTIFS($A$2:$A$200,$A77,$D$2:$D$200,"*novo*",$N$2:$N$200,"C3")&gt;0,3,IF(COUNTIFS($A$2:$A$200,$A77,$D$2:$D$200,"*novo*",$N$2:$N$200,"C2")&gt;0,2,IF(COUNTIFS($A$2:$A$200,$A77,$D$2:$D$200,"*novo*",$N$2:$N$200,"C1")&gt;0,1,IF(COUNTIFS($A$2:$A$200,$A77,$D$2:$D$200,"*novo*",$N$2:$N$200,"C0")&gt;0,0,""))))),IF(AND((COUNTIFS($A$2:$A$200,$A77,$D$2:$D$200,"*novo*",$N$2:$N$200,"C0")+COUNTIFS($A$2:$A$200,$A77,$D$2:$D$200,"*novo*",$N$2:$N$200,"C1")+COUNTIFS($A$2:$A$200,$A77,$D$2:$D$200,"*novo*",$N$2:$N$200,"C2")+COUNTIFS($A$2:$A$200,$A77,$D$2:$D$200,"*novo*",$N$2:$N$200,"C3")+COUNTIFS($A$2:$A$200,$A77,$D$2:$D$200,"*novo*",$N$2:$N$200,"C4"))=0,INDEX(posicao_contratual!$Y$2:$Y$200,MATCH($A77,posicao_contratual!$A$2:$A$200,0))=0),0,"")),"")</f>
        <v/>
      </c>
    </row>
    <row r="78" spans="1:15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IF(OR($A78="",$C78=""),"",IF(OR(($O78)="",($O78)&gt;(MIN(MATCH($C78,{"C0","C1","C2","C3","C4"},0)-1,COUNT(parametros!$F$2:$F$6)-1)),NOT(ISNUMBER(INDEX(parametros!$F$2:$F$6,(MIN(MATCH($C78,{"C0","C1","C2","C3","C4"},0)-1,COUNT(parametros!$F$2:$F$6)-1))+1))),NOT(ISNUMBER(INDEX(parametros!$F$2:$F$6,($O78)+1)))),"",INDEX(parametros!$F$2:$F$6,(MIN(MATCH($C78,{"C0","C1","C2","C3","C4"},0)-1,COUNT(parametros!$F$2:$F$6)-1))+1)/INDEX(parametros!$F$2:$F$6,($O78)+1))),"")</f>
        <v/>
      </c>
      <c r="J78" s="107" t="str">
        <f>IF(OR(L78="",F78=""),"",IF(UPPER(H78)="SIM",IF(ISNUMBER(I78),ROUND(L78*ROUND(F78*I78,2),2),""),ROUND(L78*F78,2)))</f>
        <v/>
      </c>
      <c r="K78" s="105"/>
      <c r="L78" s="85" t="str">
        <f t="shared" si="5"/>
        <v/>
      </c>
      <c r="M78" s="606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TIPO_INVALIDO",IF(AND(ISNUMBER(SEARCH("NOVO",D78)),OR(INDEX(posicao_contratual!$C$2:$C$200,MATCH(A78,posicao_contratual!$A$2:$A$200,0))&lt;&gt;0,F78="",COUNTIFS($A$2:$A$200,A78,$B$2:$B$200,"&lt;"&amp;B78,$L$2:$L$200,"&gt;0")&gt;0)),"ALERTA: NOVO ITEM INVALIDO - use Acrescimo se o item ja existia; novo item exige QTD_BASE_ORIGINAL 0, VU_ORIGINAL e ser o 1o acrescimo do item.",IF(AND(ISNUMBER(SEARCH("NOVO",D78)),OR(N78="",ISERROR(MATCH(N78,{"C0","C1","C2","C3","C4"},0)))),"ALERTA: BASE_VU_OBRIGATORIA",IF(AND(NOT(ISNUMBER(SEARCH("NOVO",D78))),N78&lt;&gt;""),"ALERTA: BASE_VU_NAO_APLICAVEL",IF(AND(UPPER(H78)="SIM",NOT(ISNUMBER(I78))),"ALERTA: BASE_VU_INVALIDA_OU_POSTERIOR_AO_FATOR_ALVO","OK"))))))))))</f>
        <v/>
      </c>
      <c r="N78" s="608"/>
      <c r="O78" s="610" t="str">
        <f>IFERROR(IF((COUNTIFS($A$2:$A$200,$A78,$D$2:$D$200,"*novo*",$N$2:$N$200,"C0")+COUNTIFS($A$2:$A$200,$A78,$D$2:$D$200,"*novo*",$N$2:$N$200,"C1")+COUNTIFS($A$2:$A$200,$A78,$D$2:$D$200,"*novo*",$N$2:$N$200,"C2")+COUNTIFS($A$2:$A$200,$A78,$D$2:$D$200,"*novo*",$N$2:$N$200,"C3")+COUNTIFS($A$2:$A$200,$A78,$D$2:$D$200,"*novo*",$N$2:$N$200,"C4"))=1,IF(COUNTIFS($A$2:$A$200,$A78,$D$2:$D$200,"*novo*",$N$2:$N$200,"C4")&gt;0,4,IF(COUNTIFS($A$2:$A$200,$A78,$D$2:$D$200,"*novo*",$N$2:$N$200,"C3")&gt;0,3,IF(COUNTIFS($A$2:$A$200,$A78,$D$2:$D$200,"*novo*",$N$2:$N$200,"C2")&gt;0,2,IF(COUNTIFS($A$2:$A$200,$A78,$D$2:$D$200,"*novo*",$N$2:$N$200,"C1")&gt;0,1,IF(COUNTIFS($A$2:$A$200,$A78,$D$2:$D$200,"*novo*",$N$2:$N$200,"C0")&gt;0,0,""))))),IF(AND((COUNTIFS($A$2:$A$200,$A78,$D$2:$D$200,"*novo*",$N$2:$N$200,"C0")+COUNTIFS($A$2:$A$200,$A78,$D$2:$D$200,"*novo*",$N$2:$N$200,"C1")+COUNTIFS($A$2:$A$200,$A78,$D$2:$D$200,"*novo*",$N$2:$N$200,"C2")+COUNTIFS($A$2:$A$200,$A78,$D$2:$D$200,"*novo*",$N$2:$N$200,"C3")+COUNTIFS($A$2:$A$200,$A78,$D$2:$D$200,"*novo*",$N$2:$N$200,"C4"))=0,INDEX(posicao_contratual!$Y$2:$Y$200,MATCH($A78,posicao_contratual!$A$2:$A$200,0))=0),0,"")),"")</f>
        <v/>
      </c>
    </row>
    <row r="79" spans="1:15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IF(OR($A79="",$C79=""),"",IF(OR(($O79)="",($O79)&gt;(MIN(MATCH($C79,{"C0","C1","C2","C3","C4"},0)-1,COUNT(parametros!$F$2:$F$6)-1)),NOT(ISNUMBER(INDEX(parametros!$F$2:$F$6,(MIN(MATCH($C79,{"C0","C1","C2","C3","C4"},0)-1,COUNT(parametros!$F$2:$F$6)-1))+1))),NOT(ISNUMBER(INDEX(parametros!$F$2:$F$6,($O79)+1)))),"",INDEX(parametros!$F$2:$F$6,(MIN(MATCH($C79,{"C0","C1","C2","C3","C4"},0)-1,COUNT(parametros!$F$2:$F$6)-1))+1)/INDEX(parametros!$F$2:$F$6,($O79)+1))),"")</f>
        <v/>
      </c>
      <c r="J79" s="107" t="str">
        <f>IF(OR(L79="",F79=""),"",IF(UPPER(H79)="SIM",IF(ISNUMBER(I79),ROUND(L79*ROUND(F79*I79,2),2),""),ROUND(L79*F79,2)))</f>
        <v/>
      </c>
      <c r="K79" s="105"/>
      <c r="L79" s="85" t="str">
        <f t="shared" si="5"/>
        <v/>
      </c>
      <c r="M79" s="606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TIPO_INVALIDO",IF(AND(ISNUMBER(SEARCH("NOVO",D79)),OR(INDEX(posicao_contratual!$C$2:$C$200,MATCH(A79,posicao_contratual!$A$2:$A$200,0))&lt;&gt;0,F79="",COUNTIFS($A$2:$A$200,A79,$B$2:$B$200,"&lt;"&amp;B79,$L$2:$L$200,"&gt;0")&gt;0)),"ALERTA: NOVO ITEM INVALIDO - use Acrescimo se o item ja existia; novo item exige QTD_BASE_ORIGINAL 0, VU_ORIGINAL e ser o 1o acrescimo do item.",IF(AND(ISNUMBER(SEARCH("NOVO",D79)),OR(N79="",ISERROR(MATCH(N79,{"C0","C1","C2","C3","C4"},0)))),"ALERTA: BASE_VU_OBRIGATORIA",IF(AND(NOT(ISNUMBER(SEARCH("NOVO",D79))),N79&lt;&gt;""),"ALERTA: BASE_VU_NAO_APLICAVEL",IF(AND(UPPER(H79)="SIM",NOT(ISNUMBER(I79))),"ALERTA: BASE_VU_INVALIDA_OU_POSTERIOR_AO_FATOR_ALVO","OK"))))))))))</f>
        <v/>
      </c>
      <c r="N79" s="608"/>
      <c r="O79" s="610" t="str">
        <f>IFERROR(IF((COUNTIFS($A$2:$A$200,$A79,$D$2:$D$200,"*novo*",$N$2:$N$200,"C0")+COUNTIFS($A$2:$A$200,$A79,$D$2:$D$200,"*novo*",$N$2:$N$200,"C1")+COUNTIFS($A$2:$A$200,$A79,$D$2:$D$200,"*novo*",$N$2:$N$200,"C2")+COUNTIFS($A$2:$A$200,$A79,$D$2:$D$200,"*novo*",$N$2:$N$200,"C3")+COUNTIFS($A$2:$A$200,$A79,$D$2:$D$200,"*novo*",$N$2:$N$200,"C4"))=1,IF(COUNTIFS($A$2:$A$200,$A79,$D$2:$D$200,"*novo*",$N$2:$N$200,"C4")&gt;0,4,IF(COUNTIFS($A$2:$A$200,$A79,$D$2:$D$200,"*novo*",$N$2:$N$200,"C3")&gt;0,3,IF(COUNTIFS($A$2:$A$200,$A79,$D$2:$D$200,"*novo*",$N$2:$N$200,"C2")&gt;0,2,IF(COUNTIFS($A$2:$A$200,$A79,$D$2:$D$200,"*novo*",$N$2:$N$200,"C1")&gt;0,1,IF(COUNTIFS($A$2:$A$200,$A79,$D$2:$D$200,"*novo*",$N$2:$N$200,"C0")&gt;0,0,""))))),IF(AND((COUNTIFS($A$2:$A$200,$A79,$D$2:$D$200,"*novo*",$N$2:$N$200,"C0")+COUNTIFS($A$2:$A$200,$A79,$D$2:$D$200,"*novo*",$N$2:$N$200,"C1")+COUNTIFS($A$2:$A$200,$A79,$D$2:$D$200,"*novo*",$N$2:$N$200,"C2")+COUNTIFS($A$2:$A$200,$A79,$D$2:$D$200,"*novo*",$N$2:$N$200,"C3")+COUNTIFS($A$2:$A$200,$A79,$D$2:$D$200,"*novo*",$N$2:$N$200,"C4"))=0,INDEX(posicao_contratual!$Y$2:$Y$200,MATCH($A79,posicao_contratual!$A$2:$A$200,0))=0),0,"")),"")</f>
        <v/>
      </c>
    </row>
    <row r="80" spans="1:15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IF(OR($A80="",$C80=""),"",IF(OR(($O80)="",($O80)&gt;(MIN(MATCH($C80,{"C0","C1","C2","C3","C4"},0)-1,COUNT(parametros!$F$2:$F$6)-1)),NOT(ISNUMBER(INDEX(parametros!$F$2:$F$6,(MIN(MATCH($C80,{"C0","C1","C2","C3","C4"},0)-1,COUNT(parametros!$F$2:$F$6)-1))+1))),NOT(ISNUMBER(INDEX(parametros!$F$2:$F$6,($O80)+1)))),"",INDEX(parametros!$F$2:$F$6,(MIN(MATCH($C80,{"C0","C1","C2","C3","C4"},0)-1,COUNT(parametros!$F$2:$F$6)-1))+1)/INDEX(parametros!$F$2:$F$6,($O80)+1))),"")</f>
        <v/>
      </c>
      <c r="J80" s="107" t="str">
        <f>IF(OR(L80="",F80=""),"",IF(UPPER(H80)="SIM",IF(ISNUMBER(I80),ROUND(L80*ROUND(F80*I80,2),2),""),ROUND(L80*F80,2)))</f>
        <v/>
      </c>
      <c r="K80" s="105"/>
      <c r="L80" s="85" t="str">
        <f t="shared" si="5"/>
        <v/>
      </c>
      <c r="M80" s="606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TIPO_INVALIDO",IF(AND(ISNUMBER(SEARCH("NOVO",D80)),OR(INDEX(posicao_contratual!$C$2:$C$200,MATCH(A80,posicao_contratual!$A$2:$A$200,0))&lt;&gt;0,F80="",COUNTIFS($A$2:$A$200,A80,$B$2:$B$200,"&lt;"&amp;B80,$L$2:$L$200,"&gt;0")&gt;0)),"ALERTA: NOVO ITEM INVALIDO - use Acrescimo se o item ja existia; novo item exige QTD_BASE_ORIGINAL 0, VU_ORIGINAL e ser o 1o acrescimo do item.",IF(AND(ISNUMBER(SEARCH("NOVO",D80)),OR(N80="",ISERROR(MATCH(N80,{"C0","C1","C2","C3","C4"},0)))),"ALERTA: BASE_VU_OBRIGATORIA",IF(AND(NOT(ISNUMBER(SEARCH("NOVO",D80))),N80&lt;&gt;""),"ALERTA: BASE_VU_NAO_APLICAVEL",IF(AND(UPPER(H80)="SIM",NOT(ISNUMBER(I80))),"ALERTA: BASE_VU_INVALIDA_OU_POSTERIOR_AO_FATOR_ALVO","OK"))))))))))</f>
        <v/>
      </c>
      <c r="N80" s="608"/>
      <c r="O80" s="610" t="str">
        <f>IFERROR(IF((COUNTIFS($A$2:$A$200,$A80,$D$2:$D$200,"*novo*",$N$2:$N$200,"C0")+COUNTIFS($A$2:$A$200,$A80,$D$2:$D$200,"*novo*",$N$2:$N$200,"C1")+COUNTIFS($A$2:$A$200,$A80,$D$2:$D$200,"*novo*",$N$2:$N$200,"C2")+COUNTIFS($A$2:$A$200,$A80,$D$2:$D$200,"*novo*",$N$2:$N$200,"C3")+COUNTIFS($A$2:$A$200,$A80,$D$2:$D$200,"*novo*",$N$2:$N$200,"C4"))=1,IF(COUNTIFS($A$2:$A$200,$A80,$D$2:$D$200,"*novo*",$N$2:$N$200,"C4")&gt;0,4,IF(COUNTIFS($A$2:$A$200,$A80,$D$2:$D$200,"*novo*",$N$2:$N$200,"C3")&gt;0,3,IF(COUNTIFS($A$2:$A$200,$A80,$D$2:$D$200,"*novo*",$N$2:$N$200,"C2")&gt;0,2,IF(COUNTIFS($A$2:$A$200,$A80,$D$2:$D$200,"*novo*",$N$2:$N$200,"C1")&gt;0,1,IF(COUNTIFS($A$2:$A$200,$A80,$D$2:$D$200,"*novo*",$N$2:$N$200,"C0")&gt;0,0,""))))),IF(AND((COUNTIFS($A$2:$A$200,$A80,$D$2:$D$200,"*novo*",$N$2:$N$200,"C0")+COUNTIFS($A$2:$A$200,$A80,$D$2:$D$200,"*novo*",$N$2:$N$200,"C1")+COUNTIFS($A$2:$A$200,$A80,$D$2:$D$200,"*novo*",$N$2:$N$200,"C2")+COUNTIFS($A$2:$A$200,$A80,$D$2:$D$200,"*novo*",$N$2:$N$200,"C3")+COUNTIFS($A$2:$A$200,$A80,$D$2:$D$200,"*novo*",$N$2:$N$200,"C4"))=0,INDEX(posicao_contratual!$Y$2:$Y$200,MATCH($A80,posicao_contratual!$A$2:$A$200,0))=0),0,"")),"")</f>
        <v/>
      </c>
    </row>
    <row r="81" spans="1:15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IF(OR($A81="",$C81=""),"",IF(OR(($O81)="",($O81)&gt;(MIN(MATCH($C81,{"C0","C1","C2","C3","C4"},0)-1,COUNT(parametros!$F$2:$F$6)-1)),NOT(ISNUMBER(INDEX(parametros!$F$2:$F$6,(MIN(MATCH($C81,{"C0","C1","C2","C3","C4"},0)-1,COUNT(parametros!$F$2:$F$6)-1))+1))),NOT(ISNUMBER(INDEX(parametros!$F$2:$F$6,($O81)+1)))),"",INDEX(parametros!$F$2:$F$6,(MIN(MATCH($C81,{"C0","C1","C2","C3","C4"},0)-1,COUNT(parametros!$F$2:$F$6)-1))+1)/INDEX(parametros!$F$2:$F$6,($O81)+1))),"")</f>
        <v/>
      </c>
      <c r="J81" s="107" t="str">
        <f>IF(OR(L81="",F81=""),"",IF(UPPER(H81)="SIM",IF(ISNUMBER(I81),ROUND(L81*ROUND(F81*I81,2),2),""),ROUND(L81*F81,2)))</f>
        <v/>
      </c>
      <c r="K81" s="105"/>
      <c r="L81" s="85" t="str">
        <f t="shared" si="5"/>
        <v/>
      </c>
      <c r="M81" s="606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TIPO_INVALIDO",IF(AND(ISNUMBER(SEARCH("NOVO",D81)),OR(INDEX(posicao_contratual!$C$2:$C$200,MATCH(A81,posicao_contratual!$A$2:$A$200,0))&lt;&gt;0,F81="",COUNTIFS($A$2:$A$200,A81,$B$2:$B$200,"&lt;"&amp;B81,$L$2:$L$200,"&gt;0")&gt;0)),"ALERTA: NOVO ITEM INVALIDO - use Acrescimo se o item ja existia; novo item exige QTD_BASE_ORIGINAL 0, VU_ORIGINAL e ser o 1o acrescimo do item.",IF(AND(ISNUMBER(SEARCH("NOVO",D81)),OR(N81="",ISERROR(MATCH(N81,{"C0","C1","C2","C3","C4"},0)))),"ALERTA: BASE_VU_OBRIGATORIA",IF(AND(NOT(ISNUMBER(SEARCH("NOVO",D81))),N81&lt;&gt;""),"ALERTA: BASE_VU_NAO_APLICAVEL",IF(AND(UPPER(H81)="SIM",NOT(ISNUMBER(I81))),"ALERTA: BASE_VU_INVALIDA_OU_POSTERIOR_AO_FATOR_ALVO","OK"))))))))))</f>
        <v/>
      </c>
      <c r="N81" s="608"/>
      <c r="O81" s="610" t="str">
        <f>IFERROR(IF((COUNTIFS($A$2:$A$200,$A81,$D$2:$D$200,"*novo*",$N$2:$N$200,"C0")+COUNTIFS($A$2:$A$200,$A81,$D$2:$D$200,"*novo*",$N$2:$N$200,"C1")+COUNTIFS($A$2:$A$200,$A81,$D$2:$D$200,"*novo*",$N$2:$N$200,"C2")+COUNTIFS($A$2:$A$200,$A81,$D$2:$D$200,"*novo*",$N$2:$N$200,"C3")+COUNTIFS($A$2:$A$200,$A81,$D$2:$D$200,"*novo*",$N$2:$N$200,"C4"))=1,IF(COUNTIFS($A$2:$A$200,$A81,$D$2:$D$200,"*novo*",$N$2:$N$200,"C4")&gt;0,4,IF(COUNTIFS($A$2:$A$200,$A81,$D$2:$D$200,"*novo*",$N$2:$N$200,"C3")&gt;0,3,IF(COUNTIFS($A$2:$A$200,$A81,$D$2:$D$200,"*novo*",$N$2:$N$200,"C2")&gt;0,2,IF(COUNTIFS($A$2:$A$200,$A81,$D$2:$D$200,"*novo*",$N$2:$N$200,"C1")&gt;0,1,IF(COUNTIFS($A$2:$A$200,$A81,$D$2:$D$200,"*novo*",$N$2:$N$200,"C0")&gt;0,0,""))))),IF(AND((COUNTIFS($A$2:$A$200,$A81,$D$2:$D$200,"*novo*",$N$2:$N$200,"C0")+COUNTIFS($A$2:$A$200,$A81,$D$2:$D$200,"*novo*",$N$2:$N$200,"C1")+COUNTIFS($A$2:$A$200,$A81,$D$2:$D$200,"*novo*",$N$2:$N$200,"C2")+COUNTIFS($A$2:$A$200,$A81,$D$2:$D$200,"*novo*",$N$2:$N$200,"C3")+COUNTIFS($A$2:$A$200,$A81,$D$2:$D$200,"*novo*",$N$2:$N$200,"C4"))=0,INDEX(posicao_contratual!$Y$2:$Y$200,MATCH($A81,posicao_contratual!$A$2:$A$200,0))=0),0,"")),"")</f>
        <v/>
      </c>
    </row>
    <row r="82" spans="1:15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IF(OR($A82="",$C82=""),"",IF(OR(($O82)="",($O82)&gt;(MIN(MATCH($C82,{"C0","C1","C2","C3","C4"},0)-1,COUNT(parametros!$F$2:$F$6)-1)),NOT(ISNUMBER(INDEX(parametros!$F$2:$F$6,(MIN(MATCH($C82,{"C0","C1","C2","C3","C4"},0)-1,COUNT(parametros!$F$2:$F$6)-1))+1))),NOT(ISNUMBER(INDEX(parametros!$F$2:$F$6,($O82)+1)))),"",INDEX(parametros!$F$2:$F$6,(MIN(MATCH($C82,{"C0","C1","C2","C3","C4"},0)-1,COUNT(parametros!$F$2:$F$6)-1))+1)/INDEX(parametros!$F$2:$F$6,($O82)+1))),"")</f>
        <v/>
      </c>
      <c r="J82" s="107" t="str">
        <f>IF(OR(L82="",F82=""),"",IF(UPPER(H82)="SIM",IF(ISNUMBER(I82),ROUND(L82*ROUND(F82*I82,2),2),""),ROUND(L82*F82,2)))</f>
        <v/>
      </c>
      <c r="K82" s="105"/>
      <c r="L82" s="85" t="str">
        <f t="shared" si="5"/>
        <v/>
      </c>
      <c r="M82" s="606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TIPO_INVALIDO",IF(AND(ISNUMBER(SEARCH("NOVO",D82)),OR(INDEX(posicao_contratual!$C$2:$C$200,MATCH(A82,posicao_contratual!$A$2:$A$200,0))&lt;&gt;0,F82="",COUNTIFS($A$2:$A$200,A82,$B$2:$B$200,"&lt;"&amp;B82,$L$2:$L$200,"&gt;0")&gt;0)),"ALERTA: NOVO ITEM INVALIDO - use Acrescimo se o item ja existia; novo item exige QTD_BASE_ORIGINAL 0, VU_ORIGINAL e ser o 1o acrescimo do item.",IF(AND(ISNUMBER(SEARCH("NOVO",D82)),OR(N82="",ISERROR(MATCH(N82,{"C0","C1","C2","C3","C4"},0)))),"ALERTA: BASE_VU_OBRIGATORIA",IF(AND(NOT(ISNUMBER(SEARCH("NOVO",D82))),N82&lt;&gt;""),"ALERTA: BASE_VU_NAO_APLICAVEL",IF(AND(UPPER(H82)="SIM",NOT(ISNUMBER(I82))),"ALERTA: BASE_VU_INVALIDA_OU_POSTERIOR_AO_FATOR_ALVO","OK"))))))))))</f>
        <v/>
      </c>
      <c r="N82" s="608"/>
      <c r="O82" s="610" t="str">
        <f>IFERROR(IF((COUNTIFS($A$2:$A$200,$A82,$D$2:$D$200,"*novo*",$N$2:$N$200,"C0")+COUNTIFS($A$2:$A$200,$A82,$D$2:$D$200,"*novo*",$N$2:$N$200,"C1")+COUNTIFS($A$2:$A$200,$A82,$D$2:$D$200,"*novo*",$N$2:$N$200,"C2")+COUNTIFS($A$2:$A$200,$A82,$D$2:$D$200,"*novo*",$N$2:$N$200,"C3")+COUNTIFS($A$2:$A$200,$A82,$D$2:$D$200,"*novo*",$N$2:$N$200,"C4"))=1,IF(COUNTIFS($A$2:$A$200,$A82,$D$2:$D$200,"*novo*",$N$2:$N$200,"C4")&gt;0,4,IF(COUNTIFS($A$2:$A$200,$A82,$D$2:$D$200,"*novo*",$N$2:$N$200,"C3")&gt;0,3,IF(COUNTIFS($A$2:$A$200,$A82,$D$2:$D$200,"*novo*",$N$2:$N$200,"C2")&gt;0,2,IF(COUNTIFS($A$2:$A$200,$A82,$D$2:$D$200,"*novo*",$N$2:$N$200,"C1")&gt;0,1,IF(COUNTIFS($A$2:$A$200,$A82,$D$2:$D$200,"*novo*",$N$2:$N$200,"C0")&gt;0,0,""))))),IF(AND((COUNTIFS($A$2:$A$200,$A82,$D$2:$D$200,"*novo*",$N$2:$N$200,"C0")+COUNTIFS($A$2:$A$200,$A82,$D$2:$D$200,"*novo*",$N$2:$N$200,"C1")+COUNTIFS($A$2:$A$200,$A82,$D$2:$D$200,"*novo*",$N$2:$N$200,"C2")+COUNTIFS($A$2:$A$200,$A82,$D$2:$D$200,"*novo*",$N$2:$N$200,"C3")+COUNTIFS($A$2:$A$200,$A82,$D$2:$D$200,"*novo*",$N$2:$N$200,"C4"))=0,INDEX(posicao_contratual!$Y$2:$Y$200,MATCH($A82,posicao_contratual!$A$2:$A$200,0))=0),0,"")),"")</f>
        <v/>
      </c>
    </row>
    <row r="83" spans="1:15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IF(OR($A83="",$C83=""),"",IF(OR(($O83)="",($O83)&gt;(MIN(MATCH($C83,{"C0","C1","C2","C3","C4"},0)-1,COUNT(parametros!$F$2:$F$6)-1)),NOT(ISNUMBER(INDEX(parametros!$F$2:$F$6,(MIN(MATCH($C83,{"C0","C1","C2","C3","C4"},0)-1,COUNT(parametros!$F$2:$F$6)-1))+1))),NOT(ISNUMBER(INDEX(parametros!$F$2:$F$6,($O83)+1)))),"",INDEX(parametros!$F$2:$F$6,(MIN(MATCH($C83,{"C0","C1","C2","C3","C4"},0)-1,COUNT(parametros!$F$2:$F$6)-1))+1)/INDEX(parametros!$F$2:$F$6,($O83)+1))),"")</f>
        <v/>
      </c>
      <c r="J83" s="107" t="str">
        <f>IF(OR(L83="",F83=""),"",IF(UPPER(H83)="SIM",IF(ISNUMBER(I83),ROUND(L83*ROUND(F83*I83,2),2),""),ROUND(L83*F83,2)))</f>
        <v/>
      </c>
      <c r="K83" s="105"/>
      <c r="L83" s="85" t="str">
        <f t="shared" si="5"/>
        <v/>
      </c>
      <c r="M83" s="606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TIPO_INVALIDO",IF(AND(ISNUMBER(SEARCH("NOVO",D83)),OR(INDEX(posicao_contratual!$C$2:$C$200,MATCH(A83,posicao_contratual!$A$2:$A$200,0))&lt;&gt;0,F83="",COUNTIFS($A$2:$A$200,A83,$B$2:$B$200,"&lt;"&amp;B83,$L$2:$L$200,"&gt;0")&gt;0)),"ALERTA: NOVO ITEM INVALIDO - use Acrescimo se o item ja existia; novo item exige QTD_BASE_ORIGINAL 0, VU_ORIGINAL e ser o 1o acrescimo do item.",IF(AND(ISNUMBER(SEARCH("NOVO",D83)),OR(N83="",ISERROR(MATCH(N83,{"C0","C1","C2","C3","C4"},0)))),"ALERTA: BASE_VU_OBRIGATORIA",IF(AND(NOT(ISNUMBER(SEARCH("NOVO",D83))),N83&lt;&gt;""),"ALERTA: BASE_VU_NAO_APLICAVEL",IF(AND(UPPER(H83)="SIM",NOT(ISNUMBER(I83))),"ALERTA: BASE_VU_INVALIDA_OU_POSTERIOR_AO_FATOR_ALVO","OK"))))))))))</f>
        <v/>
      </c>
      <c r="N83" s="608"/>
      <c r="O83" s="610" t="str">
        <f>IFERROR(IF((COUNTIFS($A$2:$A$200,$A83,$D$2:$D$200,"*novo*",$N$2:$N$200,"C0")+COUNTIFS($A$2:$A$200,$A83,$D$2:$D$200,"*novo*",$N$2:$N$200,"C1")+COUNTIFS($A$2:$A$200,$A83,$D$2:$D$200,"*novo*",$N$2:$N$200,"C2")+COUNTIFS($A$2:$A$200,$A83,$D$2:$D$200,"*novo*",$N$2:$N$200,"C3")+COUNTIFS($A$2:$A$200,$A83,$D$2:$D$200,"*novo*",$N$2:$N$200,"C4"))=1,IF(COUNTIFS($A$2:$A$200,$A83,$D$2:$D$200,"*novo*",$N$2:$N$200,"C4")&gt;0,4,IF(COUNTIFS($A$2:$A$200,$A83,$D$2:$D$200,"*novo*",$N$2:$N$200,"C3")&gt;0,3,IF(COUNTIFS($A$2:$A$200,$A83,$D$2:$D$200,"*novo*",$N$2:$N$200,"C2")&gt;0,2,IF(COUNTIFS($A$2:$A$200,$A83,$D$2:$D$200,"*novo*",$N$2:$N$200,"C1")&gt;0,1,IF(COUNTIFS($A$2:$A$200,$A83,$D$2:$D$200,"*novo*",$N$2:$N$200,"C0")&gt;0,0,""))))),IF(AND((COUNTIFS($A$2:$A$200,$A83,$D$2:$D$200,"*novo*",$N$2:$N$200,"C0")+COUNTIFS($A$2:$A$200,$A83,$D$2:$D$200,"*novo*",$N$2:$N$200,"C1")+COUNTIFS($A$2:$A$200,$A83,$D$2:$D$200,"*novo*",$N$2:$N$200,"C2")+COUNTIFS($A$2:$A$200,$A83,$D$2:$D$200,"*novo*",$N$2:$N$200,"C3")+COUNTIFS($A$2:$A$200,$A83,$D$2:$D$200,"*novo*",$N$2:$N$200,"C4"))=0,INDEX(posicao_contratual!$Y$2:$Y$200,MATCH($A83,posicao_contratual!$A$2:$A$200,0))=0),0,"")),"")</f>
        <v/>
      </c>
    </row>
    <row r="84" spans="1:15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IF(OR($A84="",$C84=""),"",IF(OR(($O84)="",($O84)&gt;(MIN(MATCH($C84,{"C0","C1","C2","C3","C4"},0)-1,COUNT(parametros!$F$2:$F$6)-1)),NOT(ISNUMBER(INDEX(parametros!$F$2:$F$6,(MIN(MATCH($C84,{"C0","C1","C2","C3","C4"},0)-1,COUNT(parametros!$F$2:$F$6)-1))+1))),NOT(ISNUMBER(INDEX(parametros!$F$2:$F$6,($O84)+1)))),"",INDEX(parametros!$F$2:$F$6,(MIN(MATCH($C84,{"C0","C1","C2","C3","C4"},0)-1,COUNT(parametros!$F$2:$F$6)-1))+1)/INDEX(parametros!$F$2:$F$6,($O84)+1))),"")</f>
        <v/>
      </c>
      <c r="J84" s="107" t="str">
        <f>IF(OR(L84="",F84=""),"",IF(UPPER(H84)="SIM",IF(ISNUMBER(I84),ROUND(L84*ROUND(F84*I84,2),2),""),ROUND(L84*F84,2)))</f>
        <v/>
      </c>
      <c r="K84" s="105"/>
      <c r="L84" s="85" t="str">
        <f t="shared" si="5"/>
        <v/>
      </c>
      <c r="M84" s="606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TIPO_INVALIDO",IF(AND(ISNUMBER(SEARCH("NOVO",D84)),OR(INDEX(posicao_contratual!$C$2:$C$200,MATCH(A84,posicao_contratual!$A$2:$A$200,0))&lt;&gt;0,F84="",COUNTIFS($A$2:$A$200,A84,$B$2:$B$200,"&lt;"&amp;B84,$L$2:$L$200,"&gt;0")&gt;0)),"ALERTA: NOVO ITEM INVALIDO - use Acrescimo se o item ja existia; novo item exige QTD_BASE_ORIGINAL 0, VU_ORIGINAL e ser o 1o acrescimo do item.",IF(AND(ISNUMBER(SEARCH("NOVO",D84)),OR(N84="",ISERROR(MATCH(N84,{"C0","C1","C2","C3","C4"},0)))),"ALERTA: BASE_VU_OBRIGATORIA",IF(AND(NOT(ISNUMBER(SEARCH("NOVO",D84))),N84&lt;&gt;""),"ALERTA: BASE_VU_NAO_APLICAVEL",IF(AND(UPPER(H84)="SIM",NOT(ISNUMBER(I84))),"ALERTA: BASE_VU_INVALIDA_OU_POSTERIOR_AO_FATOR_ALVO","OK"))))))))))</f>
        <v/>
      </c>
      <c r="N84" s="608"/>
      <c r="O84" s="610" t="str">
        <f>IFERROR(IF((COUNTIFS($A$2:$A$200,$A84,$D$2:$D$200,"*novo*",$N$2:$N$200,"C0")+COUNTIFS($A$2:$A$200,$A84,$D$2:$D$200,"*novo*",$N$2:$N$200,"C1")+COUNTIFS($A$2:$A$200,$A84,$D$2:$D$200,"*novo*",$N$2:$N$200,"C2")+COUNTIFS($A$2:$A$200,$A84,$D$2:$D$200,"*novo*",$N$2:$N$200,"C3")+COUNTIFS($A$2:$A$200,$A84,$D$2:$D$200,"*novo*",$N$2:$N$200,"C4"))=1,IF(COUNTIFS($A$2:$A$200,$A84,$D$2:$D$200,"*novo*",$N$2:$N$200,"C4")&gt;0,4,IF(COUNTIFS($A$2:$A$200,$A84,$D$2:$D$200,"*novo*",$N$2:$N$200,"C3")&gt;0,3,IF(COUNTIFS($A$2:$A$200,$A84,$D$2:$D$200,"*novo*",$N$2:$N$200,"C2")&gt;0,2,IF(COUNTIFS($A$2:$A$200,$A84,$D$2:$D$200,"*novo*",$N$2:$N$200,"C1")&gt;0,1,IF(COUNTIFS($A$2:$A$200,$A84,$D$2:$D$200,"*novo*",$N$2:$N$200,"C0")&gt;0,0,""))))),IF(AND((COUNTIFS($A$2:$A$200,$A84,$D$2:$D$200,"*novo*",$N$2:$N$200,"C0")+COUNTIFS($A$2:$A$200,$A84,$D$2:$D$200,"*novo*",$N$2:$N$200,"C1")+COUNTIFS($A$2:$A$200,$A84,$D$2:$D$200,"*novo*",$N$2:$N$200,"C2")+COUNTIFS($A$2:$A$200,$A84,$D$2:$D$200,"*novo*",$N$2:$N$200,"C3")+COUNTIFS($A$2:$A$200,$A84,$D$2:$D$200,"*novo*",$N$2:$N$200,"C4"))=0,INDEX(posicao_contratual!$Y$2:$Y$200,MATCH($A84,posicao_contratual!$A$2:$A$200,0))=0),0,"")),"")</f>
        <v/>
      </c>
    </row>
    <row r="85" spans="1:15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IF(OR($A85="",$C85=""),"",IF(OR(($O85)="",($O85)&gt;(MIN(MATCH($C85,{"C0","C1","C2","C3","C4"},0)-1,COUNT(parametros!$F$2:$F$6)-1)),NOT(ISNUMBER(INDEX(parametros!$F$2:$F$6,(MIN(MATCH($C85,{"C0","C1","C2","C3","C4"},0)-1,COUNT(parametros!$F$2:$F$6)-1))+1))),NOT(ISNUMBER(INDEX(parametros!$F$2:$F$6,($O85)+1)))),"",INDEX(parametros!$F$2:$F$6,(MIN(MATCH($C85,{"C0","C1","C2","C3","C4"},0)-1,COUNT(parametros!$F$2:$F$6)-1))+1)/INDEX(parametros!$F$2:$F$6,($O85)+1))),"")</f>
        <v/>
      </c>
      <c r="J85" s="107" t="str">
        <f>IF(OR(L85="",F85=""),"",IF(UPPER(H85)="SIM",IF(ISNUMBER(I85),ROUND(L85*ROUND(F85*I85,2),2),""),ROUND(L85*F85,2)))</f>
        <v/>
      </c>
      <c r="K85" s="105"/>
      <c r="L85" s="85" t="str">
        <f t="shared" si="5"/>
        <v/>
      </c>
      <c r="M85" s="606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TIPO_INVALIDO",IF(AND(ISNUMBER(SEARCH("NOVO",D85)),OR(INDEX(posicao_contratual!$C$2:$C$200,MATCH(A85,posicao_contratual!$A$2:$A$200,0))&lt;&gt;0,F85="",COUNTIFS($A$2:$A$200,A85,$B$2:$B$200,"&lt;"&amp;B85,$L$2:$L$200,"&gt;0")&gt;0)),"ALERTA: NOVO ITEM INVALIDO - use Acrescimo se o item ja existia; novo item exige QTD_BASE_ORIGINAL 0, VU_ORIGINAL e ser o 1o acrescimo do item.",IF(AND(ISNUMBER(SEARCH("NOVO",D85)),OR(N85="",ISERROR(MATCH(N85,{"C0","C1","C2","C3","C4"},0)))),"ALERTA: BASE_VU_OBRIGATORIA",IF(AND(NOT(ISNUMBER(SEARCH("NOVO",D85))),N85&lt;&gt;""),"ALERTA: BASE_VU_NAO_APLICAVEL",IF(AND(UPPER(H85)="SIM",NOT(ISNUMBER(I85))),"ALERTA: BASE_VU_INVALIDA_OU_POSTERIOR_AO_FATOR_ALVO","OK"))))))))))</f>
        <v/>
      </c>
      <c r="N85" s="608"/>
      <c r="O85" s="610" t="str">
        <f>IFERROR(IF((COUNTIFS($A$2:$A$200,$A85,$D$2:$D$200,"*novo*",$N$2:$N$200,"C0")+COUNTIFS($A$2:$A$200,$A85,$D$2:$D$200,"*novo*",$N$2:$N$200,"C1")+COUNTIFS($A$2:$A$200,$A85,$D$2:$D$200,"*novo*",$N$2:$N$200,"C2")+COUNTIFS($A$2:$A$200,$A85,$D$2:$D$200,"*novo*",$N$2:$N$200,"C3")+COUNTIFS($A$2:$A$200,$A85,$D$2:$D$200,"*novo*",$N$2:$N$200,"C4"))=1,IF(COUNTIFS($A$2:$A$200,$A85,$D$2:$D$200,"*novo*",$N$2:$N$200,"C4")&gt;0,4,IF(COUNTIFS($A$2:$A$200,$A85,$D$2:$D$200,"*novo*",$N$2:$N$200,"C3")&gt;0,3,IF(COUNTIFS($A$2:$A$200,$A85,$D$2:$D$200,"*novo*",$N$2:$N$200,"C2")&gt;0,2,IF(COUNTIFS($A$2:$A$200,$A85,$D$2:$D$200,"*novo*",$N$2:$N$200,"C1")&gt;0,1,IF(COUNTIFS($A$2:$A$200,$A85,$D$2:$D$200,"*novo*",$N$2:$N$200,"C0")&gt;0,0,""))))),IF(AND((COUNTIFS($A$2:$A$200,$A85,$D$2:$D$200,"*novo*",$N$2:$N$200,"C0")+COUNTIFS($A$2:$A$200,$A85,$D$2:$D$200,"*novo*",$N$2:$N$200,"C1")+COUNTIFS($A$2:$A$200,$A85,$D$2:$D$200,"*novo*",$N$2:$N$200,"C2")+COUNTIFS($A$2:$A$200,$A85,$D$2:$D$200,"*novo*",$N$2:$N$200,"C3")+COUNTIFS($A$2:$A$200,$A85,$D$2:$D$200,"*novo*",$N$2:$N$200,"C4"))=0,INDEX(posicao_contratual!$Y$2:$Y$200,MATCH($A85,posicao_contratual!$A$2:$A$200,0))=0),0,"")),"")</f>
        <v/>
      </c>
    </row>
    <row r="86" spans="1:15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IF(OR($A86="",$C86=""),"",IF(OR(($O86)="",($O86)&gt;(MIN(MATCH($C86,{"C0","C1","C2","C3","C4"},0)-1,COUNT(parametros!$F$2:$F$6)-1)),NOT(ISNUMBER(INDEX(parametros!$F$2:$F$6,(MIN(MATCH($C86,{"C0","C1","C2","C3","C4"},0)-1,COUNT(parametros!$F$2:$F$6)-1))+1))),NOT(ISNUMBER(INDEX(parametros!$F$2:$F$6,($O86)+1)))),"",INDEX(parametros!$F$2:$F$6,(MIN(MATCH($C86,{"C0","C1","C2","C3","C4"},0)-1,COUNT(parametros!$F$2:$F$6)-1))+1)/INDEX(parametros!$F$2:$F$6,($O86)+1))),"")</f>
        <v/>
      </c>
      <c r="J86" s="107" t="str">
        <f>IF(OR(L86="",F86=""),"",IF(UPPER(H86)="SIM",IF(ISNUMBER(I86),ROUND(L86*ROUND(F86*I86,2),2),""),ROUND(L86*F86,2)))</f>
        <v/>
      </c>
      <c r="K86" s="105"/>
      <c r="L86" s="85" t="str">
        <f t="shared" si="5"/>
        <v/>
      </c>
      <c r="M86" s="606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TIPO_INVALIDO",IF(AND(ISNUMBER(SEARCH("NOVO",D86)),OR(INDEX(posicao_contratual!$C$2:$C$200,MATCH(A86,posicao_contratual!$A$2:$A$200,0))&lt;&gt;0,F86="",COUNTIFS($A$2:$A$200,A86,$B$2:$B$200,"&lt;"&amp;B86,$L$2:$L$200,"&gt;0")&gt;0)),"ALERTA: NOVO ITEM INVALIDO - use Acrescimo se o item ja existia; novo item exige QTD_BASE_ORIGINAL 0, VU_ORIGINAL e ser o 1o acrescimo do item.",IF(AND(ISNUMBER(SEARCH("NOVO",D86)),OR(N86="",ISERROR(MATCH(N86,{"C0","C1","C2","C3","C4"},0)))),"ALERTA: BASE_VU_OBRIGATORIA",IF(AND(NOT(ISNUMBER(SEARCH("NOVO",D86))),N86&lt;&gt;""),"ALERTA: BASE_VU_NAO_APLICAVEL",IF(AND(UPPER(H86)="SIM",NOT(ISNUMBER(I86))),"ALERTA: BASE_VU_INVALIDA_OU_POSTERIOR_AO_FATOR_ALVO","OK"))))))))))</f>
        <v/>
      </c>
      <c r="N86" s="608"/>
      <c r="O86" s="610" t="str">
        <f>IFERROR(IF((COUNTIFS($A$2:$A$200,$A86,$D$2:$D$200,"*novo*",$N$2:$N$200,"C0")+COUNTIFS($A$2:$A$200,$A86,$D$2:$D$200,"*novo*",$N$2:$N$200,"C1")+COUNTIFS($A$2:$A$200,$A86,$D$2:$D$200,"*novo*",$N$2:$N$200,"C2")+COUNTIFS($A$2:$A$200,$A86,$D$2:$D$200,"*novo*",$N$2:$N$200,"C3")+COUNTIFS($A$2:$A$200,$A86,$D$2:$D$200,"*novo*",$N$2:$N$200,"C4"))=1,IF(COUNTIFS($A$2:$A$200,$A86,$D$2:$D$200,"*novo*",$N$2:$N$200,"C4")&gt;0,4,IF(COUNTIFS($A$2:$A$200,$A86,$D$2:$D$200,"*novo*",$N$2:$N$200,"C3")&gt;0,3,IF(COUNTIFS($A$2:$A$200,$A86,$D$2:$D$200,"*novo*",$N$2:$N$200,"C2")&gt;0,2,IF(COUNTIFS($A$2:$A$200,$A86,$D$2:$D$200,"*novo*",$N$2:$N$200,"C1")&gt;0,1,IF(COUNTIFS($A$2:$A$200,$A86,$D$2:$D$200,"*novo*",$N$2:$N$200,"C0")&gt;0,0,""))))),IF(AND((COUNTIFS($A$2:$A$200,$A86,$D$2:$D$200,"*novo*",$N$2:$N$200,"C0")+COUNTIFS($A$2:$A$200,$A86,$D$2:$D$200,"*novo*",$N$2:$N$200,"C1")+COUNTIFS($A$2:$A$200,$A86,$D$2:$D$200,"*novo*",$N$2:$N$200,"C2")+COUNTIFS($A$2:$A$200,$A86,$D$2:$D$200,"*novo*",$N$2:$N$200,"C3")+COUNTIFS($A$2:$A$200,$A86,$D$2:$D$200,"*novo*",$N$2:$N$200,"C4"))=0,INDEX(posicao_contratual!$Y$2:$Y$200,MATCH($A86,posicao_contratual!$A$2:$A$200,0))=0),0,"")),"")</f>
        <v/>
      </c>
    </row>
    <row r="87" spans="1:15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IF(OR($A87="",$C87=""),"",IF(OR(($O87)="",($O87)&gt;(MIN(MATCH($C87,{"C0","C1","C2","C3","C4"},0)-1,COUNT(parametros!$F$2:$F$6)-1)),NOT(ISNUMBER(INDEX(parametros!$F$2:$F$6,(MIN(MATCH($C87,{"C0","C1","C2","C3","C4"},0)-1,COUNT(parametros!$F$2:$F$6)-1))+1))),NOT(ISNUMBER(INDEX(parametros!$F$2:$F$6,($O87)+1)))),"",INDEX(parametros!$F$2:$F$6,(MIN(MATCH($C87,{"C0","C1","C2","C3","C4"},0)-1,COUNT(parametros!$F$2:$F$6)-1))+1)/INDEX(parametros!$F$2:$F$6,($O87)+1))),"")</f>
        <v/>
      </c>
      <c r="J87" s="107" t="str">
        <f>IF(OR(L87="",F87=""),"",IF(UPPER(H87)="SIM",IF(ISNUMBER(I87),ROUND(L87*ROUND(F87*I87,2),2),""),ROUND(L87*F87,2)))</f>
        <v/>
      </c>
      <c r="K87" s="105"/>
      <c r="L87" s="85" t="str">
        <f t="shared" si="5"/>
        <v/>
      </c>
      <c r="M87" s="606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TIPO_INVALIDO",IF(AND(ISNUMBER(SEARCH("NOVO",D87)),OR(INDEX(posicao_contratual!$C$2:$C$200,MATCH(A87,posicao_contratual!$A$2:$A$200,0))&lt;&gt;0,F87="",COUNTIFS($A$2:$A$200,A87,$B$2:$B$200,"&lt;"&amp;B87,$L$2:$L$200,"&gt;0")&gt;0)),"ALERTA: NOVO ITEM INVALIDO - use Acrescimo se o item ja existia; novo item exige QTD_BASE_ORIGINAL 0, VU_ORIGINAL e ser o 1o acrescimo do item.",IF(AND(ISNUMBER(SEARCH("NOVO",D87)),OR(N87="",ISERROR(MATCH(N87,{"C0","C1","C2","C3","C4"},0)))),"ALERTA: BASE_VU_OBRIGATORIA",IF(AND(NOT(ISNUMBER(SEARCH("NOVO",D87))),N87&lt;&gt;""),"ALERTA: BASE_VU_NAO_APLICAVEL",IF(AND(UPPER(H87)="SIM",NOT(ISNUMBER(I87))),"ALERTA: BASE_VU_INVALIDA_OU_POSTERIOR_AO_FATOR_ALVO","OK"))))))))))</f>
        <v/>
      </c>
      <c r="N87" s="608"/>
      <c r="O87" s="610" t="str">
        <f>IFERROR(IF((COUNTIFS($A$2:$A$200,$A87,$D$2:$D$200,"*novo*",$N$2:$N$200,"C0")+COUNTIFS($A$2:$A$200,$A87,$D$2:$D$200,"*novo*",$N$2:$N$200,"C1")+COUNTIFS($A$2:$A$200,$A87,$D$2:$D$200,"*novo*",$N$2:$N$200,"C2")+COUNTIFS($A$2:$A$200,$A87,$D$2:$D$200,"*novo*",$N$2:$N$200,"C3")+COUNTIFS($A$2:$A$200,$A87,$D$2:$D$200,"*novo*",$N$2:$N$200,"C4"))=1,IF(COUNTIFS($A$2:$A$200,$A87,$D$2:$D$200,"*novo*",$N$2:$N$200,"C4")&gt;0,4,IF(COUNTIFS($A$2:$A$200,$A87,$D$2:$D$200,"*novo*",$N$2:$N$200,"C3")&gt;0,3,IF(COUNTIFS($A$2:$A$200,$A87,$D$2:$D$200,"*novo*",$N$2:$N$200,"C2")&gt;0,2,IF(COUNTIFS($A$2:$A$200,$A87,$D$2:$D$200,"*novo*",$N$2:$N$200,"C1")&gt;0,1,IF(COUNTIFS($A$2:$A$200,$A87,$D$2:$D$200,"*novo*",$N$2:$N$200,"C0")&gt;0,0,""))))),IF(AND((COUNTIFS($A$2:$A$200,$A87,$D$2:$D$200,"*novo*",$N$2:$N$200,"C0")+COUNTIFS($A$2:$A$200,$A87,$D$2:$D$200,"*novo*",$N$2:$N$200,"C1")+COUNTIFS($A$2:$A$200,$A87,$D$2:$D$200,"*novo*",$N$2:$N$200,"C2")+COUNTIFS($A$2:$A$200,$A87,$D$2:$D$200,"*novo*",$N$2:$N$200,"C3")+COUNTIFS($A$2:$A$200,$A87,$D$2:$D$200,"*novo*",$N$2:$N$200,"C4"))=0,INDEX(posicao_contratual!$Y$2:$Y$200,MATCH($A87,posicao_contratual!$A$2:$A$200,0))=0),0,"")),"")</f>
        <v/>
      </c>
    </row>
    <row r="88" spans="1:15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IF(OR($A88="",$C88=""),"",IF(OR(($O88)="",($O88)&gt;(MIN(MATCH($C88,{"C0","C1","C2","C3","C4"},0)-1,COUNT(parametros!$F$2:$F$6)-1)),NOT(ISNUMBER(INDEX(parametros!$F$2:$F$6,(MIN(MATCH($C88,{"C0","C1","C2","C3","C4"},0)-1,COUNT(parametros!$F$2:$F$6)-1))+1))),NOT(ISNUMBER(INDEX(parametros!$F$2:$F$6,($O88)+1)))),"",INDEX(parametros!$F$2:$F$6,(MIN(MATCH($C88,{"C0","C1","C2","C3","C4"},0)-1,COUNT(parametros!$F$2:$F$6)-1))+1)/INDEX(parametros!$F$2:$F$6,($O88)+1))),"")</f>
        <v/>
      </c>
      <c r="J88" s="107" t="str">
        <f>IF(OR(L88="",F88=""),"",IF(UPPER(H88)="SIM",IF(ISNUMBER(I88),ROUND(L88*ROUND(F88*I88,2),2),""),ROUND(L88*F88,2)))</f>
        <v/>
      </c>
      <c r="K88" s="105"/>
      <c r="L88" s="85" t="str">
        <f t="shared" si="5"/>
        <v/>
      </c>
      <c r="M88" s="606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TIPO_INVALIDO",IF(AND(ISNUMBER(SEARCH("NOVO",D88)),OR(INDEX(posicao_contratual!$C$2:$C$200,MATCH(A88,posicao_contratual!$A$2:$A$200,0))&lt;&gt;0,F88="",COUNTIFS($A$2:$A$200,A88,$B$2:$B$200,"&lt;"&amp;B88,$L$2:$L$200,"&gt;0")&gt;0)),"ALERTA: NOVO ITEM INVALIDO - use Acrescimo se o item ja existia; novo item exige QTD_BASE_ORIGINAL 0, VU_ORIGINAL e ser o 1o acrescimo do item.",IF(AND(ISNUMBER(SEARCH("NOVO",D88)),OR(N88="",ISERROR(MATCH(N88,{"C0","C1","C2","C3","C4"},0)))),"ALERTA: BASE_VU_OBRIGATORIA",IF(AND(NOT(ISNUMBER(SEARCH("NOVO",D88))),N88&lt;&gt;""),"ALERTA: BASE_VU_NAO_APLICAVEL",IF(AND(UPPER(H88)="SIM",NOT(ISNUMBER(I88))),"ALERTA: BASE_VU_INVALIDA_OU_POSTERIOR_AO_FATOR_ALVO","OK"))))))))))</f>
        <v/>
      </c>
      <c r="N88" s="608"/>
      <c r="O88" s="610" t="str">
        <f>IFERROR(IF((COUNTIFS($A$2:$A$200,$A88,$D$2:$D$200,"*novo*",$N$2:$N$200,"C0")+COUNTIFS($A$2:$A$200,$A88,$D$2:$D$200,"*novo*",$N$2:$N$200,"C1")+COUNTIFS($A$2:$A$200,$A88,$D$2:$D$200,"*novo*",$N$2:$N$200,"C2")+COUNTIFS($A$2:$A$200,$A88,$D$2:$D$200,"*novo*",$N$2:$N$200,"C3")+COUNTIFS($A$2:$A$200,$A88,$D$2:$D$200,"*novo*",$N$2:$N$200,"C4"))=1,IF(COUNTIFS($A$2:$A$200,$A88,$D$2:$D$200,"*novo*",$N$2:$N$200,"C4")&gt;0,4,IF(COUNTIFS($A$2:$A$200,$A88,$D$2:$D$200,"*novo*",$N$2:$N$200,"C3")&gt;0,3,IF(COUNTIFS($A$2:$A$200,$A88,$D$2:$D$200,"*novo*",$N$2:$N$200,"C2")&gt;0,2,IF(COUNTIFS($A$2:$A$200,$A88,$D$2:$D$200,"*novo*",$N$2:$N$200,"C1")&gt;0,1,IF(COUNTIFS($A$2:$A$200,$A88,$D$2:$D$200,"*novo*",$N$2:$N$200,"C0")&gt;0,0,""))))),IF(AND((COUNTIFS($A$2:$A$200,$A88,$D$2:$D$200,"*novo*",$N$2:$N$200,"C0")+COUNTIFS($A$2:$A$200,$A88,$D$2:$D$200,"*novo*",$N$2:$N$200,"C1")+COUNTIFS($A$2:$A$200,$A88,$D$2:$D$200,"*novo*",$N$2:$N$200,"C2")+COUNTIFS($A$2:$A$200,$A88,$D$2:$D$200,"*novo*",$N$2:$N$200,"C3")+COUNTIFS($A$2:$A$200,$A88,$D$2:$D$200,"*novo*",$N$2:$N$200,"C4"))=0,INDEX(posicao_contratual!$Y$2:$Y$200,MATCH($A88,posicao_contratual!$A$2:$A$200,0))=0),0,"")),"")</f>
        <v/>
      </c>
    </row>
    <row r="89" spans="1:15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IF(OR($A89="",$C89=""),"",IF(OR(($O89)="",($O89)&gt;(MIN(MATCH($C89,{"C0","C1","C2","C3","C4"},0)-1,COUNT(parametros!$F$2:$F$6)-1)),NOT(ISNUMBER(INDEX(parametros!$F$2:$F$6,(MIN(MATCH($C89,{"C0","C1","C2","C3","C4"},0)-1,COUNT(parametros!$F$2:$F$6)-1))+1))),NOT(ISNUMBER(INDEX(parametros!$F$2:$F$6,($O89)+1)))),"",INDEX(parametros!$F$2:$F$6,(MIN(MATCH($C89,{"C0","C1","C2","C3","C4"},0)-1,COUNT(parametros!$F$2:$F$6)-1))+1)/INDEX(parametros!$F$2:$F$6,($O89)+1))),"")</f>
        <v/>
      </c>
      <c r="J89" s="107" t="str">
        <f>IF(OR(L89="",F89=""),"",IF(UPPER(H89)="SIM",IF(ISNUMBER(I89),ROUND(L89*ROUND(F89*I89,2),2),""),ROUND(L89*F89,2)))</f>
        <v/>
      </c>
      <c r="K89" s="105"/>
      <c r="L89" s="85" t="str">
        <f t="shared" si="5"/>
        <v/>
      </c>
      <c r="M89" s="606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TIPO_INVALIDO",IF(AND(ISNUMBER(SEARCH("NOVO",D89)),OR(INDEX(posicao_contratual!$C$2:$C$200,MATCH(A89,posicao_contratual!$A$2:$A$200,0))&lt;&gt;0,F89="",COUNTIFS($A$2:$A$200,A89,$B$2:$B$200,"&lt;"&amp;B89,$L$2:$L$200,"&gt;0")&gt;0)),"ALERTA: NOVO ITEM INVALIDO - use Acrescimo se o item ja existia; novo item exige QTD_BASE_ORIGINAL 0, VU_ORIGINAL e ser o 1o acrescimo do item.",IF(AND(ISNUMBER(SEARCH("NOVO",D89)),OR(N89="",ISERROR(MATCH(N89,{"C0","C1","C2","C3","C4"},0)))),"ALERTA: BASE_VU_OBRIGATORIA",IF(AND(NOT(ISNUMBER(SEARCH("NOVO",D89))),N89&lt;&gt;""),"ALERTA: BASE_VU_NAO_APLICAVEL",IF(AND(UPPER(H89)="SIM",NOT(ISNUMBER(I89))),"ALERTA: BASE_VU_INVALIDA_OU_POSTERIOR_AO_FATOR_ALVO","OK"))))))))))</f>
        <v/>
      </c>
      <c r="N89" s="608"/>
      <c r="O89" s="610" t="str">
        <f>IFERROR(IF((COUNTIFS($A$2:$A$200,$A89,$D$2:$D$200,"*novo*",$N$2:$N$200,"C0")+COUNTIFS($A$2:$A$200,$A89,$D$2:$D$200,"*novo*",$N$2:$N$200,"C1")+COUNTIFS($A$2:$A$200,$A89,$D$2:$D$200,"*novo*",$N$2:$N$200,"C2")+COUNTIFS($A$2:$A$200,$A89,$D$2:$D$200,"*novo*",$N$2:$N$200,"C3")+COUNTIFS($A$2:$A$200,$A89,$D$2:$D$200,"*novo*",$N$2:$N$200,"C4"))=1,IF(COUNTIFS($A$2:$A$200,$A89,$D$2:$D$200,"*novo*",$N$2:$N$200,"C4")&gt;0,4,IF(COUNTIFS($A$2:$A$200,$A89,$D$2:$D$200,"*novo*",$N$2:$N$200,"C3")&gt;0,3,IF(COUNTIFS($A$2:$A$200,$A89,$D$2:$D$200,"*novo*",$N$2:$N$200,"C2")&gt;0,2,IF(COUNTIFS($A$2:$A$200,$A89,$D$2:$D$200,"*novo*",$N$2:$N$200,"C1")&gt;0,1,IF(COUNTIFS($A$2:$A$200,$A89,$D$2:$D$200,"*novo*",$N$2:$N$200,"C0")&gt;0,0,""))))),IF(AND((COUNTIFS($A$2:$A$200,$A89,$D$2:$D$200,"*novo*",$N$2:$N$200,"C0")+COUNTIFS($A$2:$A$200,$A89,$D$2:$D$200,"*novo*",$N$2:$N$200,"C1")+COUNTIFS($A$2:$A$200,$A89,$D$2:$D$200,"*novo*",$N$2:$N$200,"C2")+COUNTIFS($A$2:$A$200,$A89,$D$2:$D$200,"*novo*",$N$2:$N$200,"C3")+COUNTIFS($A$2:$A$200,$A89,$D$2:$D$200,"*novo*",$N$2:$N$200,"C4"))=0,INDEX(posicao_contratual!$Y$2:$Y$200,MATCH($A89,posicao_contratual!$A$2:$A$200,0))=0),0,"")),"")</f>
        <v/>
      </c>
    </row>
    <row r="90" spans="1:15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IF(OR($A90="",$C90=""),"",IF(OR(($O90)="",($O90)&gt;(MIN(MATCH($C90,{"C0","C1","C2","C3","C4"},0)-1,COUNT(parametros!$F$2:$F$6)-1)),NOT(ISNUMBER(INDEX(parametros!$F$2:$F$6,(MIN(MATCH($C90,{"C0","C1","C2","C3","C4"},0)-1,COUNT(parametros!$F$2:$F$6)-1))+1))),NOT(ISNUMBER(INDEX(parametros!$F$2:$F$6,($O90)+1)))),"",INDEX(parametros!$F$2:$F$6,(MIN(MATCH($C90,{"C0","C1","C2","C3","C4"},0)-1,COUNT(parametros!$F$2:$F$6)-1))+1)/INDEX(parametros!$F$2:$F$6,($O90)+1))),"")</f>
        <v/>
      </c>
      <c r="J90" s="107" t="str">
        <f>IF(OR(L90="",F90=""),"",IF(UPPER(H90)="SIM",IF(ISNUMBER(I90),ROUND(L90*ROUND(F90*I90,2),2),""),ROUND(L90*F90,2)))</f>
        <v/>
      </c>
      <c r="K90" s="105"/>
      <c r="L90" s="85" t="str">
        <f t="shared" si="5"/>
        <v/>
      </c>
      <c r="M90" s="606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TIPO_INVALIDO",IF(AND(ISNUMBER(SEARCH("NOVO",D90)),OR(INDEX(posicao_contratual!$C$2:$C$200,MATCH(A90,posicao_contratual!$A$2:$A$200,0))&lt;&gt;0,F90="",COUNTIFS($A$2:$A$200,A90,$B$2:$B$200,"&lt;"&amp;B90,$L$2:$L$200,"&gt;0")&gt;0)),"ALERTA: NOVO ITEM INVALIDO - use Acrescimo se o item ja existia; novo item exige QTD_BASE_ORIGINAL 0, VU_ORIGINAL e ser o 1o acrescimo do item.",IF(AND(ISNUMBER(SEARCH("NOVO",D90)),OR(N90="",ISERROR(MATCH(N90,{"C0","C1","C2","C3","C4"},0)))),"ALERTA: BASE_VU_OBRIGATORIA",IF(AND(NOT(ISNUMBER(SEARCH("NOVO",D90))),N90&lt;&gt;""),"ALERTA: BASE_VU_NAO_APLICAVEL",IF(AND(UPPER(H90)="SIM",NOT(ISNUMBER(I90))),"ALERTA: BASE_VU_INVALIDA_OU_POSTERIOR_AO_FATOR_ALVO","OK"))))))))))</f>
        <v/>
      </c>
      <c r="N90" s="608"/>
      <c r="O90" s="610" t="str">
        <f>IFERROR(IF((COUNTIFS($A$2:$A$200,$A90,$D$2:$D$200,"*novo*",$N$2:$N$200,"C0")+COUNTIFS($A$2:$A$200,$A90,$D$2:$D$200,"*novo*",$N$2:$N$200,"C1")+COUNTIFS($A$2:$A$200,$A90,$D$2:$D$200,"*novo*",$N$2:$N$200,"C2")+COUNTIFS($A$2:$A$200,$A90,$D$2:$D$200,"*novo*",$N$2:$N$200,"C3")+COUNTIFS($A$2:$A$200,$A90,$D$2:$D$200,"*novo*",$N$2:$N$200,"C4"))=1,IF(COUNTIFS($A$2:$A$200,$A90,$D$2:$D$200,"*novo*",$N$2:$N$200,"C4")&gt;0,4,IF(COUNTIFS($A$2:$A$200,$A90,$D$2:$D$200,"*novo*",$N$2:$N$200,"C3")&gt;0,3,IF(COUNTIFS($A$2:$A$200,$A90,$D$2:$D$200,"*novo*",$N$2:$N$200,"C2")&gt;0,2,IF(COUNTIFS($A$2:$A$200,$A90,$D$2:$D$200,"*novo*",$N$2:$N$200,"C1")&gt;0,1,IF(COUNTIFS($A$2:$A$200,$A90,$D$2:$D$200,"*novo*",$N$2:$N$200,"C0")&gt;0,0,""))))),IF(AND((COUNTIFS($A$2:$A$200,$A90,$D$2:$D$200,"*novo*",$N$2:$N$200,"C0")+COUNTIFS($A$2:$A$200,$A90,$D$2:$D$200,"*novo*",$N$2:$N$200,"C1")+COUNTIFS($A$2:$A$200,$A90,$D$2:$D$200,"*novo*",$N$2:$N$200,"C2")+COUNTIFS($A$2:$A$200,$A90,$D$2:$D$200,"*novo*",$N$2:$N$200,"C3")+COUNTIFS($A$2:$A$200,$A90,$D$2:$D$200,"*novo*",$N$2:$N$200,"C4"))=0,INDEX(posicao_contratual!$Y$2:$Y$200,MATCH($A90,posicao_contratual!$A$2:$A$200,0))=0),0,"")),"")</f>
        <v/>
      </c>
    </row>
    <row r="91" spans="1:15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IF(OR($A91="",$C91=""),"",IF(OR(($O91)="",($O91)&gt;(MIN(MATCH($C91,{"C0","C1","C2","C3","C4"},0)-1,COUNT(parametros!$F$2:$F$6)-1)),NOT(ISNUMBER(INDEX(parametros!$F$2:$F$6,(MIN(MATCH($C91,{"C0","C1","C2","C3","C4"},0)-1,COUNT(parametros!$F$2:$F$6)-1))+1))),NOT(ISNUMBER(INDEX(parametros!$F$2:$F$6,($O91)+1)))),"",INDEX(parametros!$F$2:$F$6,(MIN(MATCH($C91,{"C0","C1","C2","C3","C4"},0)-1,COUNT(parametros!$F$2:$F$6)-1))+1)/INDEX(parametros!$F$2:$F$6,($O91)+1))),"")</f>
        <v/>
      </c>
      <c r="J91" s="107" t="str">
        <f>IF(OR(L91="",F91=""),"",IF(UPPER(H91)="SIM",IF(ISNUMBER(I91),ROUND(L91*ROUND(F91*I91,2),2),""),ROUND(L91*F91,2)))</f>
        <v/>
      </c>
      <c r="K91" s="105"/>
      <c r="L91" s="85" t="str">
        <f t="shared" si="5"/>
        <v/>
      </c>
      <c r="M91" s="606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TIPO_INVALIDO",IF(AND(ISNUMBER(SEARCH("NOVO",D91)),OR(INDEX(posicao_contratual!$C$2:$C$200,MATCH(A91,posicao_contratual!$A$2:$A$200,0))&lt;&gt;0,F91="",COUNTIFS($A$2:$A$200,A91,$B$2:$B$200,"&lt;"&amp;B91,$L$2:$L$200,"&gt;0")&gt;0)),"ALERTA: NOVO ITEM INVALIDO - use Acrescimo se o item ja existia; novo item exige QTD_BASE_ORIGINAL 0, VU_ORIGINAL e ser o 1o acrescimo do item.",IF(AND(ISNUMBER(SEARCH("NOVO",D91)),OR(N91="",ISERROR(MATCH(N91,{"C0","C1","C2","C3","C4"},0)))),"ALERTA: BASE_VU_OBRIGATORIA",IF(AND(NOT(ISNUMBER(SEARCH("NOVO",D91))),N91&lt;&gt;""),"ALERTA: BASE_VU_NAO_APLICAVEL",IF(AND(UPPER(H91)="SIM",NOT(ISNUMBER(I91))),"ALERTA: BASE_VU_INVALIDA_OU_POSTERIOR_AO_FATOR_ALVO","OK"))))))))))</f>
        <v/>
      </c>
      <c r="N91" s="608"/>
      <c r="O91" s="610" t="str">
        <f>IFERROR(IF((COUNTIFS($A$2:$A$200,$A91,$D$2:$D$200,"*novo*",$N$2:$N$200,"C0")+COUNTIFS($A$2:$A$200,$A91,$D$2:$D$200,"*novo*",$N$2:$N$200,"C1")+COUNTIFS($A$2:$A$200,$A91,$D$2:$D$200,"*novo*",$N$2:$N$200,"C2")+COUNTIFS($A$2:$A$200,$A91,$D$2:$D$200,"*novo*",$N$2:$N$200,"C3")+COUNTIFS($A$2:$A$200,$A91,$D$2:$D$200,"*novo*",$N$2:$N$200,"C4"))=1,IF(COUNTIFS($A$2:$A$200,$A91,$D$2:$D$200,"*novo*",$N$2:$N$200,"C4")&gt;0,4,IF(COUNTIFS($A$2:$A$200,$A91,$D$2:$D$200,"*novo*",$N$2:$N$200,"C3")&gt;0,3,IF(COUNTIFS($A$2:$A$200,$A91,$D$2:$D$200,"*novo*",$N$2:$N$200,"C2")&gt;0,2,IF(COUNTIFS($A$2:$A$200,$A91,$D$2:$D$200,"*novo*",$N$2:$N$200,"C1")&gt;0,1,IF(COUNTIFS($A$2:$A$200,$A91,$D$2:$D$200,"*novo*",$N$2:$N$200,"C0")&gt;0,0,""))))),IF(AND((COUNTIFS($A$2:$A$200,$A91,$D$2:$D$200,"*novo*",$N$2:$N$200,"C0")+COUNTIFS($A$2:$A$200,$A91,$D$2:$D$200,"*novo*",$N$2:$N$200,"C1")+COUNTIFS($A$2:$A$200,$A91,$D$2:$D$200,"*novo*",$N$2:$N$200,"C2")+COUNTIFS($A$2:$A$200,$A91,$D$2:$D$200,"*novo*",$N$2:$N$200,"C3")+COUNTIFS($A$2:$A$200,$A91,$D$2:$D$200,"*novo*",$N$2:$N$200,"C4"))=0,INDEX(posicao_contratual!$Y$2:$Y$200,MATCH($A91,posicao_contratual!$A$2:$A$200,0))=0),0,"")),"")</f>
        <v/>
      </c>
    </row>
    <row r="92" spans="1:15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IF(OR($A92="",$C92=""),"",IF(OR(($O92)="",($O92)&gt;(MIN(MATCH($C92,{"C0","C1","C2","C3","C4"},0)-1,COUNT(parametros!$F$2:$F$6)-1)),NOT(ISNUMBER(INDEX(parametros!$F$2:$F$6,(MIN(MATCH($C92,{"C0","C1","C2","C3","C4"},0)-1,COUNT(parametros!$F$2:$F$6)-1))+1))),NOT(ISNUMBER(INDEX(parametros!$F$2:$F$6,($O92)+1)))),"",INDEX(parametros!$F$2:$F$6,(MIN(MATCH($C92,{"C0","C1","C2","C3","C4"},0)-1,COUNT(parametros!$F$2:$F$6)-1))+1)/INDEX(parametros!$F$2:$F$6,($O92)+1))),"")</f>
        <v/>
      </c>
      <c r="J92" s="107" t="str">
        <f>IF(OR(L92="",F92=""),"",IF(UPPER(H92)="SIM",IF(ISNUMBER(I92),ROUND(L92*ROUND(F92*I92,2),2),""),ROUND(L92*F92,2)))</f>
        <v/>
      </c>
      <c r="K92" s="105"/>
      <c r="L92" s="85" t="str">
        <f t="shared" si="5"/>
        <v/>
      </c>
      <c r="M92" s="606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TIPO_INVALIDO",IF(AND(ISNUMBER(SEARCH("NOVO",D92)),OR(INDEX(posicao_contratual!$C$2:$C$200,MATCH(A92,posicao_contratual!$A$2:$A$200,0))&lt;&gt;0,F92="",COUNTIFS($A$2:$A$200,A92,$B$2:$B$200,"&lt;"&amp;B92,$L$2:$L$200,"&gt;0")&gt;0)),"ALERTA: NOVO ITEM INVALIDO - use Acrescimo se o item ja existia; novo item exige QTD_BASE_ORIGINAL 0, VU_ORIGINAL e ser o 1o acrescimo do item.",IF(AND(ISNUMBER(SEARCH("NOVO",D92)),OR(N92="",ISERROR(MATCH(N92,{"C0","C1","C2","C3","C4"},0)))),"ALERTA: BASE_VU_OBRIGATORIA",IF(AND(NOT(ISNUMBER(SEARCH("NOVO",D92))),N92&lt;&gt;""),"ALERTA: BASE_VU_NAO_APLICAVEL",IF(AND(UPPER(H92)="SIM",NOT(ISNUMBER(I92))),"ALERTA: BASE_VU_INVALIDA_OU_POSTERIOR_AO_FATOR_ALVO","OK"))))))))))</f>
        <v/>
      </c>
      <c r="N92" s="608"/>
      <c r="O92" s="610" t="str">
        <f>IFERROR(IF((COUNTIFS($A$2:$A$200,$A92,$D$2:$D$200,"*novo*",$N$2:$N$200,"C0")+COUNTIFS($A$2:$A$200,$A92,$D$2:$D$200,"*novo*",$N$2:$N$200,"C1")+COUNTIFS($A$2:$A$200,$A92,$D$2:$D$200,"*novo*",$N$2:$N$200,"C2")+COUNTIFS($A$2:$A$200,$A92,$D$2:$D$200,"*novo*",$N$2:$N$200,"C3")+COUNTIFS($A$2:$A$200,$A92,$D$2:$D$200,"*novo*",$N$2:$N$200,"C4"))=1,IF(COUNTIFS($A$2:$A$200,$A92,$D$2:$D$200,"*novo*",$N$2:$N$200,"C4")&gt;0,4,IF(COUNTIFS($A$2:$A$200,$A92,$D$2:$D$200,"*novo*",$N$2:$N$200,"C3")&gt;0,3,IF(COUNTIFS($A$2:$A$200,$A92,$D$2:$D$200,"*novo*",$N$2:$N$200,"C2")&gt;0,2,IF(COUNTIFS($A$2:$A$200,$A92,$D$2:$D$200,"*novo*",$N$2:$N$200,"C1")&gt;0,1,IF(COUNTIFS($A$2:$A$200,$A92,$D$2:$D$200,"*novo*",$N$2:$N$200,"C0")&gt;0,0,""))))),IF(AND((COUNTIFS($A$2:$A$200,$A92,$D$2:$D$200,"*novo*",$N$2:$N$200,"C0")+COUNTIFS($A$2:$A$200,$A92,$D$2:$D$200,"*novo*",$N$2:$N$200,"C1")+COUNTIFS($A$2:$A$200,$A92,$D$2:$D$200,"*novo*",$N$2:$N$200,"C2")+COUNTIFS($A$2:$A$200,$A92,$D$2:$D$200,"*novo*",$N$2:$N$200,"C3")+COUNTIFS($A$2:$A$200,$A92,$D$2:$D$200,"*novo*",$N$2:$N$200,"C4"))=0,INDEX(posicao_contratual!$Y$2:$Y$200,MATCH($A92,posicao_contratual!$A$2:$A$200,0))=0),0,"")),"")</f>
        <v/>
      </c>
    </row>
    <row r="93" spans="1:15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IF(OR($A93="",$C93=""),"",IF(OR(($O93)="",($O93)&gt;(MIN(MATCH($C93,{"C0","C1","C2","C3","C4"},0)-1,COUNT(parametros!$F$2:$F$6)-1)),NOT(ISNUMBER(INDEX(parametros!$F$2:$F$6,(MIN(MATCH($C93,{"C0","C1","C2","C3","C4"},0)-1,COUNT(parametros!$F$2:$F$6)-1))+1))),NOT(ISNUMBER(INDEX(parametros!$F$2:$F$6,($O93)+1)))),"",INDEX(parametros!$F$2:$F$6,(MIN(MATCH($C93,{"C0","C1","C2","C3","C4"},0)-1,COUNT(parametros!$F$2:$F$6)-1))+1)/INDEX(parametros!$F$2:$F$6,($O93)+1))),"")</f>
        <v/>
      </c>
      <c r="J93" s="107" t="str">
        <f>IF(OR(L93="",F93=""),"",IF(UPPER(H93)="SIM",IF(ISNUMBER(I93),ROUND(L93*ROUND(F93*I93,2),2),""),ROUND(L93*F93,2)))</f>
        <v/>
      </c>
      <c r="K93" s="105"/>
      <c r="L93" s="85" t="str">
        <f t="shared" si="5"/>
        <v/>
      </c>
      <c r="M93" s="606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TIPO_INVALIDO",IF(AND(ISNUMBER(SEARCH("NOVO",D93)),OR(INDEX(posicao_contratual!$C$2:$C$200,MATCH(A93,posicao_contratual!$A$2:$A$200,0))&lt;&gt;0,F93="",COUNTIFS($A$2:$A$200,A93,$B$2:$B$200,"&lt;"&amp;B93,$L$2:$L$200,"&gt;0")&gt;0)),"ALERTA: NOVO ITEM INVALIDO - use Acrescimo se o item ja existia; novo item exige QTD_BASE_ORIGINAL 0, VU_ORIGINAL e ser o 1o acrescimo do item.",IF(AND(ISNUMBER(SEARCH("NOVO",D93)),OR(N93="",ISERROR(MATCH(N93,{"C0","C1","C2","C3","C4"},0)))),"ALERTA: BASE_VU_OBRIGATORIA",IF(AND(NOT(ISNUMBER(SEARCH("NOVO",D93))),N93&lt;&gt;""),"ALERTA: BASE_VU_NAO_APLICAVEL",IF(AND(UPPER(H93)="SIM",NOT(ISNUMBER(I93))),"ALERTA: BASE_VU_INVALIDA_OU_POSTERIOR_AO_FATOR_ALVO","OK"))))))))))</f>
        <v/>
      </c>
      <c r="N93" s="608"/>
      <c r="O93" s="610" t="str">
        <f>IFERROR(IF((COUNTIFS($A$2:$A$200,$A93,$D$2:$D$200,"*novo*",$N$2:$N$200,"C0")+COUNTIFS($A$2:$A$200,$A93,$D$2:$D$200,"*novo*",$N$2:$N$200,"C1")+COUNTIFS($A$2:$A$200,$A93,$D$2:$D$200,"*novo*",$N$2:$N$200,"C2")+COUNTIFS($A$2:$A$200,$A93,$D$2:$D$200,"*novo*",$N$2:$N$200,"C3")+COUNTIFS($A$2:$A$200,$A93,$D$2:$D$200,"*novo*",$N$2:$N$200,"C4"))=1,IF(COUNTIFS($A$2:$A$200,$A93,$D$2:$D$200,"*novo*",$N$2:$N$200,"C4")&gt;0,4,IF(COUNTIFS($A$2:$A$200,$A93,$D$2:$D$200,"*novo*",$N$2:$N$200,"C3")&gt;0,3,IF(COUNTIFS($A$2:$A$200,$A93,$D$2:$D$200,"*novo*",$N$2:$N$200,"C2")&gt;0,2,IF(COUNTIFS($A$2:$A$200,$A93,$D$2:$D$200,"*novo*",$N$2:$N$200,"C1")&gt;0,1,IF(COUNTIFS($A$2:$A$200,$A93,$D$2:$D$200,"*novo*",$N$2:$N$200,"C0")&gt;0,0,""))))),IF(AND((COUNTIFS($A$2:$A$200,$A93,$D$2:$D$200,"*novo*",$N$2:$N$200,"C0")+COUNTIFS($A$2:$A$200,$A93,$D$2:$D$200,"*novo*",$N$2:$N$200,"C1")+COUNTIFS($A$2:$A$200,$A93,$D$2:$D$200,"*novo*",$N$2:$N$200,"C2")+COUNTIFS($A$2:$A$200,$A93,$D$2:$D$200,"*novo*",$N$2:$N$200,"C3")+COUNTIFS($A$2:$A$200,$A93,$D$2:$D$200,"*novo*",$N$2:$N$200,"C4"))=0,INDEX(posicao_contratual!$Y$2:$Y$200,MATCH($A93,posicao_contratual!$A$2:$A$200,0))=0),0,"")),"")</f>
        <v/>
      </c>
    </row>
    <row r="94" spans="1:15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IF(OR($A94="",$C94=""),"",IF(OR(($O94)="",($O94)&gt;(MIN(MATCH($C94,{"C0","C1","C2","C3","C4"},0)-1,COUNT(parametros!$F$2:$F$6)-1)),NOT(ISNUMBER(INDEX(parametros!$F$2:$F$6,(MIN(MATCH($C94,{"C0","C1","C2","C3","C4"},0)-1,COUNT(parametros!$F$2:$F$6)-1))+1))),NOT(ISNUMBER(INDEX(parametros!$F$2:$F$6,($O94)+1)))),"",INDEX(parametros!$F$2:$F$6,(MIN(MATCH($C94,{"C0","C1","C2","C3","C4"},0)-1,COUNT(parametros!$F$2:$F$6)-1))+1)/INDEX(parametros!$F$2:$F$6,($O94)+1))),"")</f>
        <v/>
      </c>
      <c r="J94" s="107" t="str">
        <f>IF(OR(L94="",F94=""),"",IF(UPPER(H94)="SIM",IF(ISNUMBER(I94),ROUND(L94*ROUND(F94*I94,2),2),""),ROUND(L94*F94,2)))</f>
        <v/>
      </c>
      <c r="K94" s="105"/>
      <c r="L94" s="85" t="str">
        <f t="shared" si="5"/>
        <v/>
      </c>
      <c r="M94" s="606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TIPO_INVALIDO",IF(AND(ISNUMBER(SEARCH("NOVO",D94)),OR(INDEX(posicao_contratual!$C$2:$C$200,MATCH(A94,posicao_contratual!$A$2:$A$200,0))&lt;&gt;0,F94="",COUNTIFS($A$2:$A$200,A94,$B$2:$B$200,"&lt;"&amp;B94,$L$2:$L$200,"&gt;0")&gt;0)),"ALERTA: NOVO ITEM INVALIDO - use Acrescimo se o item ja existia; novo item exige QTD_BASE_ORIGINAL 0, VU_ORIGINAL e ser o 1o acrescimo do item.",IF(AND(ISNUMBER(SEARCH("NOVO",D94)),OR(N94="",ISERROR(MATCH(N94,{"C0","C1","C2","C3","C4"},0)))),"ALERTA: BASE_VU_OBRIGATORIA",IF(AND(NOT(ISNUMBER(SEARCH("NOVO",D94))),N94&lt;&gt;""),"ALERTA: BASE_VU_NAO_APLICAVEL",IF(AND(UPPER(H94)="SIM",NOT(ISNUMBER(I94))),"ALERTA: BASE_VU_INVALIDA_OU_POSTERIOR_AO_FATOR_ALVO","OK"))))))))))</f>
        <v/>
      </c>
      <c r="N94" s="608"/>
      <c r="O94" s="610" t="str">
        <f>IFERROR(IF((COUNTIFS($A$2:$A$200,$A94,$D$2:$D$200,"*novo*",$N$2:$N$200,"C0")+COUNTIFS($A$2:$A$200,$A94,$D$2:$D$200,"*novo*",$N$2:$N$200,"C1")+COUNTIFS($A$2:$A$200,$A94,$D$2:$D$200,"*novo*",$N$2:$N$200,"C2")+COUNTIFS($A$2:$A$200,$A94,$D$2:$D$200,"*novo*",$N$2:$N$200,"C3")+COUNTIFS($A$2:$A$200,$A94,$D$2:$D$200,"*novo*",$N$2:$N$200,"C4"))=1,IF(COUNTIFS($A$2:$A$200,$A94,$D$2:$D$200,"*novo*",$N$2:$N$200,"C4")&gt;0,4,IF(COUNTIFS($A$2:$A$200,$A94,$D$2:$D$200,"*novo*",$N$2:$N$200,"C3")&gt;0,3,IF(COUNTIFS($A$2:$A$200,$A94,$D$2:$D$200,"*novo*",$N$2:$N$200,"C2")&gt;0,2,IF(COUNTIFS($A$2:$A$200,$A94,$D$2:$D$200,"*novo*",$N$2:$N$200,"C1")&gt;0,1,IF(COUNTIFS($A$2:$A$200,$A94,$D$2:$D$200,"*novo*",$N$2:$N$200,"C0")&gt;0,0,""))))),IF(AND((COUNTIFS($A$2:$A$200,$A94,$D$2:$D$200,"*novo*",$N$2:$N$200,"C0")+COUNTIFS($A$2:$A$200,$A94,$D$2:$D$200,"*novo*",$N$2:$N$200,"C1")+COUNTIFS($A$2:$A$200,$A94,$D$2:$D$200,"*novo*",$N$2:$N$200,"C2")+COUNTIFS($A$2:$A$200,$A94,$D$2:$D$200,"*novo*",$N$2:$N$200,"C3")+COUNTIFS($A$2:$A$200,$A94,$D$2:$D$200,"*novo*",$N$2:$N$200,"C4"))=0,INDEX(posicao_contratual!$Y$2:$Y$200,MATCH($A94,posicao_contratual!$A$2:$A$200,0))=0),0,"")),"")</f>
        <v/>
      </c>
    </row>
    <row r="95" spans="1:15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IF(OR($A95="",$C95=""),"",IF(OR(($O95)="",($O95)&gt;(MIN(MATCH($C95,{"C0","C1","C2","C3","C4"},0)-1,COUNT(parametros!$F$2:$F$6)-1)),NOT(ISNUMBER(INDEX(parametros!$F$2:$F$6,(MIN(MATCH($C95,{"C0","C1","C2","C3","C4"},0)-1,COUNT(parametros!$F$2:$F$6)-1))+1))),NOT(ISNUMBER(INDEX(parametros!$F$2:$F$6,($O95)+1)))),"",INDEX(parametros!$F$2:$F$6,(MIN(MATCH($C95,{"C0","C1","C2","C3","C4"},0)-1,COUNT(parametros!$F$2:$F$6)-1))+1)/INDEX(parametros!$F$2:$F$6,($O95)+1))),"")</f>
        <v/>
      </c>
      <c r="J95" s="107" t="str">
        <f>IF(OR(L95="",F95=""),"",IF(UPPER(H95)="SIM",IF(ISNUMBER(I95),ROUND(L95*ROUND(F95*I95,2),2),""),ROUND(L95*F95,2)))</f>
        <v/>
      </c>
      <c r="K95" s="105"/>
      <c r="L95" s="85" t="str">
        <f t="shared" si="5"/>
        <v/>
      </c>
      <c r="M95" s="606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TIPO_INVALIDO",IF(AND(ISNUMBER(SEARCH("NOVO",D95)),OR(INDEX(posicao_contratual!$C$2:$C$200,MATCH(A95,posicao_contratual!$A$2:$A$200,0))&lt;&gt;0,F95="",COUNTIFS($A$2:$A$200,A95,$B$2:$B$200,"&lt;"&amp;B95,$L$2:$L$200,"&gt;0")&gt;0)),"ALERTA: NOVO ITEM INVALIDO - use Acrescimo se o item ja existia; novo item exige QTD_BASE_ORIGINAL 0, VU_ORIGINAL e ser o 1o acrescimo do item.",IF(AND(ISNUMBER(SEARCH("NOVO",D95)),OR(N95="",ISERROR(MATCH(N95,{"C0","C1","C2","C3","C4"},0)))),"ALERTA: BASE_VU_OBRIGATORIA",IF(AND(NOT(ISNUMBER(SEARCH("NOVO",D95))),N95&lt;&gt;""),"ALERTA: BASE_VU_NAO_APLICAVEL",IF(AND(UPPER(H95)="SIM",NOT(ISNUMBER(I95))),"ALERTA: BASE_VU_INVALIDA_OU_POSTERIOR_AO_FATOR_ALVO","OK"))))))))))</f>
        <v/>
      </c>
      <c r="N95" s="608"/>
      <c r="O95" s="610" t="str">
        <f>IFERROR(IF((COUNTIFS($A$2:$A$200,$A95,$D$2:$D$200,"*novo*",$N$2:$N$200,"C0")+COUNTIFS($A$2:$A$200,$A95,$D$2:$D$200,"*novo*",$N$2:$N$200,"C1")+COUNTIFS($A$2:$A$200,$A95,$D$2:$D$200,"*novo*",$N$2:$N$200,"C2")+COUNTIFS($A$2:$A$200,$A95,$D$2:$D$200,"*novo*",$N$2:$N$200,"C3")+COUNTIFS($A$2:$A$200,$A95,$D$2:$D$200,"*novo*",$N$2:$N$200,"C4"))=1,IF(COUNTIFS($A$2:$A$200,$A95,$D$2:$D$200,"*novo*",$N$2:$N$200,"C4")&gt;0,4,IF(COUNTIFS($A$2:$A$200,$A95,$D$2:$D$200,"*novo*",$N$2:$N$200,"C3")&gt;0,3,IF(COUNTIFS($A$2:$A$200,$A95,$D$2:$D$200,"*novo*",$N$2:$N$200,"C2")&gt;0,2,IF(COUNTIFS($A$2:$A$200,$A95,$D$2:$D$200,"*novo*",$N$2:$N$200,"C1")&gt;0,1,IF(COUNTIFS($A$2:$A$200,$A95,$D$2:$D$200,"*novo*",$N$2:$N$200,"C0")&gt;0,0,""))))),IF(AND((COUNTIFS($A$2:$A$200,$A95,$D$2:$D$200,"*novo*",$N$2:$N$200,"C0")+COUNTIFS($A$2:$A$200,$A95,$D$2:$D$200,"*novo*",$N$2:$N$200,"C1")+COUNTIFS($A$2:$A$200,$A95,$D$2:$D$200,"*novo*",$N$2:$N$200,"C2")+COUNTIFS($A$2:$A$200,$A95,$D$2:$D$200,"*novo*",$N$2:$N$200,"C3")+COUNTIFS($A$2:$A$200,$A95,$D$2:$D$200,"*novo*",$N$2:$N$200,"C4"))=0,INDEX(posicao_contratual!$Y$2:$Y$200,MATCH($A95,posicao_contratual!$A$2:$A$200,0))=0),0,"")),"")</f>
        <v/>
      </c>
    </row>
    <row r="96" spans="1:15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IF(OR($A96="",$C96=""),"",IF(OR(($O96)="",($O96)&gt;(MIN(MATCH($C96,{"C0","C1","C2","C3","C4"},0)-1,COUNT(parametros!$F$2:$F$6)-1)),NOT(ISNUMBER(INDEX(parametros!$F$2:$F$6,(MIN(MATCH($C96,{"C0","C1","C2","C3","C4"},0)-1,COUNT(parametros!$F$2:$F$6)-1))+1))),NOT(ISNUMBER(INDEX(parametros!$F$2:$F$6,($O96)+1)))),"",INDEX(parametros!$F$2:$F$6,(MIN(MATCH($C96,{"C0","C1","C2","C3","C4"},0)-1,COUNT(parametros!$F$2:$F$6)-1))+1)/INDEX(parametros!$F$2:$F$6,($O96)+1))),"")</f>
        <v/>
      </c>
      <c r="J96" s="107" t="str">
        <f>IF(OR(L96="",F96=""),"",IF(UPPER(H96)="SIM",IF(ISNUMBER(I96),ROUND(L96*ROUND(F96*I96,2),2),""),ROUND(L96*F96,2)))</f>
        <v/>
      </c>
      <c r="K96" s="105"/>
      <c r="L96" s="85" t="str">
        <f t="shared" si="5"/>
        <v/>
      </c>
      <c r="M96" s="606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TIPO_INVALIDO",IF(AND(ISNUMBER(SEARCH("NOVO",D96)),OR(INDEX(posicao_contratual!$C$2:$C$200,MATCH(A96,posicao_contratual!$A$2:$A$200,0))&lt;&gt;0,F96="",COUNTIFS($A$2:$A$200,A96,$B$2:$B$200,"&lt;"&amp;B96,$L$2:$L$200,"&gt;0")&gt;0)),"ALERTA: NOVO ITEM INVALIDO - use Acrescimo se o item ja existia; novo item exige QTD_BASE_ORIGINAL 0, VU_ORIGINAL e ser o 1o acrescimo do item.",IF(AND(ISNUMBER(SEARCH("NOVO",D96)),OR(N96="",ISERROR(MATCH(N96,{"C0","C1","C2","C3","C4"},0)))),"ALERTA: BASE_VU_OBRIGATORIA",IF(AND(NOT(ISNUMBER(SEARCH("NOVO",D96))),N96&lt;&gt;""),"ALERTA: BASE_VU_NAO_APLICAVEL",IF(AND(UPPER(H96)="SIM",NOT(ISNUMBER(I96))),"ALERTA: BASE_VU_INVALIDA_OU_POSTERIOR_AO_FATOR_ALVO","OK"))))))))))</f>
        <v/>
      </c>
      <c r="N96" s="608"/>
      <c r="O96" s="610" t="str">
        <f>IFERROR(IF((COUNTIFS($A$2:$A$200,$A96,$D$2:$D$200,"*novo*",$N$2:$N$200,"C0")+COUNTIFS($A$2:$A$200,$A96,$D$2:$D$200,"*novo*",$N$2:$N$200,"C1")+COUNTIFS($A$2:$A$200,$A96,$D$2:$D$200,"*novo*",$N$2:$N$200,"C2")+COUNTIFS($A$2:$A$200,$A96,$D$2:$D$200,"*novo*",$N$2:$N$200,"C3")+COUNTIFS($A$2:$A$200,$A96,$D$2:$D$200,"*novo*",$N$2:$N$200,"C4"))=1,IF(COUNTIFS($A$2:$A$200,$A96,$D$2:$D$200,"*novo*",$N$2:$N$200,"C4")&gt;0,4,IF(COUNTIFS($A$2:$A$200,$A96,$D$2:$D$200,"*novo*",$N$2:$N$200,"C3")&gt;0,3,IF(COUNTIFS($A$2:$A$200,$A96,$D$2:$D$200,"*novo*",$N$2:$N$200,"C2")&gt;0,2,IF(COUNTIFS($A$2:$A$200,$A96,$D$2:$D$200,"*novo*",$N$2:$N$200,"C1")&gt;0,1,IF(COUNTIFS($A$2:$A$200,$A96,$D$2:$D$200,"*novo*",$N$2:$N$200,"C0")&gt;0,0,""))))),IF(AND((COUNTIFS($A$2:$A$200,$A96,$D$2:$D$200,"*novo*",$N$2:$N$200,"C0")+COUNTIFS($A$2:$A$200,$A96,$D$2:$D$200,"*novo*",$N$2:$N$200,"C1")+COUNTIFS($A$2:$A$200,$A96,$D$2:$D$200,"*novo*",$N$2:$N$200,"C2")+COUNTIFS($A$2:$A$200,$A96,$D$2:$D$200,"*novo*",$N$2:$N$200,"C3")+COUNTIFS($A$2:$A$200,$A96,$D$2:$D$200,"*novo*",$N$2:$N$200,"C4"))=0,INDEX(posicao_contratual!$Y$2:$Y$200,MATCH($A96,posicao_contratual!$A$2:$A$200,0))=0),0,"")),"")</f>
        <v/>
      </c>
    </row>
    <row r="97" spans="1:15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IF(OR($A97="",$C97=""),"",IF(OR(($O97)="",($O97)&gt;(MIN(MATCH($C97,{"C0","C1","C2","C3","C4"},0)-1,COUNT(parametros!$F$2:$F$6)-1)),NOT(ISNUMBER(INDEX(parametros!$F$2:$F$6,(MIN(MATCH($C97,{"C0","C1","C2","C3","C4"},0)-1,COUNT(parametros!$F$2:$F$6)-1))+1))),NOT(ISNUMBER(INDEX(parametros!$F$2:$F$6,($O97)+1)))),"",INDEX(parametros!$F$2:$F$6,(MIN(MATCH($C97,{"C0","C1","C2","C3","C4"},0)-1,COUNT(parametros!$F$2:$F$6)-1))+1)/INDEX(parametros!$F$2:$F$6,($O97)+1))),"")</f>
        <v/>
      </c>
      <c r="J97" s="107" t="str">
        <f>IF(OR(L97="",F97=""),"",IF(UPPER(H97)="SIM",IF(ISNUMBER(I97),ROUND(L97*ROUND(F97*I97,2),2),""),ROUND(L97*F97,2)))</f>
        <v/>
      </c>
      <c r="K97" s="105"/>
      <c r="L97" s="85" t="str">
        <f t="shared" si="5"/>
        <v/>
      </c>
      <c r="M97" s="606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TIPO_INVALIDO",IF(AND(ISNUMBER(SEARCH("NOVO",D97)),OR(INDEX(posicao_contratual!$C$2:$C$200,MATCH(A97,posicao_contratual!$A$2:$A$200,0))&lt;&gt;0,F97="",COUNTIFS($A$2:$A$200,A97,$B$2:$B$200,"&lt;"&amp;B97,$L$2:$L$200,"&gt;0")&gt;0)),"ALERTA: NOVO ITEM INVALIDO - use Acrescimo se o item ja existia; novo item exige QTD_BASE_ORIGINAL 0, VU_ORIGINAL e ser o 1o acrescimo do item.",IF(AND(ISNUMBER(SEARCH("NOVO",D97)),OR(N97="",ISERROR(MATCH(N97,{"C0","C1","C2","C3","C4"},0)))),"ALERTA: BASE_VU_OBRIGATORIA",IF(AND(NOT(ISNUMBER(SEARCH("NOVO",D97))),N97&lt;&gt;""),"ALERTA: BASE_VU_NAO_APLICAVEL",IF(AND(UPPER(H97)="SIM",NOT(ISNUMBER(I97))),"ALERTA: BASE_VU_INVALIDA_OU_POSTERIOR_AO_FATOR_ALVO","OK"))))))))))</f>
        <v/>
      </c>
      <c r="N97" s="608"/>
      <c r="O97" s="610" t="str">
        <f>IFERROR(IF((COUNTIFS($A$2:$A$200,$A97,$D$2:$D$200,"*novo*",$N$2:$N$200,"C0")+COUNTIFS($A$2:$A$200,$A97,$D$2:$D$200,"*novo*",$N$2:$N$200,"C1")+COUNTIFS($A$2:$A$200,$A97,$D$2:$D$200,"*novo*",$N$2:$N$200,"C2")+COUNTIFS($A$2:$A$200,$A97,$D$2:$D$200,"*novo*",$N$2:$N$200,"C3")+COUNTIFS($A$2:$A$200,$A97,$D$2:$D$200,"*novo*",$N$2:$N$200,"C4"))=1,IF(COUNTIFS($A$2:$A$200,$A97,$D$2:$D$200,"*novo*",$N$2:$N$200,"C4")&gt;0,4,IF(COUNTIFS($A$2:$A$200,$A97,$D$2:$D$200,"*novo*",$N$2:$N$200,"C3")&gt;0,3,IF(COUNTIFS($A$2:$A$200,$A97,$D$2:$D$200,"*novo*",$N$2:$N$200,"C2")&gt;0,2,IF(COUNTIFS($A$2:$A$200,$A97,$D$2:$D$200,"*novo*",$N$2:$N$200,"C1")&gt;0,1,IF(COUNTIFS($A$2:$A$200,$A97,$D$2:$D$200,"*novo*",$N$2:$N$200,"C0")&gt;0,0,""))))),IF(AND((COUNTIFS($A$2:$A$200,$A97,$D$2:$D$200,"*novo*",$N$2:$N$200,"C0")+COUNTIFS($A$2:$A$200,$A97,$D$2:$D$200,"*novo*",$N$2:$N$200,"C1")+COUNTIFS($A$2:$A$200,$A97,$D$2:$D$200,"*novo*",$N$2:$N$200,"C2")+COUNTIFS($A$2:$A$200,$A97,$D$2:$D$200,"*novo*",$N$2:$N$200,"C3")+COUNTIFS($A$2:$A$200,$A97,$D$2:$D$200,"*novo*",$N$2:$N$200,"C4"))=0,INDEX(posicao_contratual!$Y$2:$Y$200,MATCH($A97,posicao_contratual!$A$2:$A$200,0))=0),0,"")),"")</f>
        <v/>
      </c>
    </row>
    <row r="98" spans="1:15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IF(OR($A98="",$C98=""),"",IF(OR(($O98)="",($O98)&gt;(MIN(MATCH($C98,{"C0","C1","C2","C3","C4"},0)-1,COUNT(parametros!$F$2:$F$6)-1)),NOT(ISNUMBER(INDEX(parametros!$F$2:$F$6,(MIN(MATCH($C98,{"C0","C1","C2","C3","C4"},0)-1,COUNT(parametros!$F$2:$F$6)-1))+1))),NOT(ISNUMBER(INDEX(parametros!$F$2:$F$6,($O98)+1)))),"",INDEX(parametros!$F$2:$F$6,(MIN(MATCH($C98,{"C0","C1","C2","C3","C4"},0)-1,COUNT(parametros!$F$2:$F$6)-1))+1)/INDEX(parametros!$F$2:$F$6,($O98)+1))),"")</f>
        <v/>
      </c>
      <c r="J98" s="107" t="str">
        <f>IF(OR(L98="",F98=""),"",IF(UPPER(H98)="SIM",IF(ISNUMBER(I98),ROUND(L98*ROUND(F98*I98,2),2),""),ROUND(L98*F98,2)))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606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TIPO_INVALIDO",IF(AND(ISNUMBER(SEARCH("NOVO",D98)),OR(INDEX(posicao_contratual!$C$2:$C$200,MATCH(A98,posicao_contratual!$A$2:$A$200,0))&lt;&gt;0,F98="",COUNTIFS($A$2:$A$200,A98,$B$2:$B$200,"&lt;"&amp;B98,$L$2:$L$200,"&gt;0")&gt;0)),"ALERTA: NOVO ITEM INVALIDO - use Acrescimo se o item ja existia; novo item exige QTD_BASE_ORIGINAL 0, VU_ORIGINAL e ser o 1o acrescimo do item.",IF(AND(ISNUMBER(SEARCH("NOVO",D98)),OR(N98="",ISERROR(MATCH(N98,{"C0","C1","C2","C3","C4"},0)))),"ALERTA: BASE_VU_OBRIGATORIA",IF(AND(NOT(ISNUMBER(SEARCH("NOVO",D98))),N98&lt;&gt;""),"ALERTA: BASE_VU_NAO_APLICAVEL",IF(AND(UPPER(H98)="SIM",NOT(ISNUMBER(I98))),"ALERTA: BASE_VU_INVALIDA_OU_POSTERIOR_AO_FATOR_ALVO","OK"))))))))))</f>
        <v/>
      </c>
      <c r="N98" s="608"/>
      <c r="O98" s="610" t="str">
        <f>IFERROR(IF((COUNTIFS($A$2:$A$200,$A98,$D$2:$D$200,"*novo*",$N$2:$N$200,"C0")+COUNTIFS($A$2:$A$200,$A98,$D$2:$D$200,"*novo*",$N$2:$N$200,"C1")+COUNTIFS($A$2:$A$200,$A98,$D$2:$D$200,"*novo*",$N$2:$N$200,"C2")+COUNTIFS($A$2:$A$200,$A98,$D$2:$D$200,"*novo*",$N$2:$N$200,"C3")+COUNTIFS($A$2:$A$200,$A98,$D$2:$D$200,"*novo*",$N$2:$N$200,"C4"))=1,IF(COUNTIFS($A$2:$A$200,$A98,$D$2:$D$200,"*novo*",$N$2:$N$200,"C4")&gt;0,4,IF(COUNTIFS($A$2:$A$200,$A98,$D$2:$D$200,"*novo*",$N$2:$N$200,"C3")&gt;0,3,IF(COUNTIFS($A$2:$A$200,$A98,$D$2:$D$200,"*novo*",$N$2:$N$200,"C2")&gt;0,2,IF(COUNTIFS($A$2:$A$200,$A98,$D$2:$D$200,"*novo*",$N$2:$N$200,"C1")&gt;0,1,IF(COUNTIFS($A$2:$A$200,$A98,$D$2:$D$200,"*novo*",$N$2:$N$200,"C0")&gt;0,0,""))))),IF(AND((COUNTIFS($A$2:$A$200,$A98,$D$2:$D$200,"*novo*",$N$2:$N$200,"C0")+COUNTIFS($A$2:$A$200,$A98,$D$2:$D$200,"*novo*",$N$2:$N$200,"C1")+COUNTIFS($A$2:$A$200,$A98,$D$2:$D$200,"*novo*",$N$2:$N$200,"C2")+COUNTIFS($A$2:$A$200,$A98,$D$2:$D$200,"*novo*",$N$2:$N$200,"C3")+COUNTIFS($A$2:$A$200,$A98,$D$2:$D$200,"*novo*",$N$2:$N$200,"C4"))=0,INDEX(posicao_contratual!$Y$2:$Y$200,MATCH($A98,posicao_contratual!$A$2:$A$200,0))=0),0,"")),"")</f>
        <v/>
      </c>
    </row>
    <row r="99" spans="1:15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IF(OR($A99="",$C99=""),"",IF(OR(($O99)="",($O99)&gt;(MIN(MATCH($C99,{"C0","C1","C2","C3","C4"},0)-1,COUNT(parametros!$F$2:$F$6)-1)),NOT(ISNUMBER(INDEX(parametros!$F$2:$F$6,(MIN(MATCH($C99,{"C0","C1","C2","C3","C4"},0)-1,COUNT(parametros!$F$2:$F$6)-1))+1))),NOT(ISNUMBER(INDEX(parametros!$F$2:$F$6,($O99)+1)))),"",INDEX(parametros!$F$2:$F$6,(MIN(MATCH($C99,{"C0","C1","C2","C3","C4"},0)-1,COUNT(parametros!$F$2:$F$6)-1))+1)/INDEX(parametros!$F$2:$F$6,($O99)+1))),"")</f>
        <v/>
      </c>
      <c r="J99" s="107" t="str">
        <f>IF(OR(L99="",F99=""),"",IF(UPPER(H99)="SIM",IF(ISNUMBER(I99),ROUND(L99*ROUND(F99*I99,2),2),""),ROUND(L99*F99,2)))</f>
        <v/>
      </c>
      <c r="K99" s="105"/>
      <c r="L99" s="85" t="str">
        <f t="shared" si="7"/>
        <v/>
      </c>
      <c r="M99" s="606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TIPO_INVALIDO",IF(AND(ISNUMBER(SEARCH("NOVO",D99)),OR(INDEX(posicao_contratual!$C$2:$C$200,MATCH(A99,posicao_contratual!$A$2:$A$200,0))&lt;&gt;0,F99="",COUNTIFS($A$2:$A$200,A99,$B$2:$B$200,"&lt;"&amp;B99,$L$2:$L$200,"&gt;0")&gt;0)),"ALERTA: NOVO ITEM INVALIDO - use Acrescimo se o item ja existia; novo item exige QTD_BASE_ORIGINAL 0, VU_ORIGINAL e ser o 1o acrescimo do item.",IF(AND(ISNUMBER(SEARCH("NOVO",D99)),OR(N99="",ISERROR(MATCH(N99,{"C0","C1","C2","C3","C4"},0)))),"ALERTA: BASE_VU_OBRIGATORIA",IF(AND(NOT(ISNUMBER(SEARCH("NOVO",D99))),N99&lt;&gt;""),"ALERTA: BASE_VU_NAO_APLICAVEL",IF(AND(UPPER(H99)="SIM",NOT(ISNUMBER(I99))),"ALERTA: BASE_VU_INVALIDA_OU_POSTERIOR_AO_FATOR_ALVO","OK"))))))))))</f>
        <v/>
      </c>
      <c r="N99" s="608"/>
      <c r="O99" s="610" t="str">
        <f>IFERROR(IF((COUNTIFS($A$2:$A$200,$A99,$D$2:$D$200,"*novo*",$N$2:$N$200,"C0")+COUNTIFS($A$2:$A$200,$A99,$D$2:$D$200,"*novo*",$N$2:$N$200,"C1")+COUNTIFS($A$2:$A$200,$A99,$D$2:$D$200,"*novo*",$N$2:$N$200,"C2")+COUNTIFS($A$2:$A$200,$A99,$D$2:$D$200,"*novo*",$N$2:$N$200,"C3")+COUNTIFS($A$2:$A$200,$A99,$D$2:$D$200,"*novo*",$N$2:$N$200,"C4"))=1,IF(COUNTIFS($A$2:$A$200,$A99,$D$2:$D$200,"*novo*",$N$2:$N$200,"C4")&gt;0,4,IF(COUNTIFS($A$2:$A$200,$A99,$D$2:$D$200,"*novo*",$N$2:$N$200,"C3")&gt;0,3,IF(COUNTIFS($A$2:$A$200,$A99,$D$2:$D$200,"*novo*",$N$2:$N$200,"C2")&gt;0,2,IF(COUNTIFS($A$2:$A$200,$A99,$D$2:$D$200,"*novo*",$N$2:$N$200,"C1")&gt;0,1,IF(COUNTIFS($A$2:$A$200,$A99,$D$2:$D$200,"*novo*",$N$2:$N$200,"C0")&gt;0,0,""))))),IF(AND((COUNTIFS($A$2:$A$200,$A99,$D$2:$D$200,"*novo*",$N$2:$N$200,"C0")+COUNTIFS($A$2:$A$200,$A99,$D$2:$D$200,"*novo*",$N$2:$N$200,"C1")+COUNTIFS($A$2:$A$200,$A99,$D$2:$D$200,"*novo*",$N$2:$N$200,"C2")+COUNTIFS($A$2:$A$200,$A99,$D$2:$D$200,"*novo*",$N$2:$N$200,"C3")+COUNTIFS($A$2:$A$200,$A99,$D$2:$D$200,"*novo*",$N$2:$N$200,"C4"))=0,INDEX(posicao_contratual!$Y$2:$Y$200,MATCH($A99,posicao_contratual!$A$2:$A$200,0))=0),0,"")),"")</f>
        <v/>
      </c>
    </row>
    <row r="100" spans="1:15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IF(OR($A100="",$C100=""),"",IF(OR(($O100)="",($O100)&gt;(MIN(MATCH($C100,{"C0","C1","C2","C3","C4"},0)-1,COUNT(parametros!$F$2:$F$6)-1)),NOT(ISNUMBER(INDEX(parametros!$F$2:$F$6,(MIN(MATCH($C100,{"C0","C1","C2","C3","C4"},0)-1,COUNT(parametros!$F$2:$F$6)-1))+1))),NOT(ISNUMBER(INDEX(parametros!$F$2:$F$6,($O100)+1)))),"",INDEX(parametros!$F$2:$F$6,(MIN(MATCH($C100,{"C0","C1","C2","C3","C4"},0)-1,COUNT(parametros!$F$2:$F$6)-1))+1)/INDEX(parametros!$F$2:$F$6,($O100)+1))),"")</f>
        <v/>
      </c>
      <c r="J100" s="107" t="str">
        <f>IF(OR(L100="",F100=""),"",IF(UPPER(H100)="SIM",IF(ISNUMBER(I100),ROUND(L100*ROUND(F100*I100,2),2),""),ROUND(L100*F100,2)))</f>
        <v/>
      </c>
      <c r="K100" s="105"/>
      <c r="L100" s="85" t="str">
        <f t="shared" si="7"/>
        <v/>
      </c>
      <c r="M100" s="606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TIPO_INVALIDO",IF(AND(ISNUMBER(SEARCH("NOVO",D100)),OR(INDEX(posicao_contratual!$C$2:$C$200,MATCH(A100,posicao_contratual!$A$2:$A$200,0))&lt;&gt;0,F100="",COUNTIFS($A$2:$A$200,A100,$B$2:$B$200,"&lt;"&amp;B100,$L$2:$L$200,"&gt;0")&gt;0)),"ALERTA: NOVO ITEM INVALIDO - use Acrescimo se o item ja existia; novo item exige QTD_BASE_ORIGINAL 0, VU_ORIGINAL e ser o 1o acrescimo do item.",IF(AND(ISNUMBER(SEARCH("NOVO",D100)),OR(N100="",ISERROR(MATCH(N100,{"C0","C1","C2","C3","C4"},0)))),"ALERTA: BASE_VU_OBRIGATORIA",IF(AND(NOT(ISNUMBER(SEARCH("NOVO",D100))),N100&lt;&gt;""),"ALERTA: BASE_VU_NAO_APLICAVEL",IF(AND(UPPER(H100)="SIM",NOT(ISNUMBER(I100))),"ALERTA: BASE_VU_INVALIDA_OU_POSTERIOR_AO_FATOR_ALVO","OK"))))))))))</f>
        <v/>
      </c>
      <c r="N100" s="608"/>
      <c r="O100" s="610" t="str">
        <f>IFERROR(IF((COUNTIFS($A$2:$A$200,$A100,$D$2:$D$200,"*novo*",$N$2:$N$200,"C0")+COUNTIFS($A$2:$A$200,$A100,$D$2:$D$200,"*novo*",$N$2:$N$200,"C1")+COUNTIFS($A$2:$A$200,$A100,$D$2:$D$200,"*novo*",$N$2:$N$200,"C2")+COUNTIFS($A$2:$A$200,$A100,$D$2:$D$200,"*novo*",$N$2:$N$200,"C3")+COUNTIFS($A$2:$A$200,$A100,$D$2:$D$200,"*novo*",$N$2:$N$200,"C4"))=1,IF(COUNTIFS($A$2:$A$200,$A100,$D$2:$D$200,"*novo*",$N$2:$N$200,"C4")&gt;0,4,IF(COUNTIFS($A$2:$A$200,$A100,$D$2:$D$200,"*novo*",$N$2:$N$200,"C3")&gt;0,3,IF(COUNTIFS($A$2:$A$200,$A100,$D$2:$D$200,"*novo*",$N$2:$N$200,"C2")&gt;0,2,IF(COUNTIFS($A$2:$A$200,$A100,$D$2:$D$200,"*novo*",$N$2:$N$200,"C1")&gt;0,1,IF(COUNTIFS($A$2:$A$200,$A100,$D$2:$D$200,"*novo*",$N$2:$N$200,"C0")&gt;0,0,""))))),IF(AND((COUNTIFS($A$2:$A$200,$A100,$D$2:$D$200,"*novo*",$N$2:$N$200,"C0")+COUNTIFS($A$2:$A$200,$A100,$D$2:$D$200,"*novo*",$N$2:$N$200,"C1")+COUNTIFS($A$2:$A$200,$A100,$D$2:$D$200,"*novo*",$N$2:$N$200,"C2")+COUNTIFS($A$2:$A$200,$A100,$D$2:$D$200,"*novo*",$N$2:$N$200,"C3")+COUNTIFS($A$2:$A$200,$A100,$D$2:$D$200,"*novo*",$N$2:$N$200,"C4"))=0,INDEX(posicao_contratual!$Y$2:$Y$200,MATCH($A100,posicao_contratual!$A$2:$A$200,0))=0),0,"")),"")</f>
        <v/>
      </c>
    </row>
    <row r="101" spans="1:15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IF(OR($A101="",$C101=""),"",IF(OR(($O101)="",($O101)&gt;(MIN(MATCH($C101,{"C0","C1","C2","C3","C4"},0)-1,COUNT(parametros!$F$2:$F$6)-1)),NOT(ISNUMBER(INDEX(parametros!$F$2:$F$6,(MIN(MATCH($C101,{"C0","C1","C2","C3","C4"},0)-1,COUNT(parametros!$F$2:$F$6)-1))+1))),NOT(ISNUMBER(INDEX(parametros!$F$2:$F$6,($O101)+1)))),"",INDEX(parametros!$F$2:$F$6,(MIN(MATCH($C101,{"C0","C1","C2","C3","C4"},0)-1,COUNT(parametros!$F$2:$F$6)-1))+1)/INDEX(parametros!$F$2:$F$6,($O101)+1))),"")</f>
        <v/>
      </c>
      <c r="J101" s="107" t="str">
        <f>IF(OR(L101="",F101=""),"",IF(UPPER(H101)="SIM",IF(ISNUMBER(I101),ROUND(L101*ROUND(F101*I101,2),2),""),ROUND(L101*F101,2)))</f>
        <v/>
      </c>
      <c r="K101" s="105"/>
      <c r="L101" s="85" t="str">
        <f t="shared" si="7"/>
        <v/>
      </c>
      <c r="M101" s="606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TIPO_INVALIDO",IF(AND(ISNUMBER(SEARCH("NOVO",D101)),OR(INDEX(posicao_contratual!$C$2:$C$200,MATCH(A101,posicao_contratual!$A$2:$A$200,0))&lt;&gt;0,F101="",COUNTIFS($A$2:$A$200,A101,$B$2:$B$200,"&lt;"&amp;B101,$L$2:$L$200,"&gt;0")&gt;0)),"ALERTA: NOVO ITEM INVALIDO - use Acrescimo se o item ja existia; novo item exige QTD_BASE_ORIGINAL 0, VU_ORIGINAL e ser o 1o acrescimo do item.",IF(AND(ISNUMBER(SEARCH("NOVO",D101)),OR(N101="",ISERROR(MATCH(N101,{"C0","C1","C2","C3","C4"},0)))),"ALERTA: BASE_VU_OBRIGATORIA",IF(AND(NOT(ISNUMBER(SEARCH("NOVO",D101))),N101&lt;&gt;""),"ALERTA: BASE_VU_NAO_APLICAVEL",IF(AND(UPPER(H101)="SIM",NOT(ISNUMBER(I101))),"ALERTA: BASE_VU_INVALIDA_OU_POSTERIOR_AO_FATOR_ALVO","OK"))))))))))</f>
        <v/>
      </c>
      <c r="N101" s="608"/>
      <c r="O101" s="610" t="str">
        <f>IFERROR(IF((COUNTIFS($A$2:$A$200,$A101,$D$2:$D$200,"*novo*",$N$2:$N$200,"C0")+COUNTIFS($A$2:$A$200,$A101,$D$2:$D$200,"*novo*",$N$2:$N$200,"C1")+COUNTIFS($A$2:$A$200,$A101,$D$2:$D$200,"*novo*",$N$2:$N$200,"C2")+COUNTIFS($A$2:$A$200,$A101,$D$2:$D$200,"*novo*",$N$2:$N$200,"C3")+COUNTIFS($A$2:$A$200,$A101,$D$2:$D$200,"*novo*",$N$2:$N$200,"C4"))=1,IF(COUNTIFS($A$2:$A$200,$A101,$D$2:$D$200,"*novo*",$N$2:$N$200,"C4")&gt;0,4,IF(COUNTIFS($A$2:$A$200,$A101,$D$2:$D$200,"*novo*",$N$2:$N$200,"C3")&gt;0,3,IF(COUNTIFS($A$2:$A$200,$A101,$D$2:$D$200,"*novo*",$N$2:$N$200,"C2")&gt;0,2,IF(COUNTIFS($A$2:$A$200,$A101,$D$2:$D$200,"*novo*",$N$2:$N$200,"C1")&gt;0,1,IF(COUNTIFS($A$2:$A$200,$A101,$D$2:$D$200,"*novo*",$N$2:$N$200,"C0")&gt;0,0,""))))),IF(AND((COUNTIFS($A$2:$A$200,$A101,$D$2:$D$200,"*novo*",$N$2:$N$200,"C0")+COUNTIFS($A$2:$A$200,$A101,$D$2:$D$200,"*novo*",$N$2:$N$200,"C1")+COUNTIFS($A$2:$A$200,$A101,$D$2:$D$200,"*novo*",$N$2:$N$200,"C2")+COUNTIFS($A$2:$A$200,$A101,$D$2:$D$200,"*novo*",$N$2:$N$200,"C3")+COUNTIFS($A$2:$A$200,$A101,$D$2:$D$200,"*novo*",$N$2:$N$200,"C4"))=0,INDEX(posicao_contratual!$Y$2:$Y$200,MATCH($A101,posicao_contratual!$A$2:$A$200,0))=0),0,"")),"")</f>
        <v/>
      </c>
    </row>
    <row r="102" spans="1:15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IF(OR($A102="",$C102=""),"",IF(OR(($O102)="",($O102)&gt;(MIN(MATCH($C102,{"C0","C1","C2","C3","C4"},0)-1,COUNT(parametros!$F$2:$F$6)-1)),NOT(ISNUMBER(INDEX(parametros!$F$2:$F$6,(MIN(MATCH($C102,{"C0","C1","C2","C3","C4"},0)-1,COUNT(parametros!$F$2:$F$6)-1))+1))),NOT(ISNUMBER(INDEX(parametros!$F$2:$F$6,($O102)+1)))),"",INDEX(parametros!$F$2:$F$6,(MIN(MATCH($C102,{"C0","C1","C2","C3","C4"},0)-1,COUNT(parametros!$F$2:$F$6)-1))+1)/INDEX(parametros!$F$2:$F$6,($O102)+1))),"")</f>
        <v/>
      </c>
      <c r="J102" s="107" t="str">
        <f>IF(OR(L102="",F102=""),"",IF(UPPER(H102)="SIM",IF(ISNUMBER(I102),ROUND(L102*ROUND(F102*I102,2),2),""),ROUND(L102*F102,2)))</f>
        <v/>
      </c>
      <c r="K102" s="105"/>
      <c r="L102" s="85" t="str">
        <f t="shared" si="7"/>
        <v/>
      </c>
      <c r="M102" s="606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TIPO_INVALIDO",IF(AND(ISNUMBER(SEARCH("NOVO",D102)),OR(INDEX(posicao_contratual!$C$2:$C$200,MATCH(A102,posicao_contratual!$A$2:$A$200,0))&lt;&gt;0,F102="",COUNTIFS($A$2:$A$200,A102,$B$2:$B$200,"&lt;"&amp;B102,$L$2:$L$200,"&gt;0")&gt;0)),"ALERTA: NOVO ITEM INVALIDO - use Acrescimo se o item ja existia; novo item exige QTD_BASE_ORIGINAL 0, VU_ORIGINAL e ser o 1o acrescimo do item.",IF(AND(ISNUMBER(SEARCH("NOVO",D102)),OR(N102="",ISERROR(MATCH(N102,{"C0","C1","C2","C3","C4"},0)))),"ALERTA: BASE_VU_OBRIGATORIA",IF(AND(NOT(ISNUMBER(SEARCH("NOVO",D102))),N102&lt;&gt;""),"ALERTA: BASE_VU_NAO_APLICAVEL",IF(AND(UPPER(H102)="SIM",NOT(ISNUMBER(I102))),"ALERTA: BASE_VU_INVALIDA_OU_POSTERIOR_AO_FATOR_ALVO","OK"))))))))))</f>
        <v/>
      </c>
      <c r="N102" s="608"/>
      <c r="O102" s="610" t="str">
        <f>IFERROR(IF((COUNTIFS($A$2:$A$200,$A102,$D$2:$D$200,"*novo*",$N$2:$N$200,"C0")+COUNTIFS($A$2:$A$200,$A102,$D$2:$D$200,"*novo*",$N$2:$N$200,"C1")+COUNTIFS($A$2:$A$200,$A102,$D$2:$D$200,"*novo*",$N$2:$N$200,"C2")+COUNTIFS($A$2:$A$200,$A102,$D$2:$D$200,"*novo*",$N$2:$N$200,"C3")+COUNTIFS($A$2:$A$200,$A102,$D$2:$D$200,"*novo*",$N$2:$N$200,"C4"))=1,IF(COUNTIFS($A$2:$A$200,$A102,$D$2:$D$200,"*novo*",$N$2:$N$200,"C4")&gt;0,4,IF(COUNTIFS($A$2:$A$200,$A102,$D$2:$D$200,"*novo*",$N$2:$N$200,"C3")&gt;0,3,IF(COUNTIFS($A$2:$A$200,$A102,$D$2:$D$200,"*novo*",$N$2:$N$200,"C2")&gt;0,2,IF(COUNTIFS($A$2:$A$200,$A102,$D$2:$D$200,"*novo*",$N$2:$N$200,"C1")&gt;0,1,IF(COUNTIFS($A$2:$A$200,$A102,$D$2:$D$200,"*novo*",$N$2:$N$200,"C0")&gt;0,0,""))))),IF(AND((COUNTIFS($A$2:$A$200,$A102,$D$2:$D$200,"*novo*",$N$2:$N$200,"C0")+COUNTIFS($A$2:$A$200,$A102,$D$2:$D$200,"*novo*",$N$2:$N$200,"C1")+COUNTIFS($A$2:$A$200,$A102,$D$2:$D$200,"*novo*",$N$2:$N$200,"C2")+COUNTIFS($A$2:$A$200,$A102,$D$2:$D$200,"*novo*",$N$2:$N$200,"C3")+COUNTIFS($A$2:$A$200,$A102,$D$2:$D$200,"*novo*",$N$2:$N$200,"C4"))=0,INDEX(posicao_contratual!$Y$2:$Y$200,MATCH($A102,posicao_contratual!$A$2:$A$200,0))=0),0,"")),"")</f>
        <v/>
      </c>
    </row>
    <row r="103" spans="1:15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IF(OR($A103="",$C103=""),"",IF(OR(($O103)="",($O103)&gt;(MIN(MATCH($C103,{"C0","C1","C2","C3","C4"},0)-1,COUNT(parametros!$F$2:$F$6)-1)),NOT(ISNUMBER(INDEX(parametros!$F$2:$F$6,(MIN(MATCH($C103,{"C0","C1","C2","C3","C4"},0)-1,COUNT(parametros!$F$2:$F$6)-1))+1))),NOT(ISNUMBER(INDEX(parametros!$F$2:$F$6,($O103)+1)))),"",INDEX(parametros!$F$2:$F$6,(MIN(MATCH($C103,{"C0","C1","C2","C3","C4"},0)-1,COUNT(parametros!$F$2:$F$6)-1))+1)/INDEX(parametros!$F$2:$F$6,($O103)+1))),"")</f>
        <v/>
      </c>
      <c r="J103" s="107" t="str">
        <f>IF(OR(L103="",F103=""),"",IF(UPPER(H103)="SIM",IF(ISNUMBER(I103),ROUND(L103*ROUND(F103*I103,2),2),""),ROUND(L103*F103,2)))</f>
        <v/>
      </c>
      <c r="K103" s="105"/>
      <c r="L103" s="85" t="str">
        <f t="shared" si="7"/>
        <v/>
      </c>
      <c r="M103" s="606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TIPO_INVALIDO",IF(AND(ISNUMBER(SEARCH("NOVO",D103)),OR(INDEX(posicao_contratual!$C$2:$C$200,MATCH(A103,posicao_contratual!$A$2:$A$200,0))&lt;&gt;0,F103="",COUNTIFS($A$2:$A$200,A103,$B$2:$B$200,"&lt;"&amp;B103,$L$2:$L$200,"&gt;0")&gt;0)),"ALERTA: NOVO ITEM INVALIDO - use Acrescimo se o item ja existia; novo item exige QTD_BASE_ORIGINAL 0, VU_ORIGINAL e ser o 1o acrescimo do item.",IF(AND(ISNUMBER(SEARCH("NOVO",D103)),OR(N103="",ISERROR(MATCH(N103,{"C0","C1","C2","C3","C4"},0)))),"ALERTA: BASE_VU_OBRIGATORIA",IF(AND(NOT(ISNUMBER(SEARCH("NOVO",D103))),N103&lt;&gt;""),"ALERTA: BASE_VU_NAO_APLICAVEL",IF(AND(UPPER(H103)="SIM",NOT(ISNUMBER(I103))),"ALERTA: BASE_VU_INVALIDA_OU_POSTERIOR_AO_FATOR_ALVO","OK"))))))))))</f>
        <v/>
      </c>
      <c r="N103" s="608"/>
      <c r="O103" s="610" t="str">
        <f>IFERROR(IF((COUNTIFS($A$2:$A$200,$A103,$D$2:$D$200,"*novo*",$N$2:$N$200,"C0")+COUNTIFS($A$2:$A$200,$A103,$D$2:$D$200,"*novo*",$N$2:$N$200,"C1")+COUNTIFS($A$2:$A$200,$A103,$D$2:$D$200,"*novo*",$N$2:$N$200,"C2")+COUNTIFS($A$2:$A$200,$A103,$D$2:$D$200,"*novo*",$N$2:$N$200,"C3")+COUNTIFS($A$2:$A$200,$A103,$D$2:$D$200,"*novo*",$N$2:$N$200,"C4"))=1,IF(COUNTIFS($A$2:$A$200,$A103,$D$2:$D$200,"*novo*",$N$2:$N$200,"C4")&gt;0,4,IF(COUNTIFS($A$2:$A$200,$A103,$D$2:$D$200,"*novo*",$N$2:$N$200,"C3")&gt;0,3,IF(COUNTIFS($A$2:$A$200,$A103,$D$2:$D$200,"*novo*",$N$2:$N$200,"C2")&gt;0,2,IF(COUNTIFS($A$2:$A$200,$A103,$D$2:$D$200,"*novo*",$N$2:$N$200,"C1")&gt;0,1,IF(COUNTIFS($A$2:$A$200,$A103,$D$2:$D$200,"*novo*",$N$2:$N$200,"C0")&gt;0,0,""))))),IF(AND((COUNTIFS($A$2:$A$200,$A103,$D$2:$D$200,"*novo*",$N$2:$N$200,"C0")+COUNTIFS($A$2:$A$200,$A103,$D$2:$D$200,"*novo*",$N$2:$N$200,"C1")+COUNTIFS($A$2:$A$200,$A103,$D$2:$D$200,"*novo*",$N$2:$N$200,"C2")+COUNTIFS($A$2:$A$200,$A103,$D$2:$D$200,"*novo*",$N$2:$N$200,"C3")+COUNTIFS($A$2:$A$200,$A103,$D$2:$D$200,"*novo*",$N$2:$N$200,"C4"))=0,INDEX(posicao_contratual!$Y$2:$Y$200,MATCH($A103,posicao_contratual!$A$2:$A$200,0))=0),0,"")),"")</f>
        <v/>
      </c>
    </row>
    <row r="104" spans="1:15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IF(OR($A104="",$C104=""),"",IF(OR(($O104)="",($O104)&gt;(MIN(MATCH($C104,{"C0","C1","C2","C3","C4"},0)-1,COUNT(parametros!$F$2:$F$6)-1)),NOT(ISNUMBER(INDEX(parametros!$F$2:$F$6,(MIN(MATCH($C104,{"C0","C1","C2","C3","C4"},0)-1,COUNT(parametros!$F$2:$F$6)-1))+1))),NOT(ISNUMBER(INDEX(parametros!$F$2:$F$6,($O104)+1)))),"",INDEX(parametros!$F$2:$F$6,(MIN(MATCH($C104,{"C0","C1","C2","C3","C4"},0)-1,COUNT(parametros!$F$2:$F$6)-1))+1)/INDEX(parametros!$F$2:$F$6,($O104)+1))),"")</f>
        <v/>
      </c>
      <c r="J104" s="107" t="str">
        <f>IF(OR(L104="",F104=""),"",IF(UPPER(H104)="SIM",IF(ISNUMBER(I104),ROUND(L104*ROUND(F104*I104,2),2),""),ROUND(L104*F104,2)))</f>
        <v/>
      </c>
      <c r="K104" s="105"/>
      <c r="L104" s="85" t="str">
        <f t="shared" si="7"/>
        <v/>
      </c>
      <c r="M104" s="606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TIPO_INVALIDO",IF(AND(ISNUMBER(SEARCH("NOVO",D104)),OR(INDEX(posicao_contratual!$C$2:$C$200,MATCH(A104,posicao_contratual!$A$2:$A$200,0))&lt;&gt;0,F104="",COUNTIFS($A$2:$A$200,A104,$B$2:$B$200,"&lt;"&amp;B104,$L$2:$L$200,"&gt;0")&gt;0)),"ALERTA: NOVO ITEM INVALIDO - use Acrescimo se o item ja existia; novo item exige QTD_BASE_ORIGINAL 0, VU_ORIGINAL e ser o 1o acrescimo do item.",IF(AND(ISNUMBER(SEARCH("NOVO",D104)),OR(N104="",ISERROR(MATCH(N104,{"C0","C1","C2","C3","C4"},0)))),"ALERTA: BASE_VU_OBRIGATORIA",IF(AND(NOT(ISNUMBER(SEARCH("NOVO",D104))),N104&lt;&gt;""),"ALERTA: BASE_VU_NAO_APLICAVEL",IF(AND(UPPER(H104)="SIM",NOT(ISNUMBER(I104))),"ALERTA: BASE_VU_INVALIDA_OU_POSTERIOR_AO_FATOR_ALVO","OK"))))))))))</f>
        <v/>
      </c>
      <c r="N104" s="608"/>
      <c r="O104" s="610" t="str">
        <f>IFERROR(IF((COUNTIFS($A$2:$A$200,$A104,$D$2:$D$200,"*novo*",$N$2:$N$200,"C0")+COUNTIFS($A$2:$A$200,$A104,$D$2:$D$200,"*novo*",$N$2:$N$200,"C1")+COUNTIFS($A$2:$A$200,$A104,$D$2:$D$200,"*novo*",$N$2:$N$200,"C2")+COUNTIFS($A$2:$A$200,$A104,$D$2:$D$200,"*novo*",$N$2:$N$200,"C3")+COUNTIFS($A$2:$A$200,$A104,$D$2:$D$200,"*novo*",$N$2:$N$200,"C4"))=1,IF(COUNTIFS($A$2:$A$200,$A104,$D$2:$D$200,"*novo*",$N$2:$N$200,"C4")&gt;0,4,IF(COUNTIFS($A$2:$A$200,$A104,$D$2:$D$200,"*novo*",$N$2:$N$200,"C3")&gt;0,3,IF(COUNTIFS($A$2:$A$200,$A104,$D$2:$D$200,"*novo*",$N$2:$N$200,"C2")&gt;0,2,IF(COUNTIFS($A$2:$A$200,$A104,$D$2:$D$200,"*novo*",$N$2:$N$200,"C1")&gt;0,1,IF(COUNTIFS($A$2:$A$200,$A104,$D$2:$D$200,"*novo*",$N$2:$N$200,"C0")&gt;0,0,""))))),IF(AND((COUNTIFS($A$2:$A$200,$A104,$D$2:$D$200,"*novo*",$N$2:$N$200,"C0")+COUNTIFS($A$2:$A$200,$A104,$D$2:$D$200,"*novo*",$N$2:$N$200,"C1")+COUNTIFS($A$2:$A$200,$A104,$D$2:$D$200,"*novo*",$N$2:$N$200,"C2")+COUNTIFS($A$2:$A$200,$A104,$D$2:$D$200,"*novo*",$N$2:$N$200,"C3")+COUNTIFS($A$2:$A$200,$A104,$D$2:$D$200,"*novo*",$N$2:$N$200,"C4"))=0,INDEX(posicao_contratual!$Y$2:$Y$200,MATCH($A104,posicao_contratual!$A$2:$A$200,0))=0),0,"")),"")</f>
        <v/>
      </c>
    </row>
    <row r="105" spans="1:15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IF(OR($A105="",$C105=""),"",IF(OR(($O105)="",($O105)&gt;(MIN(MATCH($C105,{"C0","C1","C2","C3","C4"},0)-1,COUNT(parametros!$F$2:$F$6)-1)),NOT(ISNUMBER(INDEX(parametros!$F$2:$F$6,(MIN(MATCH($C105,{"C0","C1","C2","C3","C4"},0)-1,COUNT(parametros!$F$2:$F$6)-1))+1))),NOT(ISNUMBER(INDEX(parametros!$F$2:$F$6,($O105)+1)))),"",INDEX(parametros!$F$2:$F$6,(MIN(MATCH($C105,{"C0","C1","C2","C3","C4"},0)-1,COUNT(parametros!$F$2:$F$6)-1))+1)/INDEX(parametros!$F$2:$F$6,($O105)+1))),"")</f>
        <v/>
      </c>
      <c r="J105" s="107" t="str">
        <f>IF(OR(L105="",F105=""),"",IF(UPPER(H105)="SIM",IF(ISNUMBER(I105),ROUND(L105*ROUND(F105*I105,2),2),""),ROUND(L105*F105,2)))</f>
        <v/>
      </c>
      <c r="K105" s="105"/>
      <c r="L105" s="85" t="str">
        <f t="shared" si="7"/>
        <v/>
      </c>
      <c r="M105" s="606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TIPO_INVALIDO",IF(AND(ISNUMBER(SEARCH("NOVO",D105)),OR(INDEX(posicao_contratual!$C$2:$C$200,MATCH(A105,posicao_contratual!$A$2:$A$200,0))&lt;&gt;0,F105="",COUNTIFS($A$2:$A$200,A105,$B$2:$B$200,"&lt;"&amp;B105,$L$2:$L$200,"&gt;0")&gt;0)),"ALERTA: NOVO ITEM INVALIDO - use Acrescimo se o item ja existia; novo item exige QTD_BASE_ORIGINAL 0, VU_ORIGINAL e ser o 1o acrescimo do item.",IF(AND(ISNUMBER(SEARCH("NOVO",D105)),OR(N105="",ISERROR(MATCH(N105,{"C0","C1","C2","C3","C4"},0)))),"ALERTA: BASE_VU_OBRIGATORIA",IF(AND(NOT(ISNUMBER(SEARCH("NOVO",D105))),N105&lt;&gt;""),"ALERTA: BASE_VU_NAO_APLICAVEL",IF(AND(UPPER(H105)="SIM",NOT(ISNUMBER(I105))),"ALERTA: BASE_VU_INVALIDA_OU_POSTERIOR_AO_FATOR_ALVO","OK"))))))))))</f>
        <v/>
      </c>
      <c r="N105" s="608"/>
      <c r="O105" s="610" t="str">
        <f>IFERROR(IF((COUNTIFS($A$2:$A$200,$A105,$D$2:$D$200,"*novo*",$N$2:$N$200,"C0")+COUNTIFS($A$2:$A$200,$A105,$D$2:$D$200,"*novo*",$N$2:$N$200,"C1")+COUNTIFS($A$2:$A$200,$A105,$D$2:$D$200,"*novo*",$N$2:$N$200,"C2")+COUNTIFS($A$2:$A$200,$A105,$D$2:$D$200,"*novo*",$N$2:$N$200,"C3")+COUNTIFS($A$2:$A$200,$A105,$D$2:$D$200,"*novo*",$N$2:$N$200,"C4"))=1,IF(COUNTIFS($A$2:$A$200,$A105,$D$2:$D$200,"*novo*",$N$2:$N$200,"C4")&gt;0,4,IF(COUNTIFS($A$2:$A$200,$A105,$D$2:$D$200,"*novo*",$N$2:$N$200,"C3")&gt;0,3,IF(COUNTIFS($A$2:$A$200,$A105,$D$2:$D$200,"*novo*",$N$2:$N$200,"C2")&gt;0,2,IF(COUNTIFS($A$2:$A$200,$A105,$D$2:$D$200,"*novo*",$N$2:$N$200,"C1")&gt;0,1,IF(COUNTIFS($A$2:$A$200,$A105,$D$2:$D$200,"*novo*",$N$2:$N$200,"C0")&gt;0,0,""))))),IF(AND((COUNTIFS($A$2:$A$200,$A105,$D$2:$D$200,"*novo*",$N$2:$N$200,"C0")+COUNTIFS($A$2:$A$200,$A105,$D$2:$D$200,"*novo*",$N$2:$N$200,"C1")+COUNTIFS($A$2:$A$200,$A105,$D$2:$D$200,"*novo*",$N$2:$N$200,"C2")+COUNTIFS($A$2:$A$200,$A105,$D$2:$D$200,"*novo*",$N$2:$N$200,"C3")+COUNTIFS($A$2:$A$200,$A105,$D$2:$D$200,"*novo*",$N$2:$N$200,"C4"))=0,INDEX(posicao_contratual!$Y$2:$Y$200,MATCH($A105,posicao_contratual!$A$2:$A$200,0))=0),0,"")),"")</f>
        <v/>
      </c>
    </row>
    <row r="106" spans="1:15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IF(OR($A106="",$C106=""),"",IF(OR(($O106)="",($O106)&gt;(MIN(MATCH($C106,{"C0","C1","C2","C3","C4"},0)-1,COUNT(parametros!$F$2:$F$6)-1)),NOT(ISNUMBER(INDEX(parametros!$F$2:$F$6,(MIN(MATCH($C106,{"C0","C1","C2","C3","C4"},0)-1,COUNT(parametros!$F$2:$F$6)-1))+1))),NOT(ISNUMBER(INDEX(parametros!$F$2:$F$6,($O106)+1)))),"",INDEX(parametros!$F$2:$F$6,(MIN(MATCH($C106,{"C0","C1","C2","C3","C4"},0)-1,COUNT(parametros!$F$2:$F$6)-1))+1)/INDEX(parametros!$F$2:$F$6,($O106)+1))),"")</f>
        <v/>
      </c>
      <c r="J106" s="107" t="str">
        <f>IF(OR(L106="",F106=""),"",IF(UPPER(H106)="SIM",IF(ISNUMBER(I106),ROUND(L106*ROUND(F106*I106,2),2),""),ROUND(L106*F106,2)))</f>
        <v/>
      </c>
      <c r="K106" s="105"/>
      <c r="L106" s="85" t="str">
        <f t="shared" si="7"/>
        <v/>
      </c>
      <c r="M106" s="606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TIPO_INVALIDO",IF(AND(ISNUMBER(SEARCH("NOVO",D106)),OR(INDEX(posicao_contratual!$C$2:$C$200,MATCH(A106,posicao_contratual!$A$2:$A$200,0))&lt;&gt;0,F106="",COUNTIFS($A$2:$A$200,A106,$B$2:$B$200,"&lt;"&amp;B106,$L$2:$L$200,"&gt;0")&gt;0)),"ALERTA: NOVO ITEM INVALIDO - use Acrescimo se o item ja existia; novo item exige QTD_BASE_ORIGINAL 0, VU_ORIGINAL e ser o 1o acrescimo do item.",IF(AND(ISNUMBER(SEARCH("NOVO",D106)),OR(N106="",ISERROR(MATCH(N106,{"C0","C1","C2","C3","C4"},0)))),"ALERTA: BASE_VU_OBRIGATORIA",IF(AND(NOT(ISNUMBER(SEARCH("NOVO",D106))),N106&lt;&gt;""),"ALERTA: BASE_VU_NAO_APLICAVEL",IF(AND(UPPER(H106)="SIM",NOT(ISNUMBER(I106))),"ALERTA: BASE_VU_INVALIDA_OU_POSTERIOR_AO_FATOR_ALVO","OK"))))))))))</f>
        <v/>
      </c>
      <c r="N106" s="608"/>
      <c r="O106" s="610" t="str">
        <f>IFERROR(IF((COUNTIFS($A$2:$A$200,$A106,$D$2:$D$200,"*novo*",$N$2:$N$200,"C0")+COUNTIFS($A$2:$A$200,$A106,$D$2:$D$200,"*novo*",$N$2:$N$200,"C1")+COUNTIFS($A$2:$A$200,$A106,$D$2:$D$200,"*novo*",$N$2:$N$200,"C2")+COUNTIFS($A$2:$A$200,$A106,$D$2:$D$200,"*novo*",$N$2:$N$200,"C3")+COUNTIFS($A$2:$A$200,$A106,$D$2:$D$200,"*novo*",$N$2:$N$200,"C4"))=1,IF(COUNTIFS($A$2:$A$200,$A106,$D$2:$D$200,"*novo*",$N$2:$N$200,"C4")&gt;0,4,IF(COUNTIFS($A$2:$A$200,$A106,$D$2:$D$200,"*novo*",$N$2:$N$200,"C3")&gt;0,3,IF(COUNTIFS($A$2:$A$200,$A106,$D$2:$D$200,"*novo*",$N$2:$N$200,"C2")&gt;0,2,IF(COUNTIFS($A$2:$A$200,$A106,$D$2:$D$200,"*novo*",$N$2:$N$200,"C1")&gt;0,1,IF(COUNTIFS($A$2:$A$200,$A106,$D$2:$D$200,"*novo*",$N$2:$N$200,"C0")&gt;0,0,""))))),IF(AND((COUNTIFS($A$2:$A$200,$A106,$D$2:$D$200,"*novo*",$N$2:$N$200,"C0")+COUNTIFS($A$2:$A$200,$A106,$D$2:$D$200,"*novo*",$N$2:$N$200,"C1")+COUNTIFS($A$2:$A$200,$A106,$D$2:$D$200,"*novo*",$N$2:$N$200,"C2")+COUNTIFS($A$2:$A$200,$A106,$D$2:$D$200,"*novo*",$N$2:$N$200,"C3")+COUNTIFS($A$2:$A$200,$A106,$D$2:$D$200,"*novo*",$N$2:$N$200,"C4"))=0,INDEX(posicao_contratual!$Y$2:$Y$200,MATCH($A106,posicao_contratual!$A$2:$A$200,0))=0),0,"")),"")</f>
        <v/>
      </c>
    </row>
    <row r="107" spans="1:15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IF(OR($A107="",$C107=""),"",IF(OR(($O107)="",($O107)&gt;(MIN(MATCH($C107,{"C0","C1","C2","C3","C4"},0)-1,COUNT(parametros!$F$2:$F$6)-1)),NOT(ISNUMBER(INDEX(parametros!$F$2:$F$6,(MIN(MATCH($C107,{"C0","C1","C2","C3","C4"},0)-1,COUNT(parametros!$F$2:$F$6)-1))+1))),NOT(ISNUMBER(INDEX(parametros!$F$2:$F$6,($O107)+1)))),"",INDEX(parametros!$F$2:$F$6,(MIN(MATCH($C107,{"C0","C1","C2","C3","C4"},0)-1,COUNT(parametros!$F$2:$F$6)-1))+1)/INDEX(parametros!$F$2:$F$6,($O107)+1))),"")</f>
        <v/>
      </c>
      <c r="J107" s="107" t="str">
        <f>IF(OR(L107="",F107=""),"",IF(UPPER(H107)="SIM",IF(ISNUMBER(I107),ROUND(L107*ROUND(F107*I107,2),2),""),ROUND(L107*F107,2)))</f>
        <v/>
      </c>
      <c r="K107" s="105"/>
      <c r="L107" s="85" t="str">
        <f t="shared" si="7"/>
        <v/>
      </c>
      <c r="M107" s="606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TIPO_INVALIDO",IF(AND(ISNUMBER(SEARCH("NOVO",D107)),OR(INDEX(posicao_contratual!$C$2:$C$200,MATCH(A107,posicao_contratual!$A$2:$A$200,0))&lt;&gt;0,F107="",COUNTIFS($A$2:$A$200,A107,$B$2:$B$200,"&lt;"&amp;B107,$L$2:$L$200,"&gt;0")&gt;0)),"ALERTA: NOVO ITEM INVALIDO - use Acrescimo se o item ja existia; novo item exige QTD_BASE_ORIGINAL 0, VU_ORIGINAL e ser o 1o acrescimo do item.",IF(AND(ISNUMBER(SEARCH("NOVO",D107)),OR(N107="",ISERROR(MATCH(N107,{"C0","C1","C2","C3","C4"},0)))),"ALERTA: BASE_VU_OBRIGATORIA",IF(AND(NOT(ISNUMBER(SEARCH("NOVO",D107))),N107&lt;&gt;""),"ALERTA: BASE_VU_NAO_APLICAVEL",IF(AND(UPPER(H107)="SIM",NOT(ISNUMBER(I107))),"ALERTA: BASE_VU_INVALIDA_OU_POSTERIOR_AO_FATOR_ALVO","OK"))))))))))</f>
        <v/>
      </c>
      <c r="N107" s="608"/>
      <c r="O107" s="610" t="str">
        <f>IFERROR(IF((COUNTIFS($A$2:$A$200,$A107,$D$2:$D$200,"*novo*",$N$2:$N$200,"C0")+COUNTIFS($A$2:$A$200,$A107,$D$2:$D$200,"*novo*",$N$2:$N$200,"C1")+COUNTIFS($A$2:$A$200,$A107,$D$2:$D$200,"*novo*",$N$2:$N$200,"C2")+COUNTIFS($A$2:$A$200,$A107,$D$2:$D$200,"*novo*",$N$2:$N$200,"C3")+COUNTIFS($A$2:$A$200,$A107,$D$2:$D$200,"*novo*",$N$2:$N$200,"C4"))=1,IF(COUNTIFS($A$2:$A$200,$A107,$D$2:$D$200,"*novo*",$N$2:$N$200,"C4")&gt;0,4,IF(COUNTIFS($A$2:$A$200,$A107,$D$2:$D$200,"*novo*",$N$2:$N$200,"C3")&gt;0,3,IF(COUNTIFS($A$2:$A$200,$A107,$D$2:$D$200,"*novo*",$N$2:$N$200,"C2")&gt;0,2,IF(COUNTIFS($A$2:$A$200,$A107,$D$2:$D$200,"*novo*",$N$2:$N$200,"C1")&gt;0,1,IF(COUNTIFS($A$2:$A$200,$A107,$D$2:$D$200,"*novo*",$N$2:$N$200,"C0")&gt;0,0,""))))),IF(AND((COUNTIFS($A$2:$A$200,$A107,$D$2:$D$200,"*novo*",$N$2:$N$200,"C0")+COUNTIFS($A$2:$A$200,$A107,$D$2:$D$200,"*novo*",$N$2:$N$200,"C1")+COUNTIFS($A$2:$A$200,$A107,$D$2:$D$200,"*novo*",$N$2:$N$200,"C2")+COUNTIFS($A$2:$A$200,$A107,$D$2:$D$200,"*novo*",$N$2:$N$200,"C3")+COUNTIFS($A$2:$A$200,$A107,$D$2:$D$200,"*novo*",$N$2:$N$200,"C4"))=0,INDEX(posicao_contratual!$Y$2:$Y$200,MATCH($A107,posicao_contratual!$A$2:$A$200,0))=0),0,"")),"")</f>
        <v/>
      </c>
    </row>
    <row r="108" spans="1:15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IF(OR($A108="",$C108=""),"",IF(OR(($O108)="",($O108)&gt;(MIN(MATCH($C108,{"C0","C1","C2","C3","C4"},0)-1,COUNT(parametros!$F$2:$F$6)-1)),NOT(ISNUMBER(INDEX(parametros!$F$2:$F$6,(MIN(MATCH($C108,{"C0","C1","C2","C3","C4"},0)-1,COUNT(parametros!$F$2:$F$6)-1))+1))),NOT(ISNUMBER(INDEX(parametros!$F$2:$F$6,($O108)+1)))),"",INDEX(parametros!$F$2:$F$6,(MIN(MATCH($C108,{"C0","C1","C2","C3","C4"},0)-1,COUNT(parametros!$F$2:$F$6)-1))+1)/INDEX(parametros!$F$2:$F$6,($O108)+1))),"")</f>
        <v/>
      </c>
      <c r="J108" s="107" t="str">
        <f>IF(OR(L108="",F108=""),"",IF(UPPER(H108)="SIM",IF(ISNUMBER(I108),ROUND(L108*ROUND(F108*I108,2),2),""),ROUND(L108*F108,2)))</f>
        <v/>
      </c>
      <c r="K108" s="105"/>
      <c r="L108" s="85" t="str">
        <f t="shared" si="7"/>
        <v/>
      </c>
      <c r="M108" s="606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TIPO_INVALIDO",IF(AND(ISNUMBER(SEARCH("NOVO",D108)),OR(INDEX(posicao_contratual!$C$2:$C$200,MATCH(A108,posicao_contratual!$A$2:$A$200,0))&lt;&gt;0,F108="",COUNTIFS($A$2:$A$200,A108,$B$2:$B$200,"&lt;"&amp;B108,$L$2:$L$200,"&gt;0")&gt;0)),"ALERTA: NOVO ITEM INVALIDO - use Acrescimo se o item ja existia; novo item exige QTD_BASE_ORIGINAL 0, VU_ORIGINAL e ser o 1o acrescimo do item.",IF(AND(ISNUMBER(SEARCH("NOVO",D108)),OR(N108="",ISERROR(MATCH(N108,{"C0","C1","C2","C3","C4"},0)))),"ALERTA: BASE_VU_OBRIGATORIA",IF(AND(NOT(ISNUMBER(SEARCH("NOVO",D108))),N108&lt;&gt;""),"ALERTA: BASE_VU_NAO_APLICAVEL",IF(AND(UPPER(H108)="SIM",NOT(ISNUMBER(I108))),"ALERTA: BASE_VU_INVALIDA_OU_POSTERIOR_AO_FATOR_ALVO","OK"))))))))))</f>
        <v/>
      </c>
      <c r="N108" s="608"/>
      <c r="O108" s="610" t="str">
        <f>IFERROR(IF((COUNTIFS($A$2:$A$200,$A108,$D$2:$D$200,"*novo*",$N$2:$N$200,"C0")+COUNTIFS($A$2:$A$200,$A108,$D$2:$D$200,"*novo*",$N$2:$N$200,"C1")+COUNTIFS($A$2:$A$200,$A108,$D$2:$D$200,"*novo*",$N$2:$N$200,"C2")+COUNTIFS($A$2:$A$200,$A108,$D$2:$D$200,"*novo*",$N$2:$N$200,"C3")+COUNTIFS($A$2:$A$200,$A108,$D$2:$D$200,"*novo*",$N$2:$N$200,"C4"))=1,IF(COUNTIFS($A$2:$A$200,$A108,$D$2:$D$200,"*novo*",$N$2:$N$200,"C4")&gt;0,4,IF(COUNTIFS($A$2:$A$200,$A108,$D$2:$D$200,"*novo*",$N$2:$N$200,"C3")&gt;0,3,IF(COUNTIFS($A$2:$A$200,$A108,$D$2:$D$200,"*novo*",$N$2:$N$200,"C2")&gt;0,2,IF(COUNTIFS($A$2:$A$200,$A108,$D$2:$D$200,"*novo*",$N$2:$N$200,"C1")&gt;0,1,IF(COUNTIFS($A$2:$A$200,$A108,$D$2:$D$200,"*novo*",$N$2:$N$200,"C0")&gt;0,0,""))))),IF(AND((COUNTIFS($A$2:$A$200,$A108,$D$2:$D$200,"*novo*",$N$2:$N$200,"C0")+COUNTIFS($A$2:$A$200,$A108,$D$2:$D$200,"*novo*",$N$2:$N$200,"C1")+COUNTIFS($A$2:$A$200,$A108,$D$2:$D$200,"*novo*",$N$2:$N$200,"C2")+COUNTIFS($A$2:$A$200,$A108,$D$2:$D$200,"*novo*",$N$2:$N$200,"C3")+COUNTIFS($A$2:$A$200,$A108,$D$2:$D$200,"*novo*",$N$2:$N$200,"C4"))=0,INDEX(posicao_contratual!$Y$2:$Y$200,MATCH($A108,posicao_contratual!$A$2:$A$200,0))=0),0,"")),"")</f>
        <v/>
      </c>
    </row>
    <row r="109" spans="1:15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IF(OR($A109="",$C109=""),"",IF(OR(($O109)="",($O109)&gt;(MIN(MATCH($C109,{"C0","C1","C2","C3","C4"},0)-1,COUNT(parametros!$F$2:$F$6)-1)),NOT(ISNUMBER(INDEX(parametros!$F$2:$F$6,(MIN(MATCH($C109,{"C0","C1","C2","C3","C4"},0)-1,COUNT(parametros!$F$2:$F$6)-1))+1))),NOT(ISNUMBER(INDEX(parametros!$F$2:$F$6,($O109)+1)))),"",INDEX(parametros!$F$2:$F$6,(MIN(MATCH($C109,{"C0","C1","C2","C3","C4"},0)-1,COUNT(parametros!$F$2:$F$6)-1))+1)/INDEX(parametros!$F$2:$F$6,($O109)+1))),"")</f>
        <v/>
      </c>
      <c r="J109" s="107" t="str">
        <f>IF(OR(L109="",F109=""),"",IF(UPPER(H109)="SIM",IF(ISNUMBER(I109),ROUND(L109*ROUND(F109*I109,2),2),""),ROUND(L109*F109,2)))</f>
        <v/>
      </c>
      <c r="K109" s="105"/>
      <c r="L109" s="85" t="str">
        <f t="shared" si="7"/>
        <v/>
      </c>
      <c r="M109" s="606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TIPO_INVALIDO",IF(AND(ISNUMBER(SEARCH("NOVO",D109)),OR(INDEX(posicao_contratual!$C$2:$C$200,MATCH(A109,posicao_contratual!$A$2:$A$200,0))&lt;&gt;0,F109="",COUNTIFS($A$2:$A$200,A109,$B$2:$B$200,"&lt;"&amp;B109,$L$2:$L$200,"&gt;0")&gt;0)),"ALERTA: NOVO ITEM INVALIDO - use Acrescimo se o item ja existia; novo item exige QTD_BASE_ORIGINAL 0, VU_ORIGINAL e ser o 1o acrescimo do item.",IF(AND(ISNUMBER(SEARCH("NOVO",D109)),OR(N109="",ISERROR(MATCH(N109,{"C0","C1","C2","C3","C4"},0)))),"ALERTA: BASE_VU_OBRIGATORIA",IF(AND(NOT(ISNUMBER(SEARCH("NOVO",D109))),N109&lt;&gt;""),"ALERTA: BASE_VU_NAO_APLICAVEL",IF(AND(UPPER(H109)="SIM",NOT(ISNUMBER(I109))),"ALERTA: BASE_VU_INVALIDA_OU_POSTERIOR_AO_FATOR_ALVO","OK"))))))))))</f>
        <v/>
      </c>
      <c r="N109" s="608"/>
      <c r="O109" s="610" t="str">
        <f>IFERROR(IF((COUNTIFS($A$2:$A$200,$A109,$D$2:$D$200,"*novo*",$N$2:$N$200,"C0")+COUNTIFS($A$2:$A$200,$A109,$D$2:$D$200,"*novo*",$N$2:$N$200,"C1")+COUNTIFS($A$2:$A$200,$A109,$D$2:$D$200,"*novo*",$N$2:$N$200,"C2")+COUNTIFS($A$2:$A$200,$A109,$D$2:$D$200,"*novo*",$N$2:$N$200,"C3")+COUNTIFS($A$2:$A$200,$A109,$D$2:$D$200,"*novo*",$N$2:$N$200,"C4"))=1,IF(COUNTIFS($A$2:$A$200,$A109,$D$2:$D$200,"*novo*",$N$2:$N$200,"C4")&gt;0,4,IF(COUNTIFS($A$2:$A$200,$A109,$D$2:$D$200,"*novo*",$N$2:$N$200,"C3")&gt;0,3,IF(COUNTIFS($A$2:$A$200,$A109,$D$2:$D$200,"*novo*",$N$2:$N$200,"C2")&gt;0,2,IF(COUNTIFS($A$2:$A$200,$A109,$D$2:$D$200,"*novo*",$N$2:$N$200,"C1")&gt;0,1,IF(COUNTIFS($A$2:$A$200,$A109,$D$2:$D$200,"*novo*",$N$2:$N$200,"C0")&gt;0,0,""))))),IF(AND((COUNTIFS($A$2:$A$200,$A109,$D$2:$D$200,"*novo*",$N$2:$N$200,"C0")+COUNTIFS($A$2:$A$200,$A109,$D$2:$D$200,"*novo*",$N$2:$N$200,"C1")+COUNTIFS($A$2:$A$200,$A109,$D$2:$D$200,"*novo*",$N$2:$N$200,"C2")+COUNTIFS($A$2:$A$200,$A109,$D$2:$D$200,"*novo*",$N$2:$N$200,"C3")+COUNTIFS($A$2:$A$200,$A109,$D$2:$D$200,"*novo*",$N$2:$N$200,"C4"))=0,INDEX(posicao_contratual!$Y$2:$Y$200,MATCH($A109,posicao_contratual!$A$2:$A$200,0))=0),0,"")),"")</f>
        <v/>
      </c>
    </row>
    <row r="110" spans="1:15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IF(OR($A110="",$C110=""),"",IF(OR(($O110)="",($O110)&gt;(MIN(MATCH($C110,{"C0","C1","C2","C3","C4"},0)-1,COUNT(parametros!$F$2:$F$6)-1)),NOT(ISNUMBER(INDEX(parametros!$F$2:$F$6,(MIN(MATCH($C110,{"C0","C1","C2","C3","C4"},0)-1,COUNT(parametros!$F$2:$F$6)-1))+1))),NOT(ISNUMBER(INDEX(parametros!$F$2:$F$6,($O110)+1)))),"",INDEX(parametros!$F$2:$F$6,(MIN(MATCH($C110,{"C0","C1","C2","C3","C4"},0)-1,COUNT(parametros!$F$2:$F$6)-1))+1)/INDEX(parametros!$F$2:$F$6,($O110)+1))),"")</f>
        <v/>
      </c>
      <c r="J110" s="107" t="str">
        <f>IF(OR(L110="",F110=""),"",IF(UPPER(H110)="SIM",IF(ISNUMBER(I110),ROUND(L110*ROUND(F110*I110,2),2),""),ROUND(L110*F110,2)))</f>
        <v/>
      </c>
      <c r="K110" s="105"/>
      <c r="L110" s="85" t="str">
        <f t="shared" si="7"/>
        <v/>
      </c>
      <c r="M110" s="606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TIPO_INVALIDO",IF(AND(ISNUMBER(SEARCH("NOVO",D110)),OR(INDEX(posicao_contratual!$C$2:$C$200,MATCH(A110,posicao_contratual!$A$2:$A$200,0))&lt;&gt;0,F110="",COUNTIFS($A$2:$A$200,A110,$B$2:$B$200,"&lt;"&amp;B110,$L$2:$L$200,"&gt;0")&gt;0)),"ALERTA: NOVO ITEM INVALIDO - use Acrescimo se o item ja existia; novo item exige QTD_BASE_ORIGINAL 0, VU_ORIGINAL e ser o 1o acrescimo do item.",IF(AND(ISNUMBER(SEARCH("NOVO",D110)),OR(N110="",ISERROR(MATCH(N110,{"C0","C1","C2","C3","C4"},0)))),"ALERTA: BASE_VU_OBRIGATORIA",IF(AND(NOT(ISNUMBER(SEARCH("NOVO",D110))),N110&lt;&gt;""),"ALERTA: BASE_VU_NAO_APLICAVEL",IF(AND(UPPER(H110)="SIM",NOT(ISNUMBER(I110))),"ALERTA: BASE_VU_INVALIDA_OU_POSTERIOR_AO_FATOR_ALVO","OK"))))))))))</f>
        <v/>
      </c>
      <c r="N110" s="608"/>
      <c r="O110" s="610" t="str">
        <f>IFERROR(IF((COUNTIFS($A$2:$A$200,$A110,$D$2:$D$200,"*novo*",$N$2:$N$200,"C0")+COUNTIFS($A$2:$A$200,$A110,$D$2:$D$200,"*novo*",$N$2:$N$200,"C1")+COUNTIFS($A$2:$A$200,$A110,$D$2:$D$200,"*novo*",$N$2:$N$200,"C2")+COUNTIFS($A$2:$A$200,$A110,$D$2:$D$200,"*novo*",$N$2:$N$200,"C3")+COUNTIFS($A$2:$A$200,$A110,$D$2:$D$200,"*novo*",$N$2:$N$200,"C4"))=1,IF(COUNTIFS($A$2:$A$200,$A110,$D$2:$D$200,"*novo*",$N$2:$N$200,"C4")&gt;0,4,IF(COUNTIFS($A$2:$A$200,$A110,$D$2:$D$200,"*novo*",$N$2:$N$200,"C3")&gt;0,3,IF(COUNTIFS($A$2:$A$200,$A110,$D$2:$D$200,"*novo*",$N$2:$N$200,"C2")&gt;0,2,IF(COUNTIFS($A$2:$A$200,$A110,$D$2:$D$200,"*novo*",$N$2:$N$200,"C1")&gt;0,1,IF(COUNTIFS($A$2:$A$200,$A110,$D$2:$D$200,"*novo*",$N$2:$N$200,"C0")&gt;0,0,""))))),IF(AND((COUNTIFS($A$2:$A$200,$A110,$D$2:$D$200,"*novo*",$N$2:$N$200,"C0")+COUNTIFS($A$2:$A$200,$A110,$D$2:$D$200,"*novo*",$N$2:$N$200,"C1")+COUNTIFS($A$2:$A$200,$A110,$D$2:$D$200,"*novo*",$N$2:$N$200,"C2")+COUNTIFS($A$2:$A$200,$A110,$D$2:$D$200,"*novo*",$N$2:$N$200,"C3")+COUNTIFS($A$2:$A$200,$A110,$D$2:$D$200,"*novo*",$N$2:$N$200,"C4"))=0,INDEX(posicao_contratual!$Y$2:$Y$200,MATCH($A110,posicao_contratual!$A$2:$A$200,0))=0),0,"")),"")</f>
        <v/>
      </c>
    </row>
    <row r="111" spans="1:15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IF(OR($A111="",$C111=""),"",IF(OR(($O111)="",($O111)&gt;(MIN(MATCH($C111,{"C0","C1","C2","C3","C4"},0)-1,COUNT(parametros!$F$2:$F$6)-1)),NOT(ISNUMBER(INDEX(parametros!$F$2:$F$6,(MIN(MATCH($C111,{"C0","C1","C2","C3","C4"},0)-1,COUNT(parametros!$F$2:$F$6)-1))+1))),NOT(ISNUMBER(INDEX(parametros!$F$2:$F$6,($O111)+1)))),"",INDEX(parametros!$F$2:$F$6,(MIN(MATCH($C111,{"C0","C1","C2","C3","C4"},0)-1,COUNT(parametros!$F$2:$F$6)-1))+1)/INDEX(parametros!$F$2:$F$6,($O111)+1))),"")</f>
        <v/>
      </c>
      <c r="J111" s="107" t="str">
        <f>IF(OR(L111="",F111=""),"",IF(UPPER(H111)="SIM",IF(ISNUMBER(I111),ROUND(L111*ROUND(F111*I111,2),2),""),ROUND(L111*F111,2)))</f>
        <v/>
      </c>
      <c r="K111" s="105"/>
      <c r="L111" s="85" t="str">
        <f t="shared" si="7"/>
        <v/>
      </c>
      <c r="M111" s="606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TIPO_INVALIDO",IF(AND(ISNUMBER(SEARCH("NOVO",D111)),OR(INDEX(posicao_contratual!$C$2:$C$200,MATCH(A111,posicao_contratual!$A$2:$A$200,0))&lt;&gt;0,F111="",COUNTIFS($A$2:$A$200,A111,$B$2:$B$200,"&lt;"&amp;B111,$L$2:$L$200,"&gt;0")&gt;0)),"ALERTA: NOVO ITEM INVALIDO - use Acrescimo se o item ja existia; novo item exige QTD_BASE_ORIGINAL 0, VU_ORIGINAL e ser o 1o acrescimo do item.",IF(AND(ISNUMBER(SEARCH("NOVO",D111)),OR(N111="",ISERROR(MATCH(N111,{"C0","C1","C2","C3","C4"},0)))),"ALERTA: BASE_VU_OBRIGATORIA",IF(AND(NOT(ISNUMBER(SEARCH("NOVO",D111))),N111&lt;&gt;""),"ALERTA: BASE_VU_NAO_APLICAVEL",IF(AND(UPPER(H111)="SIM",NOT(ISNUMBER(I111))),"ALERTA: BASE_VU_INVALIDA_OU_POSTERIOR_AO_FATOR_ALVO","OK"))))))))))</f>
        <v/>
      </c>
      <c r="N111" s="608"/>
      <c r="O111" s="610" t="str">
        <f>IFERROR(IF((COUNTIFS($A$2:$A$200,$A111,$D$2:$D$200,"*novo*",$N$2:$N$200,"C0")+COUNTIFS($A$2:$A$200,$A111,$D$2:$D$200,"*novo*",$N$2:$N$200,"C1")+COUNTIFS($A$2:$A$200,$A111,$D$2:$D$200,"*novo*",$N$2:$N$200,"C2")+COUNTIFS($A$2:$A$200,$A111,$D$2:$D$200,"*novo*",$N$2:$N$200,"C3")+COUNTIFS($A$2:$A$200,$A111,$D$2:$D$200,"*novo*",$N$2:$N$200,"C4"))=1,IF(COUNTIFS($A$2:$A$200,$A111,$D$2:$D$200,"*novo*",$N$2:$N$200,"C4")&gt;0,4,IF(COUNTIFS($A$2:$A$200,$A111,$D$2:$D$200,"*novo*",$N$2:$N$200,"C3")&gt;0,3,IF(COUNTIFS($A$2:$A$200,$A111,$D$2:$D$200,"*novo*",$N$2:$N$200,"C2")&gt;0,2,IF(COUNTIFS($A$2:$A$200,$A111,$D$2:$D$200,"*novo*",$N$2:$N$200,"C1")&gt;0,1,IF(COUNTIFS($A$2:$A$200,$A111,$D$2:$D$200,"*novo*",$N$2:$N$200,"C0")&gt;0,0,""))))),IF(AND((COUNTIFS($A$2:$A$200,$A111,$D$2:$D$200,"*novo*",$N$2:$N$200,"C0")+COUNTIFS($A$2:$A$200,$A111,$D$2:$D$200,"*novo*",$N$2:$N$200,"C1")+COUNTIFS($A$2:$A$200,$A111,$D$2:$D$200,"*novo*",$N$2:$N$200,"C2")+COUNTIFS($A$2:$A$200,$A111,$D$2:$D$200,"*novo*",$N$2:$N$200,"C3")+COUNTIFS($A$2:$A$200,$A111,$D$2:$D$200,"*novo*",$N$2:$N$200,"C4"))=0,INDEX(posicao_contratual!$Y$2:$Y$200,MATCH($A111,posicao_contratual!$A$2:$A$200,0))=0),0,"")),"")</f>
        <v/>
      </c>
    </row>
    <row r="112" spans="1:15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IF(OR($A112="",$C112=""),"",IF(OR(($O112)="",($O112)&gt;(MIN(MATCH($C112,{"C0","C1","C2","C3","C4"},0)-1,COUNT(parametros!$F$2:$F$6)-1)),NOT(ISNUMBER(INDEX(parametros!$F$2:$F$6,(MIN(MATCH($C112,{"C0","C1","C2","C3","C4"},0)-1,COUNT(parametros!$F$2:$F$6)-1))+1))),NOT(ISNUMBER(INDEX(parametros!$F$2:$F$6,($O112)+1)))),"",INDEX(parametros!$F$2:$F$6,(MIN(MATCH($C112,{"C0","C1","C2","C3","C4"},0)-1,COUNT(parametros!$F$2:$F$6)-1))+1)/INDEX(parametros!$F$2:$F$6,($O112)+1))),"")</f>
        <v/>
      </c>
      <c r="J112" s="107" t="str">
        <f>IF(OR(L112="",F112=""),"",IF(UPPER(H112)="SIM",IF(ISNUMBER(I112),ROUND(L112*ROUND(F112*I112,2),2),""),ROUND(L112*F112,2)))</f>
        <v/>
      </c>
      <c r="K112" s="105"/>
      <c r="L112" s="85" t="str">
        <f t="shared" si="7"/>
        <v/>
      </c>
      <c r="M112" s="606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TIPO_INVALIDO",IF(AND(ISNUMBER(SEARCH("NOVO",D112)),OR(INDEX(posicao_contratual!$C$2:$C$200,MATCH(A112,posicao_contratual!$A$2:$A$200,0))&lt;&gt;0,F112="",COUNTIFS($A$2:$A$200,A112,$B$2:$B$200,"&lt;"&amp;B112,$L$2:$L$200,"&gt;0")&gt;0)),"ALERTA: NOVO ITEM INVALIDO - use Acrescimo se o item ja existia; novo item exige QTD_BASE_ORIGINAL 0, VU_ORIGINAL e ser o 1o acrescimo do item.",IF(AND(ISNUMBER(SEARCH("NOVO",D112)),OR(N112="",ISERROR(MATCH(N112,{"C0","C1","C2","C3","C4"},0)))),"ALERTA: BASE_VU_OBRIGATORIA",IF(AND(NOT(ISNUMBER(SEARCH("NOVO",D112))),N112&lt;&gt;""),"ALERTA: BASE_VU_NAO_APLICAVEL",IF(AND(UPPER(H112)="SIM",NOT(ISNUMBER(I112))),"ALERTA: BASE_VU_INVALIDA_OU_POSTERIOR_AO_FATOR_ALVO","OK"))))))))))</f>
        <v/>
      </c>
      <c r="N112" s="608"/>
      <c r="O112" s="610" t="str">
        <f>IFERROR(IF((COUNTIFS($A$2:$A$200,$A112,$D$2:$D$200,"*novo*",$N$2:$N$200,"C0")+COUNTIFS($A$2:$A$200,$A112,$D$2:$D$200,"*novo*",$N$2:$N$200,"C1")+COUNTIFS($A$2:$A$200,$A112,$D$2:$D$200,"*novo*",$N$2:$N$200,"C2")+COUNTIFS($A$2:$A$200,$A112,$D$2:$D$200,"*novo*",$N$2:$N$200,"C3")+COUNTIFS($A$2:$A$200,$A112,$D$2:$D$200,"*novo*",$N$2:$N$200,"C4"))=1,IF(COUNTIFS($A$2:$A$200,$A112,$D$2:$D$200,"*novo*",$N$2:$N$200,"C4")&gt;0,4,IF(COUNTIFS($A$2:$A$200,$A112,$D$2:$D$200,"*novo*",$N$2:$N$200,"C3")&gt;0,3,IF(COUNTIFS($A$2:$A$200,$A112,$D$2:$D$200,"*novo*",$N$2:$N$200,"C2")&gt;0,2,IF(COUNTIFS($A$2:$A$200,$A112,$D$2:$D$200,"*novo*",$N$2:$N$200,"C1")&gt;0,1,IF(COUNTIFS($A$2:$A$200,$A112,$D$2:$D$200,"*novo*",$N$2:$N$200,"C0")&gt;0,0,""))))),IF(AND((COUNTIFS($A$2:$A$200,$A112,$D$2:$D$200,"*novo*",$N$2:$N$200,"C0")+COUNTIFS($A$2:$A$200,$A112,$D$2:$D$200,"*novo*",$N$2:$N$200,"C1")+COUNTIFS($A$2:$A$200,$A112,$D$2:$D$200,"*novo*",$N$2:$N$200,"C2")+COUNTIFS($A$2:$A$200,$A112,$D$2:$D$200,"*novo*",$N$2:$N$200,"C3")+COUNTIFS($A$2:$A$200,$A112,$D$2:$D$200,"*novo*",$N$2:$N$200,"C4"))=0,INDEX(posicao_contratual!$Y$2:$Y$200,MATCH($A112,posicao_contratual!$A$2:$A$200,0))=0),0,"")),"")</f>
        <v/>
      </c>
    </row>
    <row r="113" spans="1:15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IF(OR($A113="",$C113=""),"",IF(OR(($O113)="",($O113)&gt;(MIN(MATCH($C113,{"C0","C1","C2","C3","C4"},0)-1,COUNT(parametros!$F$2:$F$6)-1)),NOT(ISNUMBER(INDEX(parametros!$F$2:$F$6,(MIN(MATCH($C113,{"C0","C1","C2","C3","C4"},0)-1,COUNT(parametros!$F$2:$F$6)-1))+1))),NOT(ISNUMBER(INDEX(parametros!$F$2:$F$6,($O113)+1)))),"",INDEX(parametros!$F$2:$F$6,(MIN(MATCH($C113,{"C0","C1","C2","C3","C4"},0)-1,COUNT(parametros!$F$2:$F$6)-1))+1)/INDEX(parametros!$F$2:$F$6,($O113)+1))),"")</f>
        <v/>
      </c>
      <c r="J113" s="107" t="str">
        <f>IF(OR(L113="",F113=""),"",IF(UPPER(H113)="SIM",IF(ISNUMBER(I113),ROUND(L113*ROUND(F113*I113,2),2),""),ROUND(L113*F113,2)))</f>
        <v/>
      </c>
      <c r="K113" s="105"/>
      <c r="L113" s="85" t="str">
        <f t="shared" si="7"/>
        <v/>
      </c>
      <c r="M113" s="606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TIPO_INVALIDO",IF(AND(ISNUMBER(SEARCH("NOVO",D113)),OR(INDEX(posicao_contratual!$C$2:$C$200,MATCH(A113,posicao_contratual!$A$2:$A$200,0))&lt;&gt;0,F113="",COUNTIFS($A$2:$A$200,A113,$B$2:$B$200,"&lt;"&amp;B113,$L$2:$L$200,"&gt;0")&gt;0)),"ALERTA: NOVO ITEM INVALIDO - use Acrescimo se o item ja existia; novo item exige QTD_BASE_ORIGINAL 0, VU_ORIGINAL e ser o 1o acrescimo do item.",IF(AND(ISNUMBER(SEARCH("NOVO",D113)),OR(N113="",ISERROR(MATCH(N113,{"C0","C1","C2","C3","C4"},0)))),"ALERTA: BASE_VU_OBRIGATORIA",IF(AND(NOT(ISNUMBER(SEARCH("NOVO",D113))),N113&lt;&gt;""),"ALERTA: BASE_VU_NAO_APLICAVEL",IF(AND(UPPER(H113)="SIM",NOT(ISNUMBER(I113))),"ALERTA: BASE_VU_INVALIDA_OU_POSTERIOR_AO_FATOR_ALVO","OK"))))))))))</f>
        <v/>
      </c>
      <c r="N113" s="608"/>
      <c r="O113" s="610" t="str">
        <f>IFERROR(IF((COUNTIFS($A$2:$A$200,$A113,$D$2:$D$200,"*novo*",$N$2:$N$200,"C0")+COUNTIFS($A$2:$A$200,$A113,$D$2:$D$200,"*novo*",$N$2:$N$200,"C1")+COUNTIFS($A$2:$A$200,$A113,$D$2:$D$200,"*novo*",$N$2:$N$200,"C2")+COUNTIFS($A$2:$A$200,$A113,$D$2:$D$200,"*novo*",$N$2:$N$200,"C3")+COUNTIFS($A$2:$A$200,$A113,$D$2:$D$200,"*novo*",$N$2:$N$200,"C4"))=1,IF(COUNTIFS($A$2:$A$200,$A113,$D$2:$D$200,"*novo*",$N$2:$N$200,"C4")&gt;0,4,IF(COUNTIFS($A$2:$A$200,$A113,$D$2:$D$200,"*novo*",$N$2:$N$200,"C3")&gt;0,3,IF(COUNTIFS($A$2:$A$200,$A113,$D$2:$D$200,"*novo*",$N$2:$N$200,"C2")&gt;0,2,IF(COUNTIFS($A$2:$A$200,$A113,$D$2:$D$200,"*novo*",$N$2:$N$200,"C1")&gt;0,1,IF(COUNTIFS($A$2:$A$200,$A113,$D$2:$D$200,"*novo*",$N$2:$N$200,"C0")&gt;0,0,""))))),IF(AND((COUNTIFS($A$2:$A$200,$A113,$D$2:$D$200,"*novo*",$N$2:$N$200,"C0")+COUNTIFS($A$2:$A$200,$A113,$D$2:$D$200,"*novo*",$N$2:$N$200,"C1")+COUNTIFS($A$2:$A$200,$A113,$D$2:$D$200,"*novo*",$N$2:$N$200,"C2")+COUNTIFS($A$2:$A$200,$A113,$D$2:$D$200,"*novo*",$N$2:$N$200,"C3")+COUNTIFS($A$2:$A$200,$A113,$D$2:$D$200,"*novo*",$N$2:$N$200,"C4"))=0,INDEX(posicao_contratual!$Y$2:$Y$200,MATCH($A113,posicao_contratual!$A$2:$A$200,0))=0),0,"")),"")</f>
        <v/>
      </c>
    </row>
    <row r="114" spans="1:15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IF(OR($A114="",$C114=""),"",IF(OR(($O114)="",($O114)&gt;(MIN(MATCH($C114,{"C0","C1","C2","C3","C4"},0)-1,COUNT(parametros!$F$2:$F$6)-1)),NOT(ISNUMBER(INDEX(parametros!$F$2:$F$6,(MIN(MATCH($C114,{"C0","C1","C2","C3","C4"},0)-1,COUNT(parametros!$F$2:$F$6)-1))+1))),NOT(ISNUMBER(INDEX(parametros!$F$2:$F$6,($O114)+1)))),"",INDEX(parametros!$F$2:$F$6,(MIN(MATCH($C114,{"C0","C1","C2","C3","C4"},0)-1,COUNT(parametros!$F$2:$F$6)-1))+1)/INDEX(parametros!$F$2:$F$6,($O114)+1))),"")</f>
        <v/>
      </c>
      <c r="J114" s="107" t="str">
        <f>IF(OR(L114="",F114=""),"",IF(UPPER(H114)="SIM",IF(ISNUMBER(I114),ROUND(L114*ROUND(F114*I114,2),2),""),ROUND(L114*F114,2)))</f>
        <v/>
      </c>
      <c r="K114" s="105"/>
      <c r="L114" s="85" t="str">
        <f t="shared" si="7"/>
        <v/>
      </c>
      <c r="M114" s="606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TIPO_INVALIDO",IF(AND(ISNUMBER(SEARCH("NOVO",D114)),OR(INDEX(posicao_contratual!$C$2:$C$200,MATCH(A114,posicao_contratual!$A$2:$A$200,0))&lt;&gt;0,F114="",COUNTIFS($A$2:$A$200,A114,$B$2:$B$200,"&lt;"&amp;B114,$L$2:$L$200,"&gt;0")&gt;0)),"ALERTA: NOVO ITEM INVALIDO - use Acrescimo se o item ja existia; novo item exige QTD_BASE_ORIGINAL 0, VU_ORIGINAL e ser o 1o acrescimo do item.",IF(AND(ISNUMBER(SEARCH("NOVO",D114)),OR(N114="",ISERROR(MATCH(N114,{"C0","C1","C2","C3","C4"},0)))),"ALERTA: BASE_VU_OBRIGATORIA",IF(AND(NOT(ISNUMBER(SEARCH("NOVO",D114))),N114&lt;&gt;""),"ALERTA: BASE_VU_NAO_APLICAVEL",IF(AND(UPPER(H114)="SIM",NOT(ISNUMBER(I114))),"ALERTA: BASE_VU_INVALIDA_OU_POSTERIOR_AO_FATOR_ALVO","OK"))))))))))</f>
        <v/>
      </c>
      <c r="N114" s="608"/>
      <c r="O114" s="610" t="str">
        <f>IFERROR(IF((COUNTIFS($A$2:$A$200,$A114,$D$2:$D$200,"*novo*",$N$2:$N$200,"C0")+COUNTIFS($A$2:$A$200,$A114,$D$2:$D$200,"*novo*",$N$2:$N$200,"C1")+COUNTIFS($A$2:$A$200,$A114,$D$2:$D$200,"*novo*",$N$2:$N$200,"C2")+COUNTIFS($A$2:$A$200,$A114,$D$2:$D$200,"*novo*",$N$2:$N$200,"C3")+COUNTIFS($A$2:$A$200,$A114,$D$2:$D$200,"*novo*",$N$2:$N$200,"C4"))=1,IF(COUNTIFS($A$2:$A$200,$A114,$D$2:$D$200,"*novo*",$N$2:$N$200,"C4")&gt;0,4,IF(COUNTIFS($A$2:$A$200,$A114,$D$2:$D$200,"*novo*",$N$2:$N$200,"C3")&gt;0,3,IF(COUNTIFS($A$2:$A$200,$A114,$D$2:$D$200,"*novo*",$N$2:$N$200,"C2")&gt;0,2,IF(COUNTIFS($A$2:$A$200,$A114,$D$2:$D$200,"*novo*",$N$2:$N$200,"C1")&gt;0,1,IF(COUNTIFS($A$2:$A$200,$A114,$D$2:$D$200,"*novo*",$N$2:$N$200,"C0")&gt;0,0,""))))),IF(AND((COUNTIFS($A$2:$A$200,$A114,$D$2:$D$200,"*novo*",$N$2:$N$200,"C0")+COUNTIFS($A$2:$A$200,$A114,$D$2:$D$200,"*novo*",$N$2:$N$200,"C1")+COUNTIFS($A$2:$A$200,$A114,$D$2:$D$200,"*novo*",$N$2:$N$200,"C2")+COUNTIFS($A$2:$A$200,$A114,$D$2:$D$200,"*novo*",$N$2:$N$200,"C3")+COUNTIFS($A$2:$A$200,$A114,$D$2:$D$200,"*novo*",$N$2:$N$200,"C4"))=0,INDEX(posicao_contratual!$Y$2:$Y$200,MATCH($A114,posicao_contratual!$A$2:$A$200,0))=0),0,"")),"")</f>
        <v/>
      </c>
    </row>
    <row r="115" spans="1:15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IF(OR($A115="",$C115=""),"",IF(OR(($O115)="",($O115)&gt;(MIN(MATCH($C115,{"C0","C1","C2","C3","C4"},0)-1,COUNT(parametros!$F$2:$F$6)-1)),NOT(ISNUMBER(INDEX(parametros!$F$2:$F$6,(MIN(MATCH($C115,{"C0","C1","C2","C3","C4"},0)-1,COUNT(parametros!$F$2:$F$6)-1))+1))),NOT(ISNUMBER(INDEX(parametros!$F$2:$F$6,($O115)+1)))),"",INDEX(parametros!$F$2:$F$6,(MIN(MATCH($C115,{"C0","C1","C2","C3","C4"},0)-1,COUNT(parametros!$F$2:$F$6)-1))+1)/INDEX(parametros!$F$2:$F$6,($O115)+1))),"")</f>
        <v/>
      </c>
      <c r="J115" s="107" t="str">
        <f>IF(OR(L115="",F115=""),"",IF(UPPER(H115)="SIM",IF(ISNUMBER(I115),ROUND(L115*ROUND(F115*I115,2),2),""),ROUND(L115*F115,2)))</f>
        <v/>
      </c>
      <c r="K115" s="105"/>
      <c r="L115" s="85" t="str">
        <f t="shared" si="7"/>
        <v/>
      </c>
      <c r="M115" s="606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TIPO_INVALIDO",IF(AND(ISNUMBER(SEARCH("NOVO",D115)),OR(INDEX(posicao_contratual!$C$2:$C$200,MATCH(A115,posicao_contratual!$A$2:$A$200,0))&lt;&gt;0,F115="",COUNTIFS($A$2:$A$200,A115,$B$2:$B$200,"&lt;"&amp;B115,$L$2:$L$200,"&gt;0")&gt;0)),"ALERTA: NOVO ITEM INVALIDO - use Acrescimo se o item ja existia; novo item exige QTD_BASE_ORIGINAL 0, VU_ORIGINAL e ser o 1o acrescimo do item.",IF(AND(ISNUMBER(SEARCH("NOVO",D115)),OR(N115="",ISERROR(MATCH(N115,{"C0","C1","C2","C3","C4"},0)))),"ALERTA: BASE_VU_OBRIGATORIA",IF(AND(NOT(ISNUMBER(SEARCH("NOVO",D115))),N115&lt;&gt;""),"ALERTA: BASE_VU_NAO_APLICAVEL",IF(AND(UPPER(H115)="SIM",NOT(ISNUMBER(I115))),"ALERTA: BASE_VU_INVALIDA_OU_POSTERIOR_AO_FATOR_ALVO","OK"))))))))))</f>
        <v/>
      </c>
      <c r="N115" s="608"/>
      <c r="O115" s="610" t="str">
        <f>IFERROR(IF((COUNTIFS($A$2:$A$200,$A115,$D$2:$D$200,"*novo*",$N$2:$N$200,"C0")+COUNTIFS($A$2:$A$200,$A115,$D$2:$D$200,"*novo*",$N$2:$N$200,"C1")+COUNTIFS($A$2:$A$200,$A115,$D$2:$D$200,"*novo*",$N$2:$N$200,"C2")+COUNTIFS($A$2:$A$200,$A115,$D$2:$D$200,"*novo*",$N$2:$N$200,"C3")+COUNTIFS($A$2:$A$200,$A115,$D$2:$D$200,"*novo*",$N$2:$N$200,"C4"))=1,IF(COUNTIFS($A$2:$A$200,$A115,$D$2:$D$200,"*novo*",$N$2:$N$200,"C4")&gt;0,4,IF(COUNTIFS($A$2:$A$200,$A115,$D$2:$D$200,"*novo*",$N$2:$N$200,"C3")&gt;0,3,IF(COUNTIFS($A$2:$A$200,$A115,$D$2:$D$200,"*novo*",$N$2:$N$200,"C2")&gt;0,2,IF(COUNTIFS($A$2:$A$200,$A115,$D$2:$D$200,"*novo*",$N$2:$N$200,"C1")&gt;0,1,IF(COUNTIFS($A$2:$A$200,$A115,$D$2:$D$200,"*novo*",$N$2:$N$200,"C0")&gt;0,0,""))))),IF(AND((COUNTIFS($A$2:$A$200,$A115,$D$2:$D$200,"*novo*",$N$2:$N$200,"C0")+COUNTIFS($A$2:$A$200,$A115,$D$2:$D$200,"*novo*",$N$2:$N$200,"C1")+COUNTIFS($A$2:$A$200,$A115,$D$2:$D$200,"*novo*",$N$2:$N$200,"C2")+COUNTIFS($A$2:$A$200,$A115,$D$2:$D$200,"*novo*",$N$2:$N$200,"C3")+COUNTIFS($A$2:$A$200,$A115,$D$2:$D$200,"*novo*",$N$2:$N$200,"C4"))=0,INDEX(posicao_contratual!$Y$2:$Y$200,MATCH($A115,posicao_contratual!$A$2:$A$200,0))=0),0,"")),"")</f>
        <v/>
      </c>
    </row>
    <row r="116" spans="1:15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IF(OR($A116="",$C116=""),"",IF(OR(($O116)="",($O116)&gt;(MIN(MATCH($C116,{"C0","C1","C2","C3","C4"},0)-1,COUNT(parametros!$F$2:$F$6)-1)),NOT(ISNUMBER(INDEX(parametros!$F$2:$F$6,(MIN(MATCH($C116,{"C0","C1","C2","C3","C4"},0)-1,COUNT(parametros!$F$2:$F$6)-1))+1))),NOT(ISNUMBER(INDEX(parametros!$F$2:$F$6,($O116)+1)))),"",INDEX(parametros!$F$2:$F$6,(MIN(MATCH($C116,{"C0","C1","C2","C3","C4"},0)-1,COUNT(parametros!$F$2:$F$6)-1))+1)/INDEX(parametros!$F$2:$F$6,($O116)+1))),"")</f>
        <v/>
      </c>
      <c r="J116" s="107" t="str">
        <f>IF(OR(L116="",F116=""),"",IF(UPPER(H116)="SIM",IF(ISNUMBER(I116),ROUND(L116*ROUND(F116*I116,2),2),""),ROUND(L116*F116,2)))</f>
        <v/>
      </c>
      <c r="K116" s="105"/>
      <c r="L116" s="85" t="str">
        <f t="shared" si="7"/>
        <v/>
      </c>
      <c r="M116" s="606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TIPO_INVALIDO",IF(AND(ISNUMBER(SEARCH("NOVO",D116)),OR(INDEX(posicao_contratual!$C$2:$C$200,MATCH(A116,posicao_contratual!$A$2:$A$200,0))&lt;&gt;0,F116="",COUNTIFS($A$2:$A$200,A116,$B$2:$B$200,"&lt;"&amp;B116,$L$2:$L$200,"&gt;0")&gt;0)),"ALERTA: NOVO ITEM INVALIDO - use Acrescimo se o item ja existia; novo item exige QTD_BASE_ORIGINAL 0, VU_ORIGINAL e ser o 1o acrescimo do item.",IF(AND(ISNUMBER(SEARCH("NOVO",D116)),OR(N116="",ISERROR(MATCH(N116,{"C0","C1","C2","C3","C4"},0)))),"ALERTA: BASE_VU_OBRIGATORIA",IF(AND(NOT(ISNUMBER(SEARCH("NOVO",D116))),N116&lt;&gt;""),"ALERTA: BASE_VU_NAO_APLICAVEL",IF(AND(UPPER(H116)="SIM",NOT(ISNUMBER(I116))),"ALERTA: BASE_VU_INVALIDA_OU_POSTERIOR_AO_FATOR_ALVO","OK"))))))))))</f>
        <v/>
      </c>
      <c r="N116" s="608"/>
      <c r="O116" s="610" t="str">
        <f>IFERROR(IF((COUNTIFS($A$2:$A$200,$A116,$D$2:$D$200,"*novo*",$N$2:$N$200,"C0")+COUNTIFS($A$2:$A$200,$A116,$D$2:$D$200,"*novo*",$N$2:$N$200,"C1")+COUNTIFS($A$2:$A$200,$A116,$D$2:$D$200,"*novo*",$N$2:$N$200,"C2")+COUNTIFS($A$2:$A$200,$A116,$D$2:$D$200,"*novo*",$N$2:$N$200,"C3")+COUNTIFS($A$2:$A$200,$A116,$D$2:$D$200,"*novo*",$N$2:$N$200,"C4"))=1,IF(COUNTIFS($A$2:$A$200,$A116,$D$2:$D$200,"*novo*",$N$2:$N$200,"C4")&gt;0,4,IF(COUNTIFS($A$2:$A$200,$A116,$D$2:$D$200,"*novo*",$N$2:$N$200,"C3")&gt;0,3,IF(COUNTIFS($A$2:$A$200,$A116,$D$2:$D$200,"*novo*",$N$2:$N$200,"C2")&gt;0,2,IF(COUNTIFS($A$2:$A$200,$A116,$D$2:$D$200,"*novo*",$N$2:$N$200,"C1")&gt;0,1,IF(COUNTIFS($A$2:$A$200,$A116,$D$2:$D$200,"*novo*",$N$2:$N$200,"C0")&gt;0,0,""))))),IF(AND((COUNTIFS($A$2:$A$200,$A116,$D$2:$D$200,"*novo*",$N$2:$N$200,"C0")+COUNTIFS($A$2:$A$200,$A116,$D$2:$D$200,"*novo*",$N$2:$N$200,"C1")+COUNTIFS($A$2:$A$200,$A116,$D$2:$D$200,"*novo*",$N$2:$N$200,"C2")+COUNTIFS($A$2:$A$200,$A116,$D$2:$D$200,"*novo*",$N$2:$N$200,"C3")+COUNTIFS($A$2:$A$200,$A116,$D$2:$D$200,"*novo*",$N$2:$N$200,"C4"))=0,INDEX(posicao_contratual!$Y$2:$Y$200,MATCH($A116,posicao_contratual!$A$2:$A$200,0))=0),0,"")),"")</f>
        <v/>
      </c>
    </row>
    <row r="117" spans="1:15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IF(OR($A117="",$C117=""),"",IF(OR(($O117)="",($O117)&gt;(MIN(MATCH($C117,{"C0","C1","C2","C3","C4"},0)-1,COUNT(parametros!$F$2:$F$6)-1)),NOT(ISNUMBER(INDEX(parametros!$F$2:$F$6,(MIN(MATCH($C117,{"C0","C1","C2","C3","C4"},0)-1,COUNT(parametros!$F$2:$F$6)-1))+1))),NOT(ISNUMBER(INDEX(parametros!$F$2:$F$6,($O117)+1)))),"",INDEX(parametros!$F$2:$F$6,(MIN(MATCH($C117,{"C0","C1","C2","C3","C4"},0)-1,COUNT(parametros!$F$2:$F$6)-1))+1)/INDEX(parametros!$F$2:$F$6,($O117)+1))),"")</f>
        <v/>
      </c>
      <c r="J117" s="107" t="str">
        <f>IF(OR(L117="",F117=""),"",IF(UPPER(H117)="SIM",IF(ISNUMBER(I117),ROUND(L117*ROUND(F117*I117,2),2),""),ROUND(L117*F117,2)))</f>
        <v/>
      </c>
      <c r="K117" s="105"/>
      <c r="L117" s="85" t="str">
        <f t="shared" si="7"/>
        <v/>
      </c>
      <c r="M117" s="606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TIPO_INVALIDO",IF(AND(ISNUMBER(SEARCH("NOVO",D117)),OR(INDEX(posicao_contratual!$C$2:$C$200,MATCH(A117,posicao_contratual!$A$2:$A$200,0))&lt;&gt;0,F117="",COUNTIFS($A$2:$A$200,A117,$B$2:$B$200,"&lt;"&amp;B117,$L$2:$L$200,"&gt;0")&gt;0)),"ALERTA: NOVO ITEM INVALIDO - use Acrescimo se o item ja existia; novo item exige QTD_BASE_ORIGINAL 0, VU_ORIGINAL e ser o 1o acrescimo do item.",IF(AND(ISNUMBER(SEARCH("NOVO",D117)),OR(N117="",ISERROR(MATCH(N117,{"C0","C1","C2","C3","C4"},0)))),"ALERTA: BASE_VU_OBRIGATORIA",IF(AND(NOT(ISNUMBER(SEARCH("NOVO",D117))),N117&lt;&gt;""),"ALERTA: BASE_VU_NAO_APLICAVEL",IF(AND(UPPER(H117)="SIM",NOT(ISNUMBER(I117))),"ALERTA: BASE_VU_INVALIDA_OU_POSTERIOR_AO_FATOR_ALVO","OK"))))))))))</f>
        <v/>
      </c>
      <c r="N117" s="608"/>
      <c r="O117" s="610" t="str">
        <f>IFERROR(IF((COUNTIFS($A$2:$A$200,$A117,$D$2:$D$200,"*novo*",$N$2:$N$200,"C0")+COUNTIFS($A$2:$A$200,$A117,$D$2:$D$200,"*novo*",$N$2:$N$200,"C1")+COUNTIFS($A$2:$A$200,$A117,$D$2:$D$200,"*novo*",$N$2:$N$200,"C2")+COUNTIFS($A$2:$A$200,$A117,$D$2:$D$200,"*novo*",$N$2:$N$200,"C3")+COUNTIFS($A$2:$A$200,$A117,$D$2:$D$200,"*novo*",$N$2:$N$200,"C4"))=1,IF(COUNTIFS($A$2:$A$200,$A117,$D$2:$D$200,"*novo*",$N$2:$N$200,"C4")&gt;0,4,IF(COUNTIFS($A$2:$A$200,$A117,$D$2:$D$200,"*novo*",$N$2:$N$200,"C3")&gt;0,3,IF(COUNTIFS($A$2:$A$200,$A117,$D$2:$D$200,"*novo*",$N$2:$N$200,"C2")&gt;0,2,IF(COUNTIFS($A$2:$A$200,$A117,$D$2:$D$200,"*novo*",$N$2:$N$200,"C1")&gt;0,1,IF(COUNTIFS($A$2:$A$200,$A117,$D$2:$D$200,"*novo*",$N$2:$N$200,"C0")&gt;0,0,""))))),IF(AND((COUNTIFS($A$2:$A$200,$A117,$D$2:$D$200,"*novo*",$N$2:$N$200,"C0")+COUNTIFS($A$2:$A$200,$A117,$D$2:$D$200,"*novo*",$N$2:$N$200,"C1")+COUNTIFS($A$2:$A$200,$A117,$D$2:$D$200,"*novo*",$N$2:$N$200,"C2")+COUNTIFS($A$2:$A$200,$A117,$D$2:$D$200,"*novo*",$N$2:$N$200,"C3")+COUNTIFS($A$2:$A$200,$A117,$D$2:$D$200,"*novo*",$N$2:$N$200,"C4"))=0,INDEX(posicao_contratual!$Y$2:$Y$200,MATCH($A117,posicao_contratual!$A$2:$A$200,0))=0),0,"")),"")</f>
        <v/>
      </c>
    </row>
    <row r="118" spans="1:15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IF(OR($A118="",$C118=""),"",IF(OR(($O118)="",($O118)&gt;(MIN(MATCH($C118,{"C0","C1","C2","C3","C4"},0)-1,COUNT(parametros!$F$2:$F$6)-1)),NOT(ISNUMBER(INDEX(parametros!$F$2:$F$6,(MIN(MATCH($C118,{"C0","C1","C2","C3","C4"},0)-1,COUNT(parametros!$F$2:$F$6)-1))+1))),NOT(ISNUMBER(INDEX(parametros!$F$2:$F$6,($O118)+1)))),"",INDEX(parametros!$F$2:$F$6,(MIN(MATCH($C118,{"C0","C1","C2","C3","C4"},0)-1,COUNT(parametros!$F$2:$F$6)-1))+1)/INDEX(parametros!$F$2:$F$6,($O118)+1))),"")</f>
        <v/>
      </c>
      <c r="J118" s="107" t="str">
        <f>IF(OR(L118="",F118=""),"",IF(UPPER(H118)="SIM",IF(ISNUMBER(I118),ROUND(L118*ROUND(F118*I118,2),2),""),ROUND(L118*F118,2)))</f>
        <v/>
      </c>
      <c r="K118" s="105"/>
      <c r="L118" s="85" t="str">
        <f t="shared" si="7"/>
        <v/>
      </c>
      <c r="M118" s="606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TIPO_INVALIDO",IF(AND(ISNUMBER(SEARCH("NOVO",D118)),OR(INDEX(posicao_contratual!$C$2:$C$200,MATCH(A118,posicao_contratual!$A$2:$A$200,0))&lt;&gt;0,F118="",COUNTIFS($A$2:$A$200,A118,$B$2:$B$200,"&lt;"&amp;B118,$L$2:$L$200,"&gt;0")&gt;0)),"ALERTA: NOVO ITEM INVALIDO - use Acrescimo se o item ja existia; novo item exige QTD_BASE_ORIGINAL 0, VU_ORIGINAL e ser o 1o acrescimo do item.",IF(AND(ISNUMBER(SEARCH("NOVO",D118)),OR(N118="",ISERROR(MATCH(N118,{"C0","C1","C2","C3","C4"},0)))),"ALERTA: BASE_VU_OBRIGATORIA",IF(AND(NOT(ISNUMBER(SEARCH("NOVO",D118))),N118&lt;&gt;""),"ALERTA: BASE_VU_NAO_APLICAVEL",IF(AND(UPPER(H118)="SIM",NOT(ISNUMBER(I118))),"ALERTA: BASE_VU_INVALIDA_OU_POSTERIOR_AO_FATOR_ALVO","OK"))))))))))</f>
        <v/>
      </c>
      <c r="N118" s="608"/>
      <c r="O118" s="610" t="str">
        <f>IFERROR(IF((COUNTIFS($A$2:$A$200,$A118,$D$2:$D$200,"*novo*",$N$2:$N$200,"C0")+COUNTIFS($A$2:$A$200,$A118,$D$2:$D$200,"*novo*",$N$2:$N$200,"C1")+COUNTIFS($A$2:$A$200,$A118,$D$2:$D$200,"*novo*",$N$2:$N$200,"C2")+COUNTIFS($A$2:$A$200,$A118,$D$2:$D$200,"*novo*",$N$2:$N$200,"C3")+COUNTIFS($A$2:$A$200,$A118,$D$2:$D$200,"*novo*",$N$2:$N$200,"C4"))=1,IF(COUNTIFS($A$2:$A$200,$A118,$D$2:$D$200,"*novo*",$N$2:$N$200,"C4")&gt;0,4,IF(COUNTIFS($A$2:$A$200,$A118,$D$2:$D$200,"*novo*",$N$2:$N$200,"C3")&gt;0,3,IF(COUNTIFS($A$2:$A$200,$A118,$D$2:$D$200,"*novo*",$N$2:$N$200,"C2")&gt;0,2,IF(COUNTIFS($A$2:$A$200,$A118,$D$2:$D$200,"*novo*",$N$2:$N$200,"C1")&gt;0,1,IF(COUNTIFS($A$2:$A$200,$A118,$D$2:$D$200,"*novo*",$N$2:$N$200,"C0")&gt;0,0,""))))),IF(AND((COUNTIFS($A$2:$A$200,$A118,$D$2:$D$200,"*novo*",$N$2:$N$200,"C0")+COUNTIFS($A$2:$A$200,$A118,$D$2:$D$200,"*novo*",$N$2:$N$200,"C1")+COUNTIFS($A$2:$A$200,$A118,$D$2:$D$200,"*novo*",$N$2:$N$200,"C2")+COUNTIFS($A$2:$A$200,$A118,$D$2:$D$200,"*novo*",$N$2:$N$200,"C3")+COUNTIFS($A$2:$A$200,$A118,$D$2:$D$200,"*novo*",$N$2:$N$200,"C4"))=0,INDEX(posicao_contratual!$Y$2:$Y$200,MATCH($A118,posicao_contratual!$A$2:$A$200,0))=0),0,"")),"")</f>
        <v/>
      </c>
    </row>
    <row r="119" spans="1:15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IF(OR($A119="",$C119=""),"",IF(OR(($O119)="",($O119)&gt;(MIN(MATCH($C119,{"C0","C1","C2","C3","C4"},0)-1,COUNT(parametros!$F$2:$F$6)-1)),NOT(ISNUMBER(INDEX(parametros!$F$2:$F$6,(MIN(MATCH($C119,{"C0","C1","C2","C3","C4"},0)-1,COUNT(parametros!$F$2:$F$6)-1))+1))),NOT(ISNUMBER(INDEX(parametros!$F$2:$F$6,($O119)+1)))),"",INDEX(parametros!$F$2:$F$6,(MIN(MATCH($C119,{"C0","C1","C2","C3","C4"},0)-1,COUNT(parametros!$F$2:$F$6)-1))+1)/INDEX(parametros!$F$2:$F$6,($O119)+1))),"")</f>
        <v/>
      </c>
      <c r="J119" s="107" t="str">
        <f>IF(OR(L119="",F119=""),"",IF(UPPER(H119)="SIM",IF(ISNUMBER(I119),ROUND(L119*ROUND(F119*I119,2),2),""),ROUND(L119*F119,2)))</f>
        <v/>
      </c>
      <c r="K119" s="105"/>
      <c r="L119" s="85" t="str">
        <f t="shared" si="7"/>
        <v/>
      </c>
      <c r="M119" s="606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TIPO_INVALIDO",IF(AND(ISNUMBER(SEARCH("NOVO",D119)),OR(INDEX(posicao_contratual!$C$2:$C$200,MATCH(A119,posicao_contratual!$A$2:$A$200,0))&lt;&gt;0,F119="",COUNTIFS($A$2:$A$200,A119,$B$2:$B$200,"&lt;"&amp;B119,$L$2:$L$200,"&gt;0")&gt;0)),"ALERTA: NOVO ITEM INVALIDO - use Acrescimo se o item ja existia; novo item exige QTD_BASE_ORIGINAL 0, VU_ORIGINAL e ser o 1o acrescimo do item.",IF(AND(ISNUMBER(SEARCH("NOVO",D119)),OR(N119="",ISERROR(MATCH(N119,{"C0","C1","C2","C3","C4"},0)))),"ALERTA: BASE_VU_OBRIGATORIA",IF(AND(NOT(ISNUMBER(SEARCH("NOVO",D119))),N119&lt;&gt;""),"ALERTA: BASE_VU_NAO_APLICAVEL",IF(AND(UPPER(H119)="SIM",NOT(ISNUMBER(I119))),"ALERTA: BASE_VU_INVALIDA_OU_POSTERIOR_AO_FATOR_ALVO","OK"))))))))))</f>
        <v/>
      </c>
      <c r="N119" s="608"/>
      <c r="O119" s="610" t="str">
        <f>IFERROR(IF((COUNTIFS($A$2:$A$200,$A119,$D$2:$D$200,"*novo*",$N$2:$N$200,"C0")+COUNTIFS($A$2:$A$200,$A119,$D$2:$D$200,"*novo*",$N$2:$N$200,"C1")+COUNTIFS($A$2:$A$200,$A119,$D$2:$D$200,"*novo*",$N$2:$N$200,"C2")+COUNTIFS($A$2:$A$200,$A119,$D$2:$D$200,"*novo*",$N$2:$N$200,"C3")+COUNTIFS($A$2:$A$200,$A119,$D$2:$D$200,"*novo*",$N$2:$N$200,"C4"))=1,IF(COUNTIFS($A$2:$A$200,$A119,$D$2:$D$200,"*novo*",$N$2:$N$200,"C4")&gt;0,4,IF(COUNTIFS($A$2:$A$200,$A119,$D$2:$D$200,"*novo*",$N$2:$N$200,"C3")&gt;0,3,IF(COUNTIFS($A$2:$A$200,$A119,$D$2:$D$200,"*novo*",$N$2:$N$200,"C2")&gt;0,2,IF(COUNTIFS($A$2:$A$200,$A119,$D$2:$D$200,"*novo*",$N$2:$N$200,"C1")&gt;0,1,IF(COUNTIFS($A$2:$A$200,$A119,$D$2:$D$200,"*novo*",$N$2:$N$200,"C0")&gt;0,0,""))))),IF(AND((COUNTIFS($A$2:$A$200,$A119,$D$2:$D$200,"*novo*",$N$2:$N$200,"C0")+COUNTIFS($A$2:$A$200,$A119,$D$2:$D$200,"*novo*",$N$2:$N$200,"C1")+COUNTIFS($A$2:$A$200,$A119,$D$2:$D$200,"*novo*",$N$2:$N$200,"C2")+COUNTIFS($A$2:$A$200,$A119,$D$2:$D$200,"*novo*",$N$2:$N$200,"C3")+COUNTIFS($A$2:$A$200,$A119,$D$2:$D$200,"*novo*",$N$2:$N$200,"C4"))=0,INDEX(posicao_contratual!$Y$2:$Y$200,MATCH($A119,posicao_contratual!$A$2:$A$200,0))=0),0,"")),"")</f>
        <v/>
      </c>
    </row>
    <row r="120" spans="1:15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IF(OR($A120="",$C120=""),"",IF(OR(($O120)="",($O120)&gt;(MIN(MATCH($C120,{"C0","C1","C2","C3","C4"},0)-1,COUNT(parametros!$F$2:$F$6)-1)),NOT(ISNUMBER(INDEX(parametros!$F$2:$F$6,(MIN(MATCH($C120,{"C0","C1","C2","C3","C4"},0)-1,COUNT(parametros!$F$2:$F$6)-1))+1))),NOT(ISNUMBER(INDEX(parametros!$F$2:$F$6,($O120)+1)))),"",INDEX(parametros!$F$2:$F$6,(MIN(MATCH($C120,{"C0","C1","C2","C3","C4"},0)-1,COUNT(parametros!$F$2:$F$6)-1))+1)/INDEX(parametros!$F$2:$F$6,($O120)+1))),"")</f>
        <v/>
      </c>
      <c r="J120" s="107" t="str">
        <f>IF(OR(L120="",F120=""),"",IF(UPPER(H120)="SIM",IF(ISNUMBER(I120),ROUND(L120*ROUND(F120*I120,2),2),""),ROUND(L120*F120,2)))</f>
        <v/>
      </c>
      <c r="K120" s="105"/>
      <c r="L120" s="85" t="str">
        <f t="shared" si="7"/>
        <v/>
      </c>
      <c r="M120" s="606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TIPO_INVALIDO",IF(AND(ISNUMBER(SEARCH("NOVO",D120)),OR(INDEX(posicao_contratual!$C$2:$C$200,MATCH(A120,posicao_contratual!$A$2:$A$200,0))&lt;&gt;0,F120="",COUNTIFS($A$2:$A$200,A120,$B$2:$B$200,"&lt;"&amp;B120,$L$2:$L$200,"&gt;0")&gt;0)),"ALERTA: NOVO ITEM INVALIDO - use Acrescimo se o item ja existia; novo item exige QTD_BASE_ORIGINAL 0, VU_ORIGINAL e ser o 1o acrescimo do item.",IF(AND(ISNUMBER(SEARCH("NOVO",D120)),OR(N120="",ISERROR(MATCH(N120,{"C0","C1","C2","C3","C4"},0)))),"ALERTA: BASE_VU_OBRIGATORIA",IF(AND(NOT(ISNUMBER(SEARCH("NOVO",D120))),N120&lt;&gt;""),"ALERTA: BASE_VU_NAO_APLICAVEL",IF(AND(UPPER(H120)="SIM",NOT(ISNUMBER(I120))),"ALERTA: BASE_VU_INVALIDA_OU_POSTERIOR_AO_FATOR_ALVO","OK"))))))))))</f>
        <v/>
      </c>
      <c r="N120" s="608"/>
      <c r="O120" s="610" t="str">
        <f>IFERROR(IF((COUNTIFS($A$2:$A$200,$A120,$D$2:$D$200,"*novo*",$N$2:$N$200,"C0")+COUNTIFS($A$2:$A$200,$A120,$D$2:$D$200,"*novo*",$N$2:$N$200,"C1")+COUNTIFS($A$2:$A$200,$A120,$D$2:$D$200,"*novo*",$N$2:$N$200,"C2")+COUNTIFS($A$2:$A$200,$A120,$D$2:$D$200,"*novo*",$N$2:$N$200,"C3")+COUNTIFS($A$2:$A$200,$A120,$D$2:$D$200,"*novo*",$N$2:$N$200,"C4"))=1,IF(COUNTIFS($A$2:$A$200,$A120,$D$2:$D$200,"*novo*",$N$2:$N$200,"C4")&gt;0,4,IF(COUNTIFS($A$2:$A$200,$A120,$D$2:$D$200,"*novo*",$N$2:$N$200,"C3")&gt;0,3,IF(COUNTIFS($A$2:$A$200,$A120,$D$2:$D$200,"*novo*",$N$2:$N$200,"C2")&gt;0,2,IF(COUNTIFS($A$2:$A$200,$A120,$D$2:$D$200,"*novo*",$N$2:$N$200,"C1")&gt;0,1,IF(COUNTIFS($A$2:$A$200,$A120,$D$2:$D$200,"*novo*",$N$2:$N$200,"C0")&gt;0,0,""))))),IF(AND((COUNTIFS($A$2:$A$200,$A120,$D$2:$D$200,"*novo*",$N$2:$N$200,"C0")+COUNTIFS($A$2:$A$200,$A120,$D$2:$D$200,"*novo*",$N$2:$N$200,"C1")+COUNTIFS($A$2:$A$200,$A120,$D$2:$D$200,"*novo*",$N$2:$N$200,"C2")+COUNTIFS($A$2:$A$200,$A120,$D$2:$D$200,"*novo*",$N$2:$N$200,"C3")+COUNTIFS($A$2:$A$200,$A120,$D$2:$D$200,"*novo*",$N$2:$N$200,"C4"))=0,INDEX(posicao_contratual!$Y$2:$Y$200,MATCH($A120,posicao_contratual!$A$2:$A$200,0))=0),0,"")),"")</f>
        <v/>
      </c>
    </row>
    <row r="121" spans="1:15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IF(OR($A121="",$C121=""),"",IF(OR(($O121)="",($O121)&gt;(MIN(MATCH($C121,{"C0","C1","C2","C3","C4"},0)-1,COUNT(parametros!$F$2:$F$6)-1)),NOT(ISNUMBER(INDEX(parametros!$F$2:$F$6,(MIN(MATCH($C121,{"C0","C1","C2","C3","C4"},0)-1,COUNT(parametros!$F$2:$F$6)-1))+1))),NOT(ISNUMBER(INDEX(parametros!$F$2:$F$6,($O121)+1)))),"",INDEX(parametros!$F$2:$F$6,(MIN(MATCH($C121,{"C0","C1","C2","C3","C4"},0)-1,COUNT(parametros!$F$2:$F$6)-1))+1)/INDEX(parametros!$F$2:$F$6,($O121)+1))),"")</f>
        <v/>
      </c>
      <c r="J121" s="107" t="str">
        <f>IF(OR(L121="",F121=""),"",IF(UPPER(H121)="SIM",IF(ISNUMBER(I121),ROUND(L121*ROUND(F121*I121,2),2),""),ROUND(L121*F121,2)))</f>
        <v/>
      </c>
      <c r="K121" s="105"/>
      <c r="L121" s="85" t="str">
        <f t="shared" si="7"/>
        <v/>
      </c>
      <c r="M121" s="606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TIPO_INVALIDO",IF(AND(ISNUMBER(SEARCH("NOVO",D121)),OR(INDEX(posicao_contratual!$C$2:$C$200,MATCH(A121,posicao_contratual!$A$2:$A$200,0))&lt;&gt;0,F121="",COUNTIFS($A$2:$A$200,A121,$B$2:$B$200,"&lt;"&amp;B121,$L$2:$L$200,"&gt;0")&gt;0)),"ALERTA: NOVO ITEM INVALIDO - use Acrescimo se o item ja existia; novo item exige QTD_BASE_ORIGINAL 0, VU_ORIGINAL e ser o 1o acrescimo do item.",IF(AND(ISNUMBER(SEARCH("NOVO",D121)),OR(N121="",ISERROR(MATCH(N121,{"C0","C1","C2","C3","C4"},0)))),"ALERTA: BASE_VU_OBRIGATORIA",IF(AND(NOT(ISNUMBER(SEARCH("NOVO",D121))),N121&lt;&gt;""),"ALERTA: BASE_VU_NAO_APLICAVEL",IF(AND(UPPER(H121)="SIM",NOT(ISNUMBER(I121))),"ALERTA: BASE_VU_INVALIDA_OU_POSTERIOR_AO_FATOR_ALVO","OK"))))))))))</f>
        <v/>
      </c>
      <c r="N121" s="608"/>
      <c r="O121" s="610" t="str">
        <f>IFERROR(IF((COUNTIFS($A$2:$A$200,$A121,$D$2:$D$200,"*novo*",$N$2:$N$200,"C0")+COUNTIFS($A$2:$A$200,$A121,$D$2:$D$200,"*novo*",$N$2:$N$200,"C1")+COUNTIFS($A$2:$A$200,$A121,$D$2:$D$200,"*novo*",$N$2:$N$200,"C2")+COUNTIFS($A$2:$A$200,$A121,$D$2:$D$200,"*novo*",$N$2:$N$200,"C3")+COUNTIFS($A$2:$A$200,$A121,$D$2:$D$200,"*novo*",$N$2:$N$200,"C4"))=1,IF(COUNTIFS($A$2:$A$200,$A121,$D$2:$D$200,"*novo*",$N$2:$N$200,"C4")&gt;0,4,IF(COUNTIFS($A$2:$A$200,$A121,$D$2:$D$200,"*novo*",$N$2:$N$200,"C3")&gt;0,3,IF(COUNTIFS($A$2:$A$200,$A121,$D$2:$D$200,"*novo*",$N$2:$N$200,"C2")&gt;0,2,IF(COUNTIFS($A$2:$A$200,$A121,$D$2:$D$200,"*novo*",$N$2:$N$200,"C1")&gt;0,1,IF(COUNTIFS($A$2:$A$200,$A121,$D$2:$D$200,"*novo*",$N$2:$N$200,"C0")&gt;0,0,""))))),IF(AND((COUNTIFS($A$2:$A$200,$A121,$D$2:$D$200,"*novo*",$N$2:$N$200,"C0")+COUNTIFS($A$2:$A$200,$A121,$D$2:$D$200,"*novo*",$N$2:$N$200,"C1")+COUNTIFS($A$2:$A$200,$A121,$D$2:$D$200,"*novo*",$N$2:$N$200,"C2")+COUNTIFS($A$2:$A$200,$A121,$D$2:$D$200,"*novo*",$N$2:$N$200,"C3")+COUNTIFS($A$2:$A$200,$A121,$D$2:$D$200,"*novo*",$N$2:$N$200,"C4"))=0,INDEX(posicao_contratual!$Y$2:$Y$200,MATCH($A121,posicao_contratual!$A$2:$A$200,0))=0),0,"")),"")</f>
        <v/>
      </c>
    </row>
    <row r="122" spans="1:15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IF(OR($A122="",$C122=""),"",IF(OR(($O122)="",($O122)&gt;(MIN(MATCH($C122,{"C0","C1","C2","C3","C4"},0)-1,COUNT(parametros!$F$2:$F$6)-1)),NOT(ISNUMBER(INDEX(parametros!$F$2:$F$6,(MIN(MATCH($C122,{"C0","C1","C2","C3","C4"},0)-1,COUNT(parametros!$F$2:$F$6)-1))+1))),NOT(ISNUMBER(INDEX(parametros!$F$2:$F$6,($O122)+1)))),"",INDEX(parametros!$F$2:$F$6,(MIN(MATCH($C122,{"C0","C1","C2","C3","C4"},0)-1,COUNT(parametros!$F$2:$F$6)-1))+1)/INDEX(parametros!$F$2:$F$6,($O122)+1))),"")</f>
        <v/>
      </c>
      <c r="J122" s="107" t="str">
        <f>IF(OR(L122="",F122=""),"",IF(UPPER(H122)="SIM",IF(ISNUMBER(I122),ROUND(L122*ROUND(F122*I122,2),2),""),ROUND(L122*F122,2)))</f>
        <v/>
      </c>
      <c r="K122" s="105"/>
      <c r="L122" s="85" t="str">
        <f t="shared" si="7"/>
        <v/>
      </c>
      <c r="M122" s="606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TIPO_INVALIDO",IF(AND(ISNUMBER(SEARCH("NOVO",D122)),OR(INDEX(posicao_contratual!$C$2:$C$200,MATCH(A122,posicao_contratual!$A$2:$A$200,0))&lt;&gt;0,F122="",COUNTIFS($A$2:$A$200,A122,$B$2:$B$200,"&lt;"&amp;B122,$L$2:$L$200,"&gt;0")&gt;0)),"ALERTA: NOVO ITEM INVALIDO - use Acrescimo se o item ja existia; novo item exige QTD_BASE_ORIGINAL 0, VU_ORIGINAL e ser o 1o acrescimo do item.",IF(AND(ISNUMBER(SEARCH("NOVO",D122)),OR(N122="",ISERROR(MATCH(N122,{"C0","C1","C2","C3","C4"},0)))),"ALERTA: BASE_VU_OBRIGATORIA",IF(AND(NOT(ISNUMBER(SEARCH("NOVO",D122))),N122&lt;&gt;""),"ALERTA: BASE_VU_NAO_APLICAVEL",IF(AND(UPPER(H122)="SIM",NOT(ISNUMBER(I122))),"ALERTA: BASE_VU_INVALIDA_OU_POSTERIOR_AO_FATOR_ALVO","OK"))))))))))</f>
        <v/>
      </c>
      <c r="N122" s="608"/>
      <c r="O122" s="610" t="str">
        <f>IFERROR(IF((COUNTIFS($A$2:$A$200,$A122,$D$2:$D$200,"*novo*",$N$2:$N$200,"C0")+COUNTIFS($A$2:$A$200,$A122,$D$2:$D$200,"*novo*",$N$2:$N$200,"C1")+COUNTIFS($A$2:$A$200,$A122,$D$2:$D$200,"*novo*",$N$2:$N$200,"C2")+COUNTIFS($A$2:$A$200,$A122,$D$2:$D$200,"*novo*",$N$2:$N$200,"C3")+COUNTIFS($A$2:$A$200,$A122,$D$2:$D$200,"*novo*",$N$2:$N$200,"C4"))=1,IF(COUNTIFS($A$2:$A$200,$A122,$D$2:$D$200,"*novo*",$N$2:$N$200,"C4")&gt;0,4,IF(COUNTIFS($A$2:$A$200,$A122,$D$2:$D$200,"*novo*",$N$2:$N$200,"C3")&gt;0,3,IF(COUNTIFS($A$2:$A$200,$A122,$D$2:$D$200,"*novo*",$N$2:$N$200,"C2")&gt;0,2,IF(COUNTIFS($A$2:$A$200,$A122,$D$2:$D$200,"*novo*",$N$2:$N$200,"C1")&gt;0,1,IF(COUNTIFS($A$2:$A$200,$A122,$D$2:$D$200,"*novo*",$N$2:$N$200,"C0")&gt;0,0,""))))),IF(AND((COUNTIFS($A$2:$A$200,$A122,$D$2:$D$200,"*novo*",$N$2:$N$200,"C0")+COUNTIFS($A$2:$A$200,$A122,$D$2:$D$200,"*novo*",$N$2:$N$200,"C1")+COUNTIFS($A$2:$A$200,$A122,$D$2:$D$200,"*novo*",$N$2:$N$200,"C2")+COUNTIFS($A$2:$A$200,$A122,$D$2:$D$200,"*novo*",$N$2:$N$200,"C3")+COUNTIFS($A$2:$A$200,$A122,$D$2:$D$200,"*novo*",$N$2:$N$200,"C4"))=0,INDEX(posicao_contratual!$Y$2:$Y$200,MATCH($A122,posicao_contratual!$A$2:$A$200,0))=0),0,"")),"")</f>
        <v/>
      </c>
    </row>
    <row r="123" spans="1:15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IF(OR($A123="",$C123=""),"",IF(OR(($O123)="",($O123)&gt;(MIN(MATCH($C123,{"C0","C1","C2","C3","C4"},0)-1,COUNT(parametros!$F$2:$F$6)-1)),NOT(ISNUMBER(INDEX(parametros!$F$2:$F$6,(MIN(MATCH($C123,{"C0","C1","C2","C3","C4"},0)-1,COUNT(parametros!$F$2:$F$6)-1))+1))),NOT(ISNUMBER(INDEX(parametros!$F$2:$F$6,($O123)+1)))),"",INDEX(parametros!$F$2:$F$6,(MIN(MATCH($C123,{"C0","C1","C2","C3","C4"},0)-1,COUNT(parametros!$F$2:$F$6)-1))+1)/INDEX(parametros!$F$2:$F$6,($O123)+1))),"")</f>
        <v/>
      </c>
      <c r="J123" s="107" t="str">
        <f>IF(OR(L123="",F123=""),"",IF(UPPER(H123)="SIM",IF(ISNUMBER(I123),ROUND(L123*ROUND(F123*I123,2),2),""),ROUND(L123*F123,2)))</f>
        <v/>
      </c>
      <c r="K123" s="105"/>
      <c r="L123" s="85" t="str">
        <f t="shared" si="7"/>
        <v/>
      </c>
      <c r="M123" s="606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TIPO_INVALIDO",IF(AND(ISNUMBER(SEARCH("NOVO",D123)),OR(INDEX(posicao_contratual!$C$2:$C$200,MATCH(A123,posicao_contratual!$A$2:$A$200,0))&lt;&gt;0,F123="",COUNTIFS($A$2:$A$200,A123,$B$2:$B$200,"&lt;"&amp;B123,$L$2:$L$200,"&gt;0")&gt;0)),"ALERTA: NOVO ITEM INVALIDO - use Acrescimo se o item ja existia; novo item exige QTD_BASE_ORIGINAL 0, VU_ORIGINAL e ser o 1o acrescimo do item.",IF(AND(ISNUMBER(SEARCH("NOVO",D123)),OR(N123="",ISERROR(MATCH(N123,{"C0","C1","C2","C3","C4"},0)))),"ALERTA: BASE_VU_OBRIGATORIA",IF(AND(NOT(ISNUMBER(SEARCH("NOVO",D123))),N123&lt;&gt;""),"ALERTA: BASE_VU_NAO_APLICAVEL",IF(AND(UPPER(H123)="SIM",NOT(ISNUMBER(I123))),"ALERTA: BASE_VU_INVALIDA_OU_POSTERIOR_AO_FATOR_ALVO","OK"))))))))))</f>
        <v/>
      </c>
      <c r="N123" s="608"/>
      <c r="O123" s="610" t="str">
        <f>IFERROR(IF((COUNTIFS($A$2:$A$200,$A123,$D$2:$D$200,"*novo*",$N$2:$N$200,"C0")+COUNTIFS($A$2:$A$200,$A123,$D$2:$D$200,"*novo*",$N$2:$N$200,"C1")+COUNTIFS($A$2:$A$200,$A123,$D$2:$D$200,"*novo*",$N$2:$N$200,"C2")+COUNTIFS($A$2:$A$200,$A123,$D$2:$D$200,"*novo*",$N$2:$N$200,"C3")+COUNTIFS($A$2:$A$200,$A123,$D$2:$D$200,"*novo*",$N$2:$N$200,"C4"))=1,IF(COUNTIFS($A$2:$A$200,$A123,$D$2:$D$200,"*novo*",$N$2:$N$200,"C4")&gt;0,4,IF(COUNTIFS($A$2:$A$200,$A123,$D$2:$D$200,"*novo*",$N$2:$N$200,"C3")&gt;0,3,IF(COUNTIFS($A$2:$A$200,$A123,$D$2:$D$200,"*novo*",$N$2:$N$200,"C2")&gt;0,2,IF(COUNTIFS($A$2:$A$200,$A123,$D$2:$D$200,"*novo*",$N$2:$N$200,"C1")&gt;0,1,IF(COUNTIFS($A$2:$A$200,$A123,$D$2:$D$200,"*novo*",$N$2:$N$200,"C0")&gt;0,0,""))))),IF(AND((COUNTIFS($A$2:$A$200,$A123,$D$2:$D$200,"*novo*",$N$2:$N$200,"C0")+COUNTIFS($A$2:$A$200,$A123,$D$2:$D$200,"*novo*",$N$2:$N$200,"C1")+COUNTIFS($A$2:$A$200,$A123,$D$2:$D$200,"*novo*",$N$2:$N$200,"C2")+COUNTIFS($A$2:$A$200,$A123,$D$2:$D$200,"*novo*",$N$2:$N$200,"C3")+COUNTIFS($A$2:$A$200,$A123,$D$2:$D$200,"*novo*",$N$2:$N$200,"C4"))=0,INDEX(posicao_contratual!$Y$2:$Y$200,MATCH($A123,posicao_contratual!$A$2:$A$200,0))=0),0,"")),"")</f>
        <v/>
      </c>
    </row>
    <row r="124" spans="1:15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IF(OR($A124="",$C124=""),"",IF(OR(($O124)="",($O124)&gt;(MIN(MATCH($C124,{"C0","C1","C2","C3","C4"},0)-1,COUNT(parametros!$F$2:$F$6)-1)),NOT(ISNUMBER(INDEX(parametros!$F$2:$F$6,(MIN(MATCH($C124,{"C0","C1","C2","C3","C4"},0)-1,COUNT(parametros!$F$2:$F$6)-1))+1))),NOT(ISNUMBER(INDEX(parametros!$F$2:$F$6,($O124)+1)))),"",INDEX(parametros!$F$2:$F$6,(MIN(MATCH($C124,{"C0","C1","C2","C3","C4"},0)-1,COUNT(parametros!$F$2:$F$6)-1))+1)/INDEX(parametros!$F$2:$F$6,($O124)+1))),"")</f>
        <v/>
      </c>
      <c r="J124" s="107" t="str">
        <f>IF(OR(L124="",F124=""),"",IF(UPPER(H124)="SIM",IF(ISNUMBER(I124),ROUND(L124*ROUND(F124*I124,2),2),""),ROUND(L124*F124,2)))</f>
        <v/>
      </c>
      <c r="K124" s="105"/>
      <c r="L124" s="85" t="str">
        <f t="shared" si="7"/>
        <v/>
      </c>
      <c r="M124" s="606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TIPO_INVALIDO",IF(AND(ISNUMBER(SEARCH("NOVO",D124)),OR(INDEX(posicao_contratual!$C$2:$C$200,MATCH(A124,posicao_contratual!$A$2:$A$200,0))&lt;&gt;0,F124="",COUNTIFS($A$2:$A$200,A124,$B$2:$B$200,"&lt;"&amp;B124,$L$2:$L$200,"&gt;0")&gt;0)),"ALERTA: NOVO ITEM INVALIDO - use Acrescimo se o item ja existia; novo item exige QTD_BASE_ORIGINAL 0, VU_ORIGINAL e ser o 1o acrescimo do item.",IF(AND(ISNUMBER(SEARCH("NOVO",D124)),OR(N124="",ISERROR(MATCH(N124,{"C0","C1","C2","C3","C4"},0)))),"ALERTA: BASE_VU_OBRIGATORIA",IF(AND(NOT(ISNUMBER(SEARCH("NOVO",D124))),N124&lt;&gt;""),"ALERTA: BASE_VU_NAO_APLICAVEL",IF(AND(UPPER(H124)="SIM",NOT(ISNUMBER(I124))),"ALERTA: BASE_VU_INVALIDA_OU_POSTERIOR_AO_FATOR_ALVO","OK"))))))))))</f>
        <v/>
      </c>
      <c r="N124" s="608"/>
      <c r="O124" s="610" t="str">
        <f>IFERROR(IF((COUNTIFS($A$2:$A$200,$A124,$D$2:$D$200,"*novo*",$N$2:$N$200,"C0")+COUNTIFS($A$2:$A$200,$A124,$D$2:$D$200,"*novo*",$N$2:$N$200,"C1")+COUNTIFS($A$2:$A$200,$A124,$D$2:$D$200,"*novo*",$N$2:$N$200,"C2")+COUNTIFS($A$2:$A$200,$A124,$D$2:$D$200,"*novo*",$N$2:$N$200,"C3")+COUNTIFS($A$2:$A$200,$A124,$D$2:$D$200,"*novo*",$N$2:$N$200,"C4"))=1,IF(COUNTIFS($A$2:$A$200,$A124,$D$2:$D$200,"*novo*",$N$2:$N$200,"C4")&gt;0,4,IF(COUNTIFS($A$2:$A$200,$A124,$D$2:$D$200,"*novo*",$N$2:$N$200,"C3")&gt;0,3,IF(COUNTIFS($A$2:$A$200,$A124,$D$2:$D$200,"*novo*",$N$2:$N$200,"C2")&gt;0,2,IF(COUNTIFS($A$2:$A$200,$A124,$D$2:$D$200,"*novo*",$N$2:$N$200,"C1")&gt;0,1,IF(COUNTIFS($A$2:$A$200,$A124,$D$2:$D$200,"*novo*",$N$2:$N$200,"C0")&gt;0,0,""))))),IF(AND((COUNTIFS($A$2:$A$200,$A124,$D$2:$D$200,"*novo*",$N$2:$N$200,"C0")+COUNTIFS($A$2:$A$200,$A124,$D$2:$D$200,"*novo*",$N$2:$N$200,"C1")+COUNTIFS($A$2:$A$200,$A124,$D$2:$D$200,"*novo*",$N$2:$N$200,"C2")+COUNTIFS($A$2:$A$200,$A124,$D$2:$D$200,"*novo*",$N$2:$N$200,"C3")+COUNTIFS($A$2:$A$200,$A124,$D$2:$D$200,"*novo*",$N$2:$N$200,"C4"))=0,INDEX(posicao_contratual!$Y$2:$Y$200,MATCH($A124,posicao_contratual!$A$2:$A$200,0))=0),0,"")),"")</f>
        <v/>
      </c>
    </row>
    <row r="125" spans="1:15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IF(OR($A125="",$C125=""),"",IF(OR(($O125)="",($O125)&gt;(MIN(MATCH($C125,{"C0","C1","C2","C3","C4"},0)-1,COUNT(parametros!$F$2:$F$6)-1)),NOT(ISNUMBER(INDEX(parametros!$F$2:$F$6,(MIN(MATCH($C125,{"C0","C1","C2","C3","C4"},0)-1,COUNT(parametros!$F$2:$F$6)-1))+1))),NOT(ISNUMBER(INDEX(parametros!$F$2:$F$6,($O125)+1)))),"",INDEX(parametros!$F$2:$F$6,(MIN(MATCH($C125,{"C0","C1","C2","C3","C4"},0)-1,COUNT(parametros!$F$2:$F$6)-1))+1)/INDEX(parametros!$F$2:$F$6,($O125)+1))),"")</f>
        <v/>
      </c>
      <c r="J125" s="107" t="str">
        <f>IF(OR(L125="",F125=""),"",IF(UPPER(H125)="SIM",IF(ISNUMBER(I125),ROUND(L125*ROUND(F125*I125,2),2),""),ROUND(L125*F125,2)))</f>
        <v/>
      </c>
      <c r="K125" s="105"/>
      <c r="L125" s="85" t="str">
        <f t="shared" si="7"/>
        <v/>
      </c>
      <c r="M125" s="606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TIPO_INVALIDO",IF(AND(ISNUMBER(SEARCH("NOVO",D125)),OR(INDEX(posicao_contratual!$C$2:$C$200,MATCH(A125,posicao_contratual!$A$2:$A$200,0))&lt;&gt;0,F125="",COUNTIFS($A$2:$A$200,A125,$B$2:$B$200,"&lt;"&amp;B125,$L$2:$L$200,"&gt;0")&gt;0)),"ALERTA: NOVO ITEM INVALIDO - use Acrescimo se o item ja existia; novo item exige QTD_BASE_ORIGINAL 0, VU_ORIGINAL e ser o 1o acrescimo do item.",IF(AND(ISNUMBER(SEARCH("NOVO",D125)),OR(N125="",ISERROR(MATCH(N125,{"C0","C1","C2","C3","C4"},0)))),"ALERTA: BASE_VU_OBRIGATORIA",IF(AND(NOT(ISNUMBER(SEARCH("NOVO",D125))),N125&lt;&gt;""),"ALERTA: BASE_VU_NAO_APLICAVEL",IF(AND(UPPER(H125)="SIM",NOT(ISNUMBER(I125))),"ALERTA: BASE_VU_INVALIDA_OU_POSTERIOR_AO_FATOR_ALVO","OK"))))))))))</f>
        <v/>
      </c>
      <c r="N125" s="608"/>
      <c r="O125" s="610" t="str">
        <f>IFERROR(IF((COUNTIFS($A$2:$A$200,$A125,$D$2:$D$200,"*novo*",$N$2:$N$200,"C0")+COUNTIFS($A$2:$A$200,$A125,$D$2:$D$200,"*novo*",$N$2:$N$200,"C1")+COUNTIFS($A$2:$A$200,$A125,$D$2:$D$200,"*novo*",$N$2:$N$200,"C2")+COUNTIFS($A$2:$A$200,$A125,$D$2:$D$200,"*novo*",$N$2:$N$200,"C3")+COUNTIFS($A$2:$A$200,$A125,$D$2:$D$200,"*novo*",$N$2:$N$200,"C4"))=1,IF(COUNTIFS($A$2:$A$200,$A125,$D$2:$D$200,"*novo*",$N$2:$N$200,"C4")&gt;0,4,IF(COUNTIFS($A$2:$A$200,$A125,$D$2:$D$200,"*novo*",$N$2:$N$200,"C3")&gt;0,3,IF(COUNTIFS($A$2:$A$200,$A125,$D$2:$D$200,"*novo*",$N$2:$N$200,"C2")&gt;0,2,IF(COUNTIFS($A$2:$A$200,$A125,$D$2:$D$200,"*novo*",$N$2:$N$200,"C1")&gt;0,1,IF(COUNTIFS($A$2:$A$200,$A125,$D$2:$D$200,"*novo*",$N$2:$N$200,"C0")&gt;0,0,""))))),IF(AND((COUNTIFS($A$2:$A$200,$A125,$D$2:$D$200,"*novo*",$N$2:$N$200,"C0")+COUNTIFS($A$2:$A$200,$A125,$D$2:$D$200,"*novo*",$N$2:$N$200,"C1")+COUNTIFS($A$2:$A$200,$A125,$D$2:$D$200,"*novo*",$N$2:$N$200,"C2")+COUNTIFS($A$2:$A$200,$A125,$D$2:$D$200,"*novo*",$N$2:$N$200,"C3")+COUNTIFS($A$2:$A$200,$A125,$D$2:$D$200,"*novo*",$N$2:$N$200,"C4"))=0,INDEX(posicao_contratual!$Y$2:$Y$200,MATCH($A125,posicao_contratual!$A$2:$A$200,0))=0),0,"")),"")</f>
        <v/>
      </c>
    </row>
    <row r="126" spans="1:15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IF(OR($A126="",$C126=""),"",IF(OR(($O126)="",($O126)&gt;(MIN(MATCH($C126,{"C0","C1","C2","C3","C4"},0)-1,COUNT(parametros!$F$2:$F$6)-1)),NOT(ISNUMBER(INDEX(parametros!$F$2:$F$6,(MIN(MATCH($C126,{"C0","C1","C2","C3","C4"},0)-1,COUNT(parametros!$F$2:$F$6)-1))+1))),NOT(ISNUMBER(INDEX(parametros!$F$2:$F$6,($O126)+1)))),"",INDEX(parametros!$F$2:$F$6,(MIN(MATCH($C126,{"C0","C1","C2","C3","C4"},0)-1,COUNT(parametros!$F$2:$F$6)-1))+1)/INDEX(parametros!$F$2:$F$6,($O126)+1))),"")</f>
        <v/>
      </c>
      <c r="J126" s="107" t="str">
        <f>IF(OR(L126="",F126=""),"",IF(UPPER(H126)="SIM",IF(ISNUMBER(I126),ROUND(L126*ROUND(F126*I126,2),2),""),ROUND(L126*F126,2)))</f>
        <v/>
      </c>
      <c r="K126" s="105"/>
      <c r="L126" s="85" t="str">
        <f t="shared" si="7"/>
        <v/>
      </c>
      <c r="M126" s="606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TIPO_INVALIDO",IF(AND(ISNUMBER(SEARCH("NOVO",D126)),OR(INDEX(posicao_contratual!$C$2:$C$200,MATCH(A126,posicao_contratual!$A$2:$A$200,0))&lt;&gt;0,F126="",COUNTIFS($A$2:$A$200,A126,$B$2:$B$200,"&lt;"&amp;B126,$L$2:$L$200,"&gt;0")&gt;0)),"ALERTA: NOVO ITEM INVALIDO - use Acrescimo se o item ja existia; novo item exige QTD_BASE_ORIGINAL 0, VU_ORIGINAL e ser o 1o acrescimo do item.",IF(AND(ISNUMBER(SEARCH("NOVO",D126)),OR(N126="",ISERROR(MATCH(N126,{"C0","C1","C2","C3","C4"},0)))),"ALERTA: BASE_VU_OBRIGATORIA",IF(AND(NOT(ISNUMBER(SEARCH("NOVO",D126))),N126&lt;&gt;""),"ALERTA: BASE_VU_NAO_APLICAVEL",IF(AND(UPPER(H126)="SIM",NOT(ISNUMBER(I126))),"ALERTA: BASE_VU_INVALIDA_OU_POSTERIOR_AO_FATOR_ALVO","OK"))))))))))</f>
        <v/>
      </c>
      <c r="N126" s="608"/>
      <c r="O126" s="610" t="str">
        <f>IFERROR(IF((COUNTIFS($A$2:$A$200,$A126,$D$2:$D$200,"*novo*",$N$2:$N$200,"C0")+COUNTIFS($A$2:$A$200,$A126,$D$2:$D$200,"*novo*",$N$2:$N$200,"C1")+COUNTIFS($A$2:$A$200,$A126,$D$2:$D$200,"*novo*",$N$2:$N$200,"C2")+COUNTIFS($A$2:$A$200,$A126,$D$2:$D$200,"*novo*",$N$2:$N$200,"C3")+COUNTIFS($A$2:$A$200,$A126,$D$2:$D$200,"*novo*",$N$2:$N$200,"C4"))=1,IF(COUNTIFS($A$2:$A$200,$A126,$D$2:$D$200,"*novo*",$N$2:$N$200,"C4")&gt;0,4,IF(COUNTIFS($A$2:$A$200,$A126,$D$2:$D$200,"*novo*",$N$2:$N$200,"C3")&gt;0,3,IF(COUNTIFS($A$2:$A$200,$A126,$D$2:$D$200,"*novo*",$N$2:$N$200,"C2")&gt;0,2,IF(COUNTIFS($A$2:$A$200,$A126,$D$2:$D$200,"*novo*",$N$2:$N$200,"C1")&gt;0,1,IF(COUNTIFS($A$2:$A$200,$A126,$D$2:$D$200,"*novo*",$N$2:$N$200,"C0")&gt;0,0,""))))),IF(AND((COUNTIFS($A$2:$A$200,$A126,$D$2:$D$200,"*novo*",$N$2:$N$200,"C0")+COUNTIFS($A$2:$A$200,$A126,$D$2:$D$200,"*novo*",$N$2:$N$200,"C1")+COUNTIFS($A$2:$A$200,$A126,$D$2:$D$200,"*novo*",$N$2:$N$200,"C2")+COUNTIFS($A$2:$A$200,$A126,$D$2:$D$200,"*novo*",$N$2:$N$200,"C3")+COUNTIFS($A$2:$A$200,$A126,$D$2:$D$200,"*novo*",$N$2:$N$200,"C4"))=0,INDEX(posicao_contratual!$Y$2:$Y$200,MATCH($A126,posicao_contratual!$A$2:$A$200,0))=0),0,"")),"")</f>
        <v/>
      </c>
    </row>
    <row r="127" spans="1:15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IF(OR($A127="",$C127=""),"",IF(OR(($O127)="",($O127)&gt;(MIN(MATCH($C127,{"C0","C1","C2","C3","C4"},0)-1,COUNT(parametros!$F$2:$F$6)-1)),NOT(ISNUMBER(INDEX(parametros!$F$2:$F$6,(MIN(MATCH($C127,{"C0","C1","C2","C3","C4"},0)-1,COUNT(parametros!$F$2:$F$6)-1))+1))),NOT(ISNUMBER(INDEX(parametros!$F$2:$F$6,($O127)+1)))),"",INDEX(parametros!$F$2:$F$6,(MIN(MATCH($C127,{"C0","C1","C2","C3","C4"},0)-1,COUNT(parametros!$F$2:$F$6)-1))+1)/INDEX(parametros!$F$2:$F$6,($O127)+1))),"")</f>
        <v/>
      </c>
      <c r="J127" s="107" t="str">
        <f>IF(OR(L127="",F127=""),"",IF(UPPER(H127)="SIM",IF(ISNUMBER(I127),ROUND(L127*ROUND(F127*I127,2),2),""),ROUND(L127*F127,2)))</f>
        <v/>
      </c>
      <c r="K127" s="105"/>
      <c r="L127" s="85" t="str">
        <f t="shared" si="7"/>
        <v/>
      </c>
      <c r="M127" s="606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TIPO_INVALIDO",IF(AND(ISNUMBER(SEARCH("NOVO",D127)),OR(INDEX(posicao_contratual!$C$2:$C$200,MATCH(A127,posicao_contratual!$A$2:$A$200,0))&lt;&gt;0,F127="",COUNTIFS($A$2:$A$200,A127,$B$2:$B$200,"&lt;"&amp;B127,$L$2:$L$200,"&gt;0")&gt;0)),"ALERTA: NOVO ITEM INVALIDO - use Acrescimo se o item ja existia; novo item exige QTD_BASE_ORIGINAL 0, VU_ORIGINAL e ser o 1o acrescimo do item.",IF(AND(ISNUMBER(SEARCH("NOVO",D127)),OR(N127="",ISERROR(MATCH(N127,{"C0","C1","C2","C3","C4"},0)))),"ALERTA: BASE_VU_OBRIGATORIA",IF(AND(NOT(ISNUMBER(SEARCH("NOVO",D127))),N127&lt;&gt;""),"ALERTA: BASE_VU_NAO_APLICAVEL",IF(AND(UPPER(H127)="SIM",NOT(ISNUMBER(I127))),"ALERTA: BASE_VU_INVALIDA_OU_POSTERIOR_AO_FATOR_ALVO","OK"))))))))))</f>
        <v/>
      </c>
      <c r="N127" s="608"/>
      <c r="O127" s="610" t="str">
        <f>IFERROR(IF((COUNTIFS($A$2:$A$200,$A127,$D$2:$D$200,"*novo*",$N$2:$N$200,"C0")+COUNTIFS($A$2:$A$200,$A127,$D$2:$D$200,"*novo*",$N$2:$N$200,"C1")+COUNTIFS($A$2:$A$200,$A127,$D$2:$D$200,"*novo*",$N$2:$N$200,"C2")+COUNTIFS($A$2:$A$200,$A127,$D$2:$D$200,"*novo*",$N$2:$N$200,"C3")+COUNTIFS($A$2:$A$200,$A127,$D$2:$D$200,"*novo*",$N$2:$N$200,"C4"))=1,IF(COUNTIFS($A$2:$A$200,$A127,$D$2:$D$200,"*novo*",$N$2:$N$200,"C4")&gt;0,4,IF(COUNTIFS($A$2:$A$200,$A127,$D$2:$D$200,"*novo*",$N$2:$N$200,"C3")&gt;0,3,IF(COUNTIFS($A$2:$A$200,$A127,$D$2:$D$200,"*novo*",$N$2:$N$200,"C2")&gt;0,2,IF(COUNTIFS($A$2:$A$200,$A127,$D$2:$D$200,"*novo*",$N$2:$N$200,"C1")&gt;0,1,IF(COUNTIFS($A$2:$A$200,$A127,$D$2:$D$200,"*novo*",$N$2:$N$200,"C0")&gt;0,0,""))))),IF(AND((COUNTIFS($A$2:$A$200,$A127,$D$2:$D$200,"*novo*",$N$2:$N$200,"C0")+COUNTIFS($A$2:$A$200,$A127,$D$2:$D$200,"*novo*",$N$2:$N$200,"C1")+COUNTIFS($A$2:$A$200,$A127,$D$2:$D$200,"*novo*",$N$2:$N$200,"C2")+COUNTIFS($A$2:$A$200,$A127,$D$2:$D$200,"*novo*",$N$2:$N$200,"C3")+COUNTIFS($A$2:$A$200,$A127,$D$2:$D$200,"*novo*",$N$2:$N$200,"C4"))=0,INDEX(posicao_contratual!$Y$2:$Y$200,MATCH($A127,posicao_contratual!$A$2:$A$200,0))=0),0,"")),"")</f>
        <v/>
      </c>
    </row>
    <row r="128" spans="1:15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IF(OR($A128="",$C128=""),"",IF(OR(($O128)="",($O128)&gt;(MIN(MATCH($C128,{"C0","C1","C2","C3","C4"},0)-1,COUNT(parametros!$F$2:$F$6)-1)),NOT(ISNUMBER(INDEX(parametros!$F$2:$F$6,(MIN(MATCH($C128,{"C0","C1","C2","C3","C4"},0)-1,COUNT(parametros!$F$2:$F$6)-1))+1))),NOT(ISNUMBER(INDEX(parametros!$F$2:$F$6,($O128)+1)))),"",INDEX(parametros!$F$2:$F$6,(MIN(MATCH($C128,{"C0","C1","C2","C3","C4"},0)-1,COUNT(parametros!$F$2:$F$6)-1))+1)/INDEX(parametros!$F$2:$F$6,($O128)+1))),"")</f>
        <v/>
      </c>
      <c r="J128" s="107" t="str">
        <f>IF(OR(L128="",F128=""),"",IF(UPPER(H128)="SIM",IF(ISNUMBER(I128),ROUND(L128*ROUND(F128*I128,2),2),""),ROUND(L128*F128,2)))</f>
        <v/>
      </c>
      <c r="K128" s="105"/>
      <c r="L128" s="85" t="str">
        <f t="shared" si="7"/>
        <v/>
      </c>
      <c r="M128" s="606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TIPO_INVALIDO",IF(AND(ISNUMBER(SEARCH("NOVO",D128)),OR(INDEX(posicao_contratual!$C$2:$C$200,MATCH(A128,posicao_contratual!$A$2:$A$200,0))&lt;&gt;0,F128="",COUNTIFS($A$2:$A$200,A128,$B$2:$B$200,"&lt;"&amp;B128,$L$2:$L$200,"&gt;0")&gt;0)),"ALERTA: NOVO ITEM INVALIDO - use Acrescimo se o item ja existia; novo item exige QTD_BASE_ORIGINAL 0, VU_ORIGINAL e ser o 1o acrescimo do item.",IF(AND(ISNUMBER(SEARCH("NOVO",D128)),OR(N128="",ISERROR(MATCH(N128,{"C0","C1","C2","C3","C4"},0)))),"ALERTA: BASE_VU_OBRIGATORIA",IF(AND(NOT(ISNUMBER(SEARCH("NOVO",D128))),N128&lt;&gt;""),"ALERTA: BASE_VU_NAO_APLICAVEL",IF(AND(UPPER(H128)="SIM",NOT(ISNUMBER(I128))),"ALERTA: BASE_VU_INVALIDA_OU_POSTERIOR_AO_FATOR_ALVO","OK"))))))))))</f>
        <v/>
      </c>
      <c r="N128" s="608"/>
      <c r="O128" s="610" t="str">
        <f>IFERROR(IF((COUNTIFS($A$2:$A$200,$A128,$D$2:$D$200,"*novo*",$N$2:$N$200,"C0")+COUNTIFS($A$2:$A$200,$A128,$D$2:$D$200,"*novo*",$N$2:$N$200,"C1")+COUNTIFS($A$2:$A$200,$A128,$D$2:$D$200,"*novo*",$N$2:$N$200,"C2")+COUNTIFS($A$2:$A$200,$A128,$D$2:$D$200,"*novo*",$N$2:$N$200,"C3")+COUNTIFS($A$2:$A$200,$A128,$D$2:$D$200,"*novo*",$N$2:$N$200,"C4"))=1,IF(COUNTIFS($A$2:$A$200,$A128,$D$2:$D$200,"*novo*",$N$2:$N$200,"C4")&gt;0,4,IF(COUNTIFS($A$2:$A$200,$A128,$D$2:$D$200,"*novo*",$N$2:$N$200,"C3")&gt;0,3,IF(COUNTIFS($A$2:$A$200,$A128,$D$2:$D$200,"*novo*",$N$2:$N$200,"C2")&gt;0,2,IF(COUNTIFS($A$2:$A$200,$A128,$D$2:$D$200,"*novo*",$N$2:$N$200,"C1")&gt;0,1,IF(COUNTIFS($A$2:$A$200,$A128,$D$2:$D$200,"*novo*",$N$2:$N$200,"C0")&gt;0,0,""))))),IF(AND((COUNTIFS($A$2:$A$200,$A128,$D$2:$D$200,"*novo*",$N$2:$N$200,"C0")+COUNTIFS($A$2:$A$200,$A128,$D$2:$D$200,"*novo*",$N$2:$N$200,"C1")+COUNTIFS($A$2:$A$200,$A128,$D$2:$D$200,"*novo*",$N$2:$N$200,"C2")+COUNTIFS($A$2:$A$200,$A128,$D$2:$D$200,"*novo*",$N$2:$N$200,"C3")+COUNTIFS($A$2:$A$200,$A128,$D$2:$D$200,"*novo*",$N$2:$N$200,"C4"))=0,INDEX(posicao_contratual!$Y$2:$Y$200,MATCH($A128,posicao_contratual!$A$2:$A$200,0))=0),0,"")),"")</f>
        <v/>
      </c>
    </row>
    <row r="129" spans="1:15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IF(OR($A129="",$C129=""),"",IF(OR(($O129)="",($O129)&gt;(MIN(MATCH($C129,{"C0","C1","C2","C3","C4"},0)-1,COUNT(parametros!$F$2:$F$6)-1)),NOT(ISNUMBER(INDEX(parametros!$F$2:$F$6,(MIN(MATCH($C129,{"C0","C1","C2","C3","C4"},0)-1,COUNT(parametros!$F$2:$F$6)-1))+1))),NOT(ISNUMBER(INDEX(parametros!$F$2:$F$6,($O129)+1)))),"",INDEX(parametros!$F$2:$F$6,(MIN(MATCH($C129,{"C0","C1","C2","C3","C4"},0)-1,COUNT(parametros!$F$2:$F$6)-1))+1)/INDEX(parametros!$F$2:$F$6,($O129)+1))),"")</f>
        <v/>
      </c>
      <c r="J129" s="107" t="str">
        <f>IF(OR(L129="",F129=""),"",IF(UPPER(H129)="SIM",IF(ISNUMBER(I129),ROUND(L129*ROUND(F129*I129,2),2),""),ROUND(L129*F129,2)))</f>
        <v/>
      </c>
      <c r="K129" s="105"/>
      <c r="L129" s="85" t="str">
        <f t="shared" si="7"/>
        <v/>
      </c>
      <c r="M129" s="606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TIPO_INVALIDO",IF(AND(ISNUMBER(SEARCH("NOVO",D129)),OR(INDEX(posicao_contratual!$C$2:$C$200,MATCH(A129,posicao_contratual!$A$2:$A$200,0))&lt;&gt;0,F129="",COUNTIFS($A$2:$A$200,A129,$B$2:$B$200,"&lt;"&amp;B129,$L$2:$L$200,"&gt;0")&gt;0)),"ALERTA: NOVO ITEM INVALIDO - use Acrescimo se o item ja existia; novo item exige QTD_BASE_ORIGINAL 0, VU_ORIGINAL e ser o 1o acrescimo do item.",IF(AND(ISNUMBER(SEARCH("NOVO",D129)),OR(N129="",ISERROR(MATCH(N129,{"C0","C1","C2","C3","C4"},0)))),"ALERTA: BASE_VU_OBRIGATORIA",IF(AND(NOT(ISNUMBER(SEARCH("NOVO",D129))),N129&lt;&gt;""),"ALERTA: BASE_VU_NAO_APLICAVEL",IF(AND(UPPER(H129)="SIM",NOT(ISNUMBER(I129))),"ALERTA: BASE_VU_INVALIDA_OU_POSTERIOR_AO_FATOR_ALVO","OK"))))))))))</f>
        <v/>
      </c>
      <c r="N129" s="608"/>
      <c r="O129" s="610" t="str">
        <f>IFERROR(IF((COUNTIFS($A$2:$A$200,$A129,$D$2:$D$200,"*novo*",$N$2:$N$200,"C0")+COUNTIFS($A$2:$A$200,$A129,$D$2:$D$200,"*novo*",$N$2:$N$200,"C1")+COUNTIFS($A$2:$A$200,$A129,$D$2:$D$200,"*novo*",$N$2:$N$200,"C2")+COUNTIFS($A$2:$A$200,$A129,$D$2:$D$200,"*novo*",$N$2:$N$200,"C3")+COUNTIFS($A$2:$A$200,$A129,$D$2:$D$200,"*novo*",$N$2:$N$200,"C4"))=1,IF(COUNTIFS($A$2:$A$200,$A129,$D$2:$D$200,"*novo*",$N$2:$N$200,"C4")&gt;0,4,IF(COUNTIFS($A$2:$A$200,$A129,$D$2:$D$200,"*novo*",$N$2:$N$200,"C3")&gt;0,3,IF(COUNTIFS($A$2:$A$200,$A129,$D$2:$D$200,"*novo*",$N$2:$N$200,"C2")&gt;0,2,IF(COUNTIFS($A$2:$A$200,$A129,$D$2:$D$200,"*novo*",$N$2:$N$200,"C1")&gt;0,1,IF(COUNTIFS($A$2:$A$200,$A129,$D$2:$D$200,"*novo*",$N$2:$N$200,"C0")&gt;0,0,""))))),IF(AND((COUNTIFS($A$2:$A$200,$A129,$D$2:$D$200,"*novo*",$N$2:$N$200,"C0")+COUNTIFS($A$2:$A$200,$A129,$D$2:$D$200,"*novo*",$N$2:$N$200,"C1")+COUNTIFS($A$2:$A$200,$A129,$D$2:$D$200,"*novo*",$N$2:$N$200,"C2")+COUNTIFS($A$2:$A$200,$A129,$D$2:$D$200,"*novo*",$N$2:$N$200,"C3")+COUNTIFS($A$2:$A$200,$A129,$D$2:$D$200,"*novo*",$N$2:$N$200,"C4"))=0,INDEX(posicao_contratual!$Y$2:$Y$200,MATCH($A129,posicao_contratual!$A$2:$A$200,0))=0),0,"")),"")</f>
        <v/>
      </c>
    </row>
    <row r="130" spans="1:15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IF(OR($A130="",$C130=""),"",IF(OR(($O130)="",($O130)&gt;(MIN(MATCH($C130,{"C0","C1","C2","C3","C4"},0)-1,COUNT(parametros!$F$2:$F$6)-1)),NOT(ISNUMBER(INDEX(parametros!$F$2:$F$6,(MIN(MATCH($C130,{"C0","C1","C2","C3","C4"},0)-1,COUNT(parametros!$F$2:$F$6)-1))+1))),NOT(ISNUMBER(INDEX(parametros!$F$2:$F$6,($O130)+1)))),"",INDEX(parametros!$F$2:$F$6,(MIN(MATCH($C130,{"C0","C1","C2","C3","C4"},0)-1,COUNT(parametros!$F$2:$F$6)-1))+1)/INDEX(parametros!$F$2:$F$6,($O130)+1))),"")</f>
        <v/>
      </c>
      <c r="J130" s="107" t="str">
        <f>IF(OR(L130="",F130=""),"",IF(UPPER(H130)="SIM",IF(ISNUMBER(I130),ROUND(L130*ROUND(F130*I130,2),2),""),ROUND(L130*F130,2)))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606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TIPO_INVALIDO",IF(AND(ISNUMBER(SEARCH("NOVO",D130)),OR(INDEX(posicao_contratual!$C$2:$C$200,MATCH(A130,posicao_contratual!$A$2:$A$200,0))&lt;&gt;0,F130="",COUNTIFS($A$2:$A$200,A130,$B$2:$B$200,"&lt;"&amp;B130,$L$2:$L$200,"&gt;0")&gt;0)),"ALERTA: NOVO ITEM INVALIDO - use Acrescimo se o item ja existia; novo item exige QTD_BASE_ORIGINAL 0, VU_ORIGINAL e ser o 1o acrescimo do item.",IF(AND(ISNUMBER(SEARCH("NOVO",D130)),OR(N130="",ISERROR(MATCH(N130,{"C0","C1","C2","C3","C4"},0)))),"ALERTA: BASE_VU_OBRIGATORIA",IF(AND(NOT(ISNUMBER(SEARCH("NOVO",D130))),N130&lt;&gt;""),"ALERTA: BASE_VU_NAO_APLICAVEL",IF(AND(UPPER(H130)="SIM",NOT(ISNUMBER(I130))),"ALERTA: BASE_VU_INVALIDA_OU_POSTERIOR_AO_FATOR_ALVO","OK"))))))))))</f>
        <v/>
      </c>
      <c r="N130" s="608"/>
      <c r="O130" s="610" t="str">
        <f>IFERROR(IF((COUNTIFS($A$2:$A$200,$A130,$D$2:$D$200,"*novo*",$N$2:$N$200,"C0")+COUNTIFS($A$2:$A$200,$A130,$D$2:$D$200,"*novo*",$N$2:$N$200,"C1")+COUNTIFS($A$2:$A$200,$A130,$D$2:$D$200,"*novo*",$N$2:$N$200,"C2")+COUNTIFS($A$2:$A$200,$A130,$D$2:$D$200,"*novo*",$N$2:$N$200,"C3")+COUNTIFS($A$2:$A$200,$A130,$D$2:$D$200,"*novo*",$N$2:$N$200,"C4"))=1,IF(COUNTIFS($A$2:$A$200,$A130,$D$2:$D$200,"*novo*",$N$2:$N$200,"C4")&gt;0,4,IF(COUNTIFS($A$2:$A$200,$A130,$D$2:$D$200,"*novo*",$N$2:$N$200,"C3")&gt;0,3,IF(COUNTIFS($A$2:$A$200,$A130,$D$2:$D$200,"*novo*",$N$2:$N$200,"C2")&gt;0,2,IF(COUNTIFS($A$2:$A$200,$A130,$D$2:$D$200,"*novo*",$N$2:$N$200,"C1")&gt;0,1,IF(COUNTIFS($A$2:$A$200,$A130,$D$2:$D$200,"*novo*",$N$2:$N$200,"C0")&gt;0,0,""))))),IF(AND((COUNTIFS($A$2:$A$200,$A130,$D$2:$D$200,"*novo*",$N$2:$N$200,"C0")+COUNTIFS($A$2:$A$200,$A130,$D$2:$D$200,"*novo*",$N$2:$N$200,"C1")+COUNTIFS($A$2:$A$200,$A130,$D$2:$D$200,"*novo*",$N$2:$N$200,"C2")+COUNTIFS($A$2:$A$200,$A130,$D$2:$D$200,"*novo*",$N$2:$N$200,"C3")+COUNTIFS($A$2:$A$200,$A130,$D$2:$D$200,"*novo*",$N$2:$N$200,"C4"))=0,INDEX(posicao_contratual!$Y$2:$Y$200,MATCH($A130,posicao_contratual!$A$2:$A$200,0))=0),0,"")),"")</f>
        <v/>
      </c>
    </row>
    <row r="131" spans="1:15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IF(OR($A131="",$C131=""),"",IF(OR(($O131)="",($O131)&gt;(MIN(MATCH($C131,{"C0","C1","C2","C3","C4"},0)-1,COUNT(parametros!$F$2:$F$6)-1)),NOT(ISNUMBER(INDEX(parametros!$F$2:$F$6,(MIN(MATCH($C131,{"C0","C1","C2","C3","C4"},0)-1,COUNT(parametros!$F$2:$F$6)-1))+1))),NOT(ISNUMBER(INDEX(parametros!$F$2:$F$6,($O131)+1)))),"",INDEX(parametros!$F$2:$F$6,(MIN(MATCH($C131,{"C0","C1","C2","C3","C4"},0)-1,COUNT(parametros!$F$2:$F$6)-1))+1)/INDEX(parametros!$F$2:$F$6,($O131)+1))),"")</f>
        <v/>
      </c>
      <c r="J131" s="107" t="str">
        <f>IF(OR(L131="",F131=""),"",IF(UPPER(H131)="SIM",IF(ISNUMBER(I131),ROUND(L131*ROUND(F131*I131,2),2),""),ROUND(L131*F131,2)))</f>
        <v/>
      </c>
      <c r="K131" s="105"/>
      <c r="L131" s="85" t="str">
        <f t="shared" si="9"/>
        <v/>
      </c>
      <c r="M131" s="606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TIPO_INVALIDO",IF(AND(ISNUMBER(SEARCH("NOVO",D131)),OR(INDEX(posicao_contratual!$C$2:$C$200,MATCH(A131,posicao_contratual!$A$2:$A$200,0))&lt;&gt;0,F131="",COUNTIFS($A$2:$A$200,A131,$B$2:$B$200,"&lt;"&amp;B131,$L$2:$L$200,"&gt;0")&gt;0)),"ALERTA: NOVO ITEM INVALIDO - use Acrescimo se o item ja existia; novo item exige QTD_BASE_ORIGINAL 0, VU_ORIGINAL e ser o 1o acrescimo do item.",IF(AND(ISNUMBER(SEARCH("NOVO",D131)),OR(N131="",ISERROR(MATCH(N131,{"C0","C1","C2","C3","C4"},0)))),"ALERTA: BASE_VU_OBRIGATORIA",IF(AND(NOT(ISNUMBER(SEARCH("NOVO",D131))),N131&lt;&gt;""),"ALERTA: BASE_VU_NAO_APLICAVEL",IF(AND(UPPER(H131)="SIM",NOT(ISNUMBER(I131))),"ALERTA: BASE_VU_INVALIDA_OU_POSTERIOR_AO_FATOR_ALVO","OK"))))))))))</f>
        <v/>
      </c>
      <c r="N131" s="608"/>
      <c r="O131" s="610" t="str">
        <f>IFERROR(IF((COUNTIFS($A$2:$A$200,$A131,$D$2:$D$200,"*novo*",$N$2:$N$200,"C0")+COUNTIFS($A$2:$A$200,$A131,$D$2:$D$200,"*novo*",$N$2:$N$200,"C1")+COUNTIFS($A$2:$A$200,$A131,$D$2:$D$200,"*novo*",$N$2:$N$200,"C2")+COUNTIFS($A$2:$A$200,$A131,$D$2:$D$200,"*novo*",$N$2:$N$200,"C3")+COUNTIFS($A$2:$A$200,$A131,$D$2:$D$200,"*novo*",$N$2:$N$200,"C4"))=1,IF(COUNTIFS($A$2:$A$200,$A131,$D$2:$D$200,"*novo*",$N$2:$N$200,"C4")&gt;0,4,IF(COUNTIFS($A$2:$A$200,$A131,$D$2:$D$200,"*novo*",$N$2:$N$200,"C3")&gt;0,3,IF(COUNTIFS($A$2:$A$200,$A131,$D$2:$D$200,"*novo*",$N$2:$N$200,"C2")&gt;0,2,IF(COUNTIFS($A$2:$A$200,$A131,$D$2:$D$200,"*novo*",$N$2:$N$200,"C1")&gt;0,1,IF(COUNTIFS($A$2:$A$200,$A131,$D$2:$D$200,"*novo*",$N$2:$N$200,"C0")&gt;0,0,""))))),IF(AND((COUNTIFS($A$2:$A$200,$A131,$D$2:$D$200,"*novo*",$N$2:$N$200,"C0")+COUNTIFS($A$2:$A$200,$A131,$D$2:$D$200,"*novo*",$N$2:$N$200,"C1")+COUNTIFS($A$2:$A$200,$A131,$D$2:$D$200,"*novo*",$N$2:$N$200,"C2")+COUNTIFS($A$2:$A$200,$A131,$D$2:$D$200,"*novo*",$N$2:$N$200,"C3")+COUNTIFS($A$2:$A$200,$A131,$D$2:$D$200,"*novo*",$N$2:$N$200,"C4"))=0,INDEX(posicao_contratual!$Y$2:$Y$200,MATCH($A131,posicao_contratual!$A$2:$A$200,0))=0),0,"")),"")</f>
        <v/>
      </c>
    </row>
    <row r="132" spans="1:15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IF(OR($A132="",$C132=""),"",IF(OR(($O132)="",($O132)&gt;(MIN(MATCH($C132,{"C0","C1","C2","C3","C4"},0)-1,COUNT(parametros!$F$2:$F$6)-1)),NOT(ISNUMBER(INDEX(parametros!$F$2:$F$6,(MIN(MATCH($C132,{"C0","C1","C2","C3","C4"},0)-1,COUNT(parametros!$F$2:$F$6)-1))+1))),NOT(ISNUMBER(INDEX(parametros!$F$2:$F$6,($O132)+1)))),"",INDEX(parametros!$F$2:$F$6,(MIN(MATCH($C132,{"C0","C1","C2","C3","C4"},0)-1,COUNT(parametros!$F$2:$F$6)-1))+1)/INDEX(parametros!$F$2:$F$6,($O132)+1))),"")</f>
        <v/>
      </c>
      <c r="J132" s="107" t="str">
        <f>IF(OR(L132="",F132=""),"",IF(UPPER(H132)="SIM",IF(ISNUMBER(I132),ROUND(L132*ROUND(F132*I132,2),2),""),ROUND(L132*F132,2)))</f>
        <v/>
      </c>
      <c r="K132" s="105"/>
      <c r="L132" s="85" t="str">
        <f t="shared" si="9"/>
        <v/>
      </c>
      <c r="M132" s="606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TIPO_INVALIDO",IF(AND(ISNUMBER(SEARCH("NOVO",D132)),OR(INDEX(posicao_contratual!$C$2:$C$200,MATCH(A132,posicao_contratual!$A$2:$A$200,0))&lt;&gt;0,F132="",COUNTIFS($A$2:$A$200,A132,$B$2:$B$200,"&lt;"&amp;B132,$L$2:$L$200,"&gt;0")&gt;0)),"ALERTA: NOVO ITEM INVALIDO - use Acrescimo se o item ja existia; novo item exige QTD_BASE_ORIGINAL 0, VU_ORIGINAL e ser o 1o acrescimo do item.",IF(AND(ISNUMBER(SEARCH("NOVO",D132)),OR(N132="",ISERROR(MATCH(N132,{"C0","C1","C2","C3","C4"},0)))),"ALERTA: BASE_VU_OBRIGATORIA",IF(AND(NOT(ISNUMBER(SEARCH("NOVO",D132))),N132&lt;&gt;""),"ALERTA: BASE_VU_NAO_APLICAVEL",IF(AND(UPPER(H132)="SIM",NOT(ISNUMBER(I132))),"ALERTA: BASE_VU_INVALIDA_OU_POSTERIOR_AO_FATOR_ALVO","OK"))))))))))</f>
        <v/>
      </c>
      <c r="N132" s="608"/>
      <c r="O132" s="610" t="str">
        <f>IFERROR(IF((COUNTIFS($A$2:$A$200,$A132,$D$2:$D$200,"*novo*",$N$2:$N$200,"C0")+COUNTIFS($A$2:$A$200,$A132,$D$2:$D$200,"*novo*",$N$2:$N$200,"C1")+COUNTIFS($A$2:$A$200,$A132,$D$2:$D$200,"*novo*",$N$2:$N$200,"C2")+COUNTIFS($A$2:$A$200,$A132,$D$2:$D$200,"*novo*",$N$2:$N$200,"C3")+COUNTIFS($A$2:$A$200,$A132,$D$2:$D$200,"*novo*",$N$2:$N$200,"C4"))=1,IF(COUNTIFS($A$2:$A$200,$A132,$D$2:$D$200,"*novo*",$N$2:$N$200,"C4")&gt;0,4,IF(COUNTIFS($A$2:$A$200,$A132,$D$2:$D$200,"*novo*",$N$2:$N$200,"C3")&gt;0,3,IF(COUNTIFS($A$2:$A$200,$A132,$D$2:$D$200,"*novo*",$N$2:$N$200,"C2")&gt;0,2,IF(COUNTIFS($A$2:$A$200,$A132,$D$2:$D$200,"*novo*",$N$2:$N$200,"C1")&gt;0,1,IF(COUNTIFS($A$2:$A$200,$A132,$D$2:$D$200,"*novo*",$N$2:$N$200,"C0")&gt;0,0,""))))),IF(AND((COUNTIFS($A$2:$A$200,$A132,$D$2:$D$200,"*novo*",$N$2:$N$200,"C0")+COUNTIFS($A$2:$A$200,$A132,$D$2:$D$200,"*novo*",$N$2:$N$200,"C1")+COUNTIFS($A$2:$A$200,$A132,$D$2:$D$200,"*novo*",$N$2:$N$200,"C2")+COUNTIFS($A$2:$A$200,$A132,$D$2:$D$200,"*novo*",$N$2:$N$200,"C3")+COUNTIFS($A$2:$A$200,$A132,$D$2:$D$200,"*novo*",$N$2:$N$200,"C4"))=0,INDEX(posicao_contratual!$Y$2:$Y$200,MATCH($A132,posicao_contratual!$A$2:$A$200,0))=0),0,"")),"")</f>
        <v/>
      </c>
    </row>
    <row r="133" spans="1:15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IF(OR($A133="",$C133=""),"",IF(OR(($O133)="",($O133)&gt;(MIN(MATCH($C133,{"C0","C1","C2","C3","C4"},0)-1,COUNT(parametros!$F$2:$F$6)-1)),NOT(ISNUMBER(INDEX(parametros!$F$2:$F$6,(MIN(MATCH($C133,{"C0","C1","C2","C3","C4"},0)-1,COUNT(parametros!$F$2:$F$6)-1))+1))),NOT(ISNUMBER(INDEX(parametros!$F$2:$F$6,($O133)+1)))),"",INDEX(parametros!$F$2:$F$6,(MIN(MATCH($C133,{"C0","C1","C2","C3","C4"},0)-1,COUNT(parametros!$F$2:$F$6)-1))+1)/INDEX(parametros!$F$2:$F$6,($O133)+1))),"")</f>
        <v/>
      </c>
      <c r="J133" s="107" t="str">
        <f>IF(OR(L133="",F133=""),"",IF(UPPER(H133)="SIM",IF(ISNUMBER(I133),ROUND(L133*ROUND(F133*I133,2),2),""),ROUND(L133*F133,2)))</f>
        <v/>
      </c>
      <c r="K133" s="105"/>
      <c r="L133" s="85" t="str">
        <f t="shared" si="9"/>
        <v/>
      </c>
      <c r="M133" s="606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TIPO_INVALIDO",IF(AND(ISNUMBER(SEARCH("NOVO",D133)),OR(INDEX(posicao_contratual!$C$2:$C$200,MATCH(A133,posicao_contratual!$A$2:$A$200,0))&lt;&gt;0,F133="",COUNTIFS($A$2:$A$200,A133,$B$2:$B$200,"&lt;"&amp;B133,$L$2:$L$200,"&gt;0")&gt;0)),"ALERTA: NOVO ITEM INVALIDO - use Acrescimo se o item ja existia; novo item exige QTD_BASE_ORIGINAL 0, VU_ORIGINAL e ser o 1o acrescimo do item.",IF(AND(ISNUMBER(SEARCH("NOVO",D133)),OR(N133="",ISERROR(MATCH(N133,{"C0","C1","C2","C3","C4"},0)))),"ALERTA: BASE_VU_OBRIGATORIA",IF(AND(NOT(ISNUMBER(SEARCH("NOVO",D133))),N133&lt;&gt;""),"ALERTA: BASE_VU_NAO_APLICAVEL",IF(AND(UPPER(H133)="SIM",NOT(ISNUMBER(I133))),"ALERTA: BASE_VU_INVALIDA_OU_POSTERIOR_AO_FATOR_ALVO","OK"))))))))))</f>
        <v/>
      </c>
      <c r="N133" s="608"/>
      <c r="O133" s="610" t="str">
        <f>IFERROR(IF((COUNTIFS($A$2:$A$200,$A133,$D$2:$D$200,"*novo*",$N$2:$N$200,"C0")+COUNTIFS($A$2:$A$200,$A133,$D$2:$D$200,"*novo*",$N$2:$N$200,"C1")+COUNTIFS($A$2:$A$200,$A133,$D$2:$D$200,"*novo*",$N$2:$N$200,"C2")+COUNTIFS($A$2:$A$200,$A133,$D$2:$D$200,"*novo*",$N$2:$N$200,"C3")+COUNTIFS($A$2:$A$200,$A133,$D$2:$D$200,"*novo*",$N$2:$N$200,"C4"))=1,IF(COUNTIFS($A$2:$A$200,$A133,$D$2:$D$200,"*novo*",$N$2:$N$200,"C4")&gt;0,4,IF(COUNTIFS($A$2:$A$200,$A133,$D$2:$D$200,"*novo*",$N$2:$N$200,"C3")&gt;0,3,IF(COUNTIFS($A$2:$A$200,$A133,$D$2:$D$200,"*novo*",$N$2:$N$200,"C2")&gt;0,2,IF(COUNTIFS($A$2:$A$200,$A133,$D$2:$D$200,"*novo*",$N$2:$N$200,"C1")&gt;0,1,IF(COUNTIFS($A$2:$A$200,$A133,$D$2:$D$200,"*novo*",$N$2:$N$200,"C0")&gt;0,0,""))))),IF(AND((COUNTIFS($A$2:$A$200,$A133,$D$2:$D$200,"*novo*",$N$2:$N$200,"C0")+COUNTIFS($A$2:$A$200,$A133,$D$2:$D$200,"*novo*",$N$2:$N$200,"C1")+COUNTIFS($A$2:$A$200,$A133,$D$2:$D$200,"*novo*",$N$2:$N$200,"C2")+COUNTIFS($A$2:$A$200,$A133,$D$2:$D$200,"*novo*",$N$2:$N$200,"C3")+COUNTIFS($A$2:$A$200,$A133,$D$2:$D$200,"*novo*",$N$2:$N$200,"C4"))=0,INDEX(posicao_contratual!$Y$2:$Y$200,MATCH($A133,posicao_contratual!$A$2:$A$200,0))=0),0,"")),"")</f>
        <v/>
      </c>
    </row>
    <row r="134" spans="1:15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IF(OR($A134="",$C134=""),"",IF(OR(($O134)="",($O134)&gt;(MIN(MATCH($C134,{"C0","C1","C2","C3","C4"},0)-1,COUNT(parametros!$F$2:$F$6)-1)),NOT(ISNUMBER(INDEX(parametros!$F$2:$F$6,(MIN(MATCH($C134,{"C0","C1","C2","C3","C4"},0)-1,COUNT(parametros!$F$2:$F$6)-1))+1))),NOT(ISNUMBER(INDEX(parametros!$F$2:$F$6,($O134)+1)))),"",INDEX(parametros!$F$2:$F$6,(MIN(MATCH($C134,{"C0","C1","C2","C3","C4"},0)-1,COUNT(parametros!$F$2:$F$6)-1))+1)/INDEX(parametros!$F$2:$F$6,($O134)+1))),"")</f>
        <v/>
      </c>
      <c r="J134" s="107" t="str">
        <f>IF(OR(L134="",F134=""),"",IF(UPPER(H134)="SIM",IF(ISNUMBER(I134),ROUND(L134*ROUND(F134*I134,2),2),""),ROUND(L134*F134,2)))</f>
        <v/>
      </c>
      <c r="K134" s="105"/>
      <c r="L134" s="85" t="str">
        <f t="shared" si="9"/>
        <v/>
      </c>
      <c r="M134" s="606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TIPO_INVALIDO",IF(AND(ISNUMBER(SEARCH("NOVO",D134)),OR(INDEX(posicao_contratual!$C$2:$C$200,MATCH(A134,posicao_contratual!$A$2:$A$200,0))&lt;&gt;0,F134="",COUNTIFS($A$2:$A$200,A134,$B$2:$B$200,"&lt;"&amp;B134,$L$2:$L$200,"&gt;0")&gt;0)),"ALERTA: NOVO ITEM INVALIDO - use Acrescimo se o item ja existia; novo item exige QTD_BASE_ORIGINAL 0, VU_ORIGINAL e ser o 1o acrescimo do item.",IF(AND(ISNUMBER(SEARCH("NOVO",D134)),OR(N134="",ISERROR(MATCH(N134,{"C0","C1","C2","C3","C4"},0)))),"ALERTA: BASE_VU_OBRIGATORIA",IF(AND(NOT(ISNUMBER(SEARCH("NOVO",D134))),N134&lt;&gt;""),"ALERTA: BASE_VU_NAO_APLICAVEL",IF(AND(UPPER(H134)="SIM",NOT(ISNUMBER(I134))),"ALERTA: BASE_VU_INVALIDA_OU_POSTERIOR_AO_FATOR_ALVO","OK"))))))))))</f>
        <v/>
      </c>
      <c r="N134" s="608"/>
      <c r="O134" s="610" t="str">
        <f>IFERROR(IF((COUNTIFS($A$2:$A$200,$A134,$D$2:$D$200,"*novo*",$N$2:$N$200,"C0")+COUNTIFS($A$2:$A$200,$A134,$D$2:$D$200,"*novo*",$N$2:$N$200,"C1")+COUNTIFS($A$2:$A$200,$A134,$D$2:$D$200,"*novo*",$N$2:$N$200,"C2")+COUNTIFS($A$2:$A$200,$A134,$D$2:$D$200,"*novo*",$N$2:$N$200,"C3")+COUNTIFS($A$2:$A$200,$A134,$D$2:$D$200,"*novo*",$N$2:$N$200,"C4"))=1,IF(COUNTIFS($A$2:$A$200,$A134,$D$2:$D$200,"*novo*",$N$2:$N$200,"C4")&gt;0,4,IF(COUNTIFS($A$2:$A$200,$A134,$D$2:$D$200,"*novo*",$N$2:$N$200,"C3")&gt;0,3,IF(COUNTIFS($A$2:$A$200,$A134,$D$2:$D$200,"*novo*",$N$2:$N$200,"C2")&gt;0,2,IF(COUNTIFS($A$2:$A$200,$A134,$D$2:$D$200,"*novo*",$N$2:$N$200,"C1")&gt;0,1,IF(COUNTIFS($A$2:$A$200,$A134,$D$2:$D$200,"*novo*",$N$2:$N$200,"C0")&gt;0,0,""))))),IF(AND((COUNTIFS($A$2:$A$200,$A134,$D$2:$D$200,"*novo*",$N$2:$N$200,"C0")+COUNTIFS($A$2:$A$200,$A134,$D$2:$D$200,"*novo*",$N$2:$N$200,"C1")+COUNTIFS($A$2:$A$200,$A134,$D$2:$D$200,"*novo*",$N$2:$N$200,"C2")+COUNTIFS($A$2:$A$200,$A134,$D$2:$D$200,"*novo*",$N$2:$N$200,"C3")+COUNTIFS($A$2:$A$200,$A134,$D$2:$D$200,"*novo*",$N$2:$N$200,"C4"))=0,INDEX(posicao_contratual!$Y$2:$Y$200,MATCH($A134,posicao_contratual!$A$2:$A$200,0))=0),0,"")),"")</f>
        <v/>
      </c>
    </row>
    <row r="135" spans="1:15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IF(OR($A135="",$C135=""),"",IF(OR(($O135)="",($O135)&gt;(MIN(MATCH($C135,{"C0","C1","C2","C3","C4"},0)-1,COUNT(parametros!$F$2:$F$6)-1)),NOT(ISNUMBER(INDEX(parametros!$F$2:$F$6,(MIN(MATCH($C135,{"C0","C1","C2","C3","C4"},0)-1,COUNT(parametros!$F$2:$F$6)-1))+1))),NOT(ISNUMBER(INDEX(parametros!$F$2:$F$6,($O135)+1)))),"",INDEX(parametros!$F$2:$F$6,(MIN(MATCH($C135,{"C0","C1","C2","C3","C4"},0)-1,COUNT(parametros!$F$2:$F$6)-1))+1)/INDEX(parametros!$F$2:$F$6,($O135)+1))),"")</f>
        <v/>
      </c>
      <c r="J135" s="107" t="str">
        <f>IF(OR(L135="",F135=""),"",IF(UPPER(H135)="SIM",IF(ISNUMBER(I135),ROUND(L135*ROUND(F135*I135,2),2),""),ROUND(L135*F135,2)))</f>
        <v/>
      </c>
      <c r="K135" s="105"/>
      <c r="L135" s="85" t="str">
        <f t="shared" si="9"/>
        <v/>
      </c>
      <c r="M135" s="606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TIPO_INVALIDO",IF(AND(ISNUMBER(SEARCH("NOVO",D135)),OR(INDEX(posicao_contratual!$C$2:$C$200,MATCH(A135,posicao_contratual!$A$2:$A$200,0))&lt;&gt;0,F135="",COUNTIFS($A$2:$A$200,A135,$B$2:$B$200,"&lt;"&amp;B135,$L$2:$L$200,"&gt;0")&gt;0)),"ALERTA: NOVO ITEM INVALIDO - use Acrescimo se o item ja existia; novo item exige QTD_BASE_ORIGINAL 0, VU_ORIGINAL e ser o 1o acrescimo do item.",IF(AND(ISNUMBER(SEARCH("NOVO",D135)),OR(N135="",ISERROR(MATCH(N135,{"C0","C1","C2","C3","C4"},0)))),"ALERTA: BASE_VU_OBRIGATORIA",IF(AND(NOT(ISNUMBER(SEARCH("NOVO",D135))),N135&lt;&gt;""),"ALERTA: BASE_VU_NAO_APLICAVEL",IF(AND(UPPER(H135)="SIM",NOT(ISNUMBER(I135))),"ALERTA: BASE_VU_INVALIDA_OU_POSTERIOR_AO_FATOR_ALVO","OK"))))))))))</f>
        <v/>
      </c>
      <c r="N135" s="608"/>
      <c r="O135" s="610" t="str">
        <f>IFERROR(IF((COUNTIFS($A$2:$A$200,$A135,$D$2:$D$200,"*novo*",$N$2:$N$200,"C0")+COUNTIFS($A$2:$A$200,$A135,$D$2:$D$200,"*novo*",$N$2:$N$200,"C1")+COUNTIFS($A$2:$A$200,$A135,$D$2:$D$200,"*novo*",$N$2:$N$200,"C2")+COUNTIFS($A$2:$A$200,$A135,$D$2:$D$200,"*novo*",$N$2:$N$200,"C3")+COUNTIFS($A$2:$A$200,$A135,$D$2:$D$200,"*novo*",$N$2:$N$200,"C4"))=1,IF(COUNTIFS($A$2:$A$200,$A135,$D$2:$D$200,"*novo*",$N$2:$N$200,"C4")&gt;0,4,IF(COUNTIFS($A$2:$A$200,$A135,$D$2:$D$200,"*novo*",$N$2:$N$200,"C3")&gt;0,3,IF(COUNTIFS($A$2:$A$200,$A135,$D$2:$D$200,"*novo*",$N$2:$N$200,"C2")&gt;0,2,IF(COUNTIFS($A$2:$A$200,$A135,$D$2:$D$200,"*novo*",$N$2:$N$200,"C1")&gt;0,1,IF(COUNTIFS($A$2:$A$200,$A135,$D$2:$D$200,"*novo*",$N$2:$N$200,"C0")&gt;0,0,""))))),IF(AND((COUNTIFS($A$2:$A$200,$A135,$D$2:$D$200,"*novo*",$N$2:$N$200,"C0")+COUNTIFS($A$2:$A$200,$A135,$D$2:$D$200,"*novo*",$N$2:$N$200,"C1")+COUNTIFS($A$2:$A$200,$A135,$D$2:$D$200,"*novo*",$N$2:$N$200,"C2")+COUNTIFS($A$2:$A$200,$A135,$D$2:$D$200,"*novo*",$N$2:$N$200,"C3")+COUNTIFS($A$2:$A$200,$A135,$D$2:$D$200,"*novo*",$N$2:$N$200,"C4"))=0,INDEX(posicao_contratual!$Y$2:$Y$200,MATCH($A135,posicao_contratual!$A$2:$A$200,0))=0),0,"")),"")</f>
        <v/>
      </c>
    </row>
    <row r="136" spans="1:15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IF(OR($A136="",$C136=""),"",IF(OR(($O136)="",($O136)&gt;(MIN(MATCH($C136,{"C0","C1","C2","C3","C4"},0)-1,COUNT(parametros!$F$2:$F$6)-1)),NOT(ISNUMBER(INDEX(parametros!$F$2:$F$6,(MIN(MATCH($C136,{"C0","C1","C2","C3","C4"},0)-1,COUNT(parametros!$F$2:$F$6)-1))+1))),NOT(ISNUMBER(INDEX(parametros!$F$2:$F$6,($O136)+1)))),"",INDEX(parametros!$F$2:$F$6,(MIN(MATCH($C136,{"C0","C1","C2","C3","C4"},0)-1,COUNT(parametros!$F$2:$F$6)-1))+1)/INDEX(parametros!$F$2:$F$6,($O136)+1))),"")</f>
        <v/>
      </c>
      <c r="J136" s="107" t="str">
        <f>IF(OR(L136="",F136=""),"",IF(UPPER(H136)="SIM",IF(ISNUMBER(I136),ROUND(L136*ROUND(F136*I136,2),2),""),ROUND(L136*F136,2)))</f>
        <v/>
      </c>
      <c r="K136" s="105"/>
      <c r="L136" s="85" t="str">
        <f t="shared" si="9"/>
        <v/>
      </c>
      <c r="M136" s="606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TIPO_INVALIDO",IF(AND(ISNUMBER(SEARCH("NOVO",D136)),OR(INDEX(posicao_contratual!$C$2:$C$200,MATCH(A136,posicao_contratual!$A$2:$A$200,0))&lt;&gt;0,F136="",COUNTIFS($A$2:$A$200,A136,$B$2:$B$200,"&lt;"&amp;B136,$L$2:$L$200,"&gt;0")&gt;0)),"ALERTA: NOVO ITEM INVALIDO - use Acrescimo se o item ja existia; novo item exige QTD_BASE_ORIGINAL 0, VU_ORIGINAL e ser o 1o acrescimo do item.",IF(AND(ISNUMBER(SEARCH("NOVO",D136)),OR(N136="",ISERROR(MATCH(N136,{"C0","C1","C2","C3","C4"},0)))),"ALERTA: BASE_VU_OBRIGATORIA",IF(AND(NOT(ISNUMBER(SEARCH("NOVO",D136))),N136&lt;&gt;""),"ALERTA: BASE_VU_NAO_APLICAVEL",IF(AND(UPPER(H136)="SIM",NOT(ISNUMBER(I136))),"ALERTA: BASE_VU_INVALIDA_OU_POSTERIOR_AO_FATOR_ALVO","OK"))))))))))</f>
        <v/>
      </c>
      <c r="N136" s="608"/>
      <c r="O136" s="610" t="str">
        <f>IFERROR(IF((COUNTIFS($A$2:$A$200,$A136,$D$2:$D$200,"*novo*",$N$2:$N$200,"C0")+COUNTIFS($A$2:$A$200,$A136,$D$2:$D$200,"*novo*",$N$2:$N$200,"C1")+COUNTIFS($A$2:$A$200,$A136,$D$2:$D$200,"*novo*",$N$2:$N$200,"C2")+COUNTIFS($A$2:$A$200,$A136,$D$2:$D$200,"*novo*",$N$2:$N$200,"C3")+COUNTIFS($A$2:$A$200,$A136,$D$2:$D$200,"*novo*",$N$2:$N$200,"C4"))=1,IF(COUNTIFS($A$2:$A$200,$A136,$D$2:$D$200,"*novo*",$N$2:$N$200,"C4")&gt;0,4,IF(COUNTIFS($A$2:$A$200,$A136,$D$2:$D$200,"*novo*",$N$2:$N$200,"C3")&gt;0,3,IF(COUNTIFS($A$2:$A$200,$A136,$D$2:$D$200,"*novo*",$N$2:$N$200,"C2")&gt;0,2,IF(COUNTIFS($A$2:$A$200,$A136,$D$2:$D$200,"*novo*",$N$2:$N$200,"C1")&gt;0,1,IF(COUNTIFS($A$2:$A$200,$A136,$D$2:$D$200,"*novo*",$N$2:$N$200,"C0")&gt;0,0,""))))),IF(AND((COUNTIFS($A$2:$A$200,$A136,$D$2:$D$200,"*novo*",$N$2:$N$200,"C0")+COUNTIFS($A$2:$A$200,$A136,$D$2:$D$200,"*novo*",$N$2:$N$200,"C1")+COUNTIFS($A$2:$A$200,$A136,$D$2:$D$200,"*novo*",$N$2:$N$200,"C2")+COUNTIFS($A$2:$A$200,$A136,$D$2:$D$200,"*novo*",$N$2:$N$200,"C3")+COUNTIFS($A$2:$A$200,$A136,$D$2:$D$200,"*novo*",$N$2:$N$200,"C4"))=0,INDEX(posicao_contratual!$Y$2:$Y$200,MATCH($A136,posicao_contratual!$A$2:$A$200,0))=0),0,"")),"")</f>
        <v/>
      </c>
    </row>
    <row r="137" spans="1:15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IF(OR($A137="",$C137=""),"",IF(OR(($O137)="",($O137)&gt;(MIN(MATCH($C137,{"C0","C1","C2","C3","C4"},0)-1,COUNT(parametros!$F$2:$F$6)-1)),NOT(ISNUMBER(INDEX(parametros!$F$2:$F$6,(MIN(MATCH($C137,{"C0","C1","C2","C3","C4"},0)-1,COUNT(parametros!$F$2:$F$6)-1))+1))),NOT(ISNUMBER(INDEX(parametros!$F$2:$F$6,($O137)+1)))),"",INDEX(parametros!$F$2:$F$6,(MIN(MATCH($C137,{"C0","C1","C2","C3","C4"},0)-1,COUNT(parametros!$F$2:$F$6)-1))+1)/INDEX(parametros!$F$2:$F$6,($O137)+1))),"")</f>
        <v/>
      </c>
      <c r="J137" s="107" t="str">
        <f>IF(OR(L137="",F137=""),"",IF(UPPER(H137)="SIM",IF(ISNUMBER(I137),ROUND(L137*ROUND(F137*I137,2),2),""),ROUND(L137*F137,2)))</f>
        <v/>
      </c>
      <c r="K137" s="105"/>
      <c r="L137" s="85" t="str">
        <f t="shared" si="9"/>
        <v/>
      </c>
      <c r="M137" s="606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TIPO_INVALIDO",IF(AND(ISNUMBER(SEARCH("NOVO",D137)),OR(INDEX(posicao_contratual!$C$2:$C$200,MATCH(A137,posicao_contratual!$A$2:$A$200,0))&lt;&gt;0,F137="",COUNTIFS($A$2:$A$200,A137,$B$2:$B$200,"&lt;"&amp;B137,$L$2:$L$200,"&gt;0")&gt;0)),"ALERTA: NOVO ITEM INVALIDO - use Acrescimo se o item ja existia; novo item exige QTD_BASE_ORIGINAL 0, VU_ORIGINAL e ser o 1o acrescimo do item.",IF(AND(ISNUMBER(SEARCH("NOVO",D137)),OR(N137="",ISERROR(MATCH(N137,{"C0","C1","C2","C3","C4"},0)))),"ALERTA: BASE_VU_OBRIGATORIA",IF(AND(NOT(ISNUMBER(SEARCH("NOVO",D137))),N137&lt;&gt;""),"ALERTA: BASE_VU_NAO_APLICAVEL",IF(AND(UPPER(H137)="SIM",NOT(ISNUMBER(I137))),"ALERTA: BASE_VU_INVALIDA_OU_POSTERIOR_AO_FATOR_ALVO","OK"))))))))))</f>
        <v/>
      </c>
      <c r="N137" s="608"/>
      <c r="O137" s="610" t="str">
        <f>IFERROR(IF((COUNTIFS($A$2:$A$200,$A137,$D$2:$D$200,"*novo*",$N$2:$N$200,"C0")+COUNTIFS($A$2:$A$200,$A137,$D$2:$D$200,"*novo*",$N$2:$N$200,"C1")+COUNTIFS($A$2:$A$200,$A137,$D$2:$D$200,"*novo*",$N$2:$N$200,"C2")+COUNTIFS($A$2:$A$200,$A137,$D$2:$D$200,"*novo*",$N$2:$N$200,"C3")+COUNTIFS($A$2:$A$200,$A137,$D$2:$D$200,"*novo*",$N$2:$N$200,"C4"))=1,IF(COUNTIFS($A$2:$A$200,$A137,$D$2:$D$200,"*novo*",$N$2:$N$200,"C4")&gt;0,4,IF(COUNTIFS($A$2:$A$200,$A137,$D$2:$D$200,"*novo*",$N$2:$N$200,"C3")&gt;0,3,IF(COUNTIFS($A$2:$A$200,$A137,$D$2:$D$200,"*novo*",$N$2:$N$200,"C2")&gt;0,2,IF(COUNTIFS($A$2:$A$200,$A137,$D$2:$D$200,"*novo*",$N$2:$N$200,"C1")&gt;0,1,IF(COUNTIFS($A$2:$A$200,$A137,$D$2:$D$200,"*novo*",$N$2:$N$200,"C0")&gt;0,0,""))))),IF(AND((COUNTIFS($A$2:$A$200,$A137,$D$2:$D$200,"*novo*",$N$2:$N$200,"C0")+COUNTIFS($A$2:$A$200,$A137,$D$2:$D$200,"*novo*",$N$2:$N$200,"C1")+COUNTIFS($A$2:$A$200,$A137,$D$2:$D$200,"*novo*",$N$2:$N$200,"C2")+COUNTIFS($A$2:$A$200,$A137,$D$2:$D$200,"*novo*",$N$2:$N$200,"C3")+COUNTIFS($A$2:$A$200,$A137,$D$2:$D$200,"*novo*",$N$2:$N$200,"C4"))=0,INDEX(posicao_contratual!$Y$2:$Y$200,MATCH($A137,posicao_contratual!$A$2:$A$200,0))=0),0,"")),"")</f>
        <v/>
      </c>
    </row>
    <row r="138" spans="1:15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IF(OR($A138="",$C138=""),"",IF(OR(($O138)="",($O138)&gt;(MIN(MATCH($C138,{"C0","C1","C2","C3","C4"},0)-1,COUNT(parametros!$F$2:$F$6)-1)),NOT(ISNUMBER(INDEX(parametros!$F$2:$F$6,(MIN(MATCH($C138,{"C0","C1","C2","C3","C4"},0)-1,COUNT(parametros!$F$2:$F$6)-1))+1))),NOT(ISNUMBER(INDEX(parametros!$F$2:$F$6,($O138)+1)))),"",INDEX(parametros!$F$2:$F$6,(MIN(MATCH($C138,{"C0","C1","C2","C3","C4"},0)-1,COUNT(parametros!$F$2:$F$6)-1))+1)/INDEX(parametros!$F$2:$F$6,($O138)+1))),"")</f>
        <v/>
      </c>
      <c r="J138" s="107" t="str">
        <f>IF(OR(L138="",F138=""),"",IF(UPPER(H138)="SIM",IF(ISNUMBER(I138),ROUND(L138*ROUND(F138*I138,2),2),""),ROUND(L138*F138,2)))</f>
        <v/>
      </c>
      <c r="K138" s="105"/>
      <c r="L138" s="85" t="str">
        <f t="shared" si="9"/>
        <v/>
      </c>
      <c r="M138" s="606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TIPO_INVALIDO",IF(AND(ISNUMBER(SEARCH("NOVO",D138)),OR(INDEX(posicao_contratual!$C$2:$C$200,MATCH(A138,posicao_contratual!$A$2:$A$200,0))&lt;&gt;0,F138="",COUNTIFS($A$2:$A$200,A138,$B$2:$B$200,"&lt;"&amp;B138,$L$2:$L$200,"&gt;0")&gt;0)),"ALERTA: NOVO ITEM INVALIDO - use Acrescimo se o item ja existia; novo item exige QTD_BASE_ORIGINAL 0, VU_ORIGINAL e ser o 1o acrescimo do item.",IF(AND(ISNUMBER(SEARCH("NOVO",D138)),OR(N138="",ISERROR(MATCH(N138,{"C0","C1","C2","C3","C4"},0)))),"ALERTA: BASE_VU_OBRIGATORIA",IF(AND(NOT(ISNUMBER(SEARCH("NOVO",D138))),N138&lt;&gt;""),"ALERTA: BASE_VU_NAO_APLICAVEL",IF(AND(UPPER(H138)="SIM",NOT(ISNUMBER(I138))),"ALERTA: BASE_VU_INVALIDA_OU_POSTERIOR_AO_FATOR_ALVO","OK"))))))))))</f>
        <v/>
      </c>
      <c r="N138" s="608"/>
      <c r="O138" s="610" t="str">
        <f>IFERROR(IF((COUNTIFS($A$2:$A$200,$A138,$D$2:$D$200,"*novo*",$N$2:$N$200,"C0")+COUNTIFS($A$2:$A$200,$A138,$D$2:$D$200,"*novo*",$N$2:$N$200,"C1")+COUNTIFS($A$2:$A$200,$A138,$D$2:$D$200,"*novo*",$N$2:$N$200,"C2")+COUNTIFS($A$2:$A$200,$A138,$D$2:$D$200,"*novo*",$N$2:$N$200,"C3")+COUNTIFS($A$2:$A$200,$A138,$D$2:$D$200,"*novo*",$N$2:$N$200,"C4"))=1,IF(COUNTIFS($A$2:$A$200,$A138,$D$2:$D$200,"*novo*",$N$2:$N$200,"C4")&gt;0,4,IF(COUNTIFS($A$2:$A$200,$A138,$D$2:$D$200,"*novo*",$N$2:$N$200,"C3")&gt;0,3,IF(COUNTIFS($A$2:$A$200,$A138,$D$2:$D$200,"*novo*",$N$2:$N$200,"C2")&gt;0,2,IF(COUNTIFS($A$2:$A$200,$A138,$D$2:$D$200,"*novo*",$N$2:$N$200,"C1")&gt;0,1,IF(COUNTIFS($A$2:$A$200,$A138,$D$2:$D$200,"*novo*",$N$2:$N$200,"C0")&gt;0,0,""))))),IF(AND((COUNTIFS($A$2:$A$200,$A138,$D$2:$D$200,"*novo*",$N$2:$N$200,"C0")+COUNTIFS($A$2:$A$200,$A138,$D$2:$D$200,"*novo*",$N$2:$N$200,"C1")+COUNTIFS($A$2:$A$200,$A138,$D$2:$D$200,"*novo*",$N$2:$N$200,"C2")+COUNTIFS($A$2:$A$200,$A138,$D$2:$D$200,"*novo*",$N$2:$N$200,"C3")+COUNTIFS($A$2:$A$200,$A138,$D$2:$D$200,"*novo*",$N$2:$N$200,"C4"))=0,INDEX(posicao_contratual!$Y$2:$Y$200,MATCH($A138,posicao_contratual!$A$2:$A$200,0))=0),0,"")),"")</f>
        <v/>
      </c>
    </row>
    <row r="139" spans="1:15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IF(OR($A139="",$C139=""),"",IF(OR(($O139)="",($O139)&gt;(MIN(MATCH($C139,{"C0","C1","C2","C3","C4"},0)-1,COUNT(parametros!$F$2:$F$6)-1)),NOT(ISNUMBER(INDEX(parametros!$F$2:$F$6,(MIN(MATCH($C139,{"C0","C1","C2","C3","C4"},0)-1,COUNT(parametros!$F$2:$F$6)-1))+1))),NOT(ISNUMBER(INDEX(parametros!$F$2:$F$6,($O139)+1)))),"",INDEX(parametros!$F$2:$F$6,(MIN(MATCH($C139,{"C0","C1","C2","C3","C4"},0)-1,COUNT(parametros!$F$2:$F$6)-1))+1)/INDEX(parametros!$F$2:$F$6,($O139)+1))),"")</f>
        <v/>
      </c>
      <c r="J139" s="107" t="str">
        <f>IF(OR(L139="",F139=""),"",IF(UPPER(H139)="SIM",IF(ISNUMBER(I139),ROUND(L139*ROUND(F139*I139,2),2),""),ROUND(L139*F139,2)))</f>
        <v/>
      </c>
      <c r="K139" s="105"/>
      <c r="L139" s="85" t="str">
        <f t="shared" si="9"/>
        <v/>
      </c>
      <c r="M139" s="606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TIPO_INVALIDO",IF(AND(ISNUMBER(SEARCH("NOVO",D139)),OR(INDEX(posicao_contratual!$C$2:$C$200,MATCH(A139,posicao_contratual!$A$2:$A$200,0))&lt;&gt;0,F139="",COUNTIFS($A$2:$A$200,A139,$B$2:$B$200,"&lt;"&amp;B139,$L$2:$L$200,"&gt;0")&gt;0)),"ALERTA: NOVO ITEM INVALIDO - use Acrescimo se o item ja existia; novo item exige QTD_BASE_ORIGINAL 0, VU_ORIGINAL e ser o 1o acrescimo do item.",IF(AND(ISNUMBER(SEARCH("NOVO",D139)),OR(N139="",ISERROR(MATCH(N139,{"C0","C1","C2","C3","C4"},0)))),"ALERTA: BASE_VU_OBRIGATORIA",IF(AND(NOT(ISNUMBER(SEARCH("NOVO",D139))),N139&lt;&gt;""),"ALERTA: BASE_VU_NAO_APLICAVEL",IF(AND(UPPER(H139)="SIM",NOT(ISNUMBER(I139))),"ALERTA: BASE_VU_INVALIDA_OU_POSTERIOR_AO_FATOR_ALVO","OK"))))))))))</f>
        <v/>
      </c>
      <c r="N139" s="608"/>
      <c r="O139" s="610" t="str">
        <f>IFERROR(IF((COUNTIFS($A$2:$A$200,$A139,$D$2:$D$200,"*novo*",$N$2:$N$200,"C0")+COUNTIFS($A$2:$A$200,$A139,$D$2:$D$200,"*novo*",$N$2:$N$200,"C1")+COUNTIFS($A$2:$A$200,$A139,$D$2:$D$200,"*novo*",$N$2:$N$200,"C2")+COUNTIFS($A$2:$A$200,$A139,$D$2:$D$200,"*novo*",$N$2:$N$200,"C3")+COUNTIFS($A$2:$A$200,$A139,$D$2:$D$200,"*novo*",$N$2:$N$200,"C4"))=1,IF(COUNTIFS($A$2:$A$200,$A139,$D$2:$D$200,"*novo*",$N$2:$N$200,"C4")&gt;0,4,IF(COUNTIFS($A$2:$A$200,$A139,$D$2:$D$200,"*novo*",$N$2:$N$200,"C3")&gt;0,3,IF(COUNTIFS($A$2:$A$200,$A139,$D$2:$D$200,"*novo*",$N$2:$N$200,"C2")&gt;0,2,IF(COUNTIFS($A$2:$A$200,$A139,$D$2:$D$200,"*novo*",$N$2:$N$200,"C1")&gt;0,1,IF(COUNTIFS($A$2:$A$200,$A139,$D$2:$D$200,"*novo*",$N$2:$N$200,"C0")&gt;0,0,""))))),IF(AND((COUNTIFS($A$2:$A$200,$A139,$D$2:$D$200,"*novo*",$N$2:$N$200,"C0")+COUNTIFS($A$2:$A$200,$A139,$D$2:$D$200,"*novo*",$N$2:$N$200,"C1")+COUNTIFS($A$2:$A$200,$A139,$D$2:$D$200,"*novo*",$N$2:$N$200,"C2")+COUNTIFS($A$2:$A$200,$A139,$D$2:$D$200,"*novo*",$N$2:$N$200,"C3")+COUNTIFS($A$2:$A$200,$A139,$D$2:$D$200,"*novo*",$N$2:$N$200,"C4"))=0,INDEX(posicao_contratual!$Y$2:$Y$200,MATCH($A139,posicao_contratual!$A$2:$A$200,0))=0),0,"")),"")</f>
        <v/>
      </c>
    </row>
    <row r="140" spans="1:15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IF(OR($A140="",$C140=""),"",IF(OR(($O140)="",($O140)&gt;(MIN(MATCH($C140,{"C0","C1","C2","C3","C4"},0)-1,COUNT(parametros!$F$2:$F$6)-1)),NOT(ISNUMBER(INDEX(parametros!$F$2:$F$6,(MIN(MATCH($C140,{"C0","C1","C2","C3","C4"},0)-1,COUNT(parametros!$F$2:$F$6)-1))+1))),NOT(ISNUMBER(INDEX(parametros!$F$2:$F$6,($O140)+1)))),"",INDEX(parametros!$F$2:$F$6,(MIN(MATCH($C140,{"C0","C1","C2","C3","C4"},0)-1,COUNT(parametros!$F$2:$F$6)-1))+1)/INDEX(parametros!$F$2:$F$6,($O140)+1))),"")</f>
        <v/>
      </c>
      <c r="J140" s="107" t="str">
        <f>IF(OR(L140="",F140=""),"",IF(UPPER(H140)="SIM",IF(ISNUMBER(I140),ROUND(L140*ROUND(F140*I140,2),2),""),ROUND(L140*F140,2)))</f>
        <v/>
      </c>
      <c r="K140" s="105"/>
      <c r="L140" s="85" t="str">
        <f t="shared" si="9"/>
        <v/>
      </c>
      <c r="M140" s="606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TIPO_INVALIDO",IF(AND(ISNUMBER(SEARCH("NOVO",D140)),OR(INDEX(posicao_contratual!$C$2:$C$200,MATCH(A140,posicao_contratual!$A$2:$A$200,0))&lt;&gt;0,F140="",COUNTIFS($A$2:$A$200,A140,$B$2:$B$200,"&lt;"&amp;B140,$L$2:$L$200,"&gt;0")&gt;0)),"ALERTA: NOVO ITEM INVALIDO - use Acrescimo se o item ja existia; novo item exige QTD_BASE_ORIGINAL 0, VU_ORIGINAL e ser o 1o acrescimo do item.",IF(AND(ISNUMBER(SEARCH("NOVO",D140)),OR(N140="",ISERROR(MATCH(N140,{"C0","C1","C2","C3","C4"},0)))),"ALERTA: BASE_VU_OBRIGATORIA",IF(AND(NOT(ISNUMBER(SEARCH("NOVO",D140))),N140&lt;&gt;""),"ALERTA: BASE_VU_NAO_APLICAVEL",IF(AND(UPPER(H140)="SIM",NOT(ISNUMBER(I140))),"ALERTA: BASE_VU_INVALIDA_OU_POSTERIOR_AO_FATOR_ALVO","OK"))))))))))</f>
        <v/>
      </c>
      <c r="N140" s="608"/>
      <c r="O140" s="610" t="str">
        <f>IFERROR(IF((COUNTIFS($A$2:$A$200,$A140,$D$2:$D$200,"*novo*",$N$2:$N$200,"C0")+COUNTIFS($A$2:$A$200,$A140,$D$2:$D$200,"*novo*",$N$2:$N$200,"C1")+COUNTIFS($A$2:$A$200,$A140,$D$2:$D$200,"*novo*",$N$2:$N$200,"C2")+COUNTIFS($A$2:$A$200,$A140,$D$2:$D$200,"*novo*",$N$2:$N$200,"C3")+COUNTIFS($A$2:$A$200,$A140,$D$2:$D$200,"*novo*",$N$2:$N$200,"C4"))=1,IF(COUNTIFS($A$2:$A$200,$A140,$D$2:$D$200,"*novo*",$N$2:$N$200,"C4")&gt;0,4,IF(COUNTIFS($A$2:$A$200,$A140,$D$2:$D$200,"*novo*",$N$2:$N$200,"C3")&gt;0,3,IF(COUNTIFS($A$2:$A$200,$A140,$D$2:$D$200,"*novo*",$N$2:$N$200,"C2")&gt;0,2,IF(COUNTIFS($A$2:$A$200,$A140,$D$2:$D$200,"*novo*",$N$2:$N$200,"C1")&gt;0,1,IF(COUNTIFS($A$2:$A$200,$A140,$D$2:$D$200,"*novo*",$N$2:$N$200,"C0")&gt;0,0,""))))),IF(AND((COUNTIFS($A$2:$A$200,$A140,$D$2:$D$200,"*novo*",$N$2:$N$200,"C0")+COUNTIFS($A$2:$A$200,$A140,$D$2:$D$200,"*novo*",$N$2:$N$200,"C1")+COUNTIFS($A$2:$A$200,$A140,$D$2:$D$200,"*novo*",$N$2:$N$200,"C2")+COUNTIFS($A$2:$A$200,$A140,$D$2:$D$200,"*novo*",$N$2:$N$200,"C3")+COUNTIFS($A$2:$A$200,$A140,$D$2:$D$200,"*novo*",$N$2:$N$200,"C4"))=0,INDEX(posicao_contratual!$Y$2:$Y$200,MATCH($A140,posicao_contratual!$A$2:$A$200,0))=0),0,"")),"")</f>
        <v/>
      </c>
    </row>
    <row r="141" spans="1:15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IF(OR($A141="",$C141=""),"",IF(OR(($O141)="",($O141)&gt;(MIN(MATCH($C141,{"C0","C1","C2","C3","C4"},0)-1,COUNT(parametros!$F$2:$F$6)-1)),NOT(ISNUMBER(INDEX(parametros!$F$2:$F$6,(MIN(MATCH($C141,{"C0","C1","C2","C3","C4"},0)-1,COUNT(parametros!$F$2:$F$6)-1))+1))),NOT(ISNUMBER(INDEX(parametros!$F$2:$F$6,($O141)+1)))),"",INDEX(parametros!$F$2:$F$6,(MIN(MATCH($C141,{"C0","C1","C2","C3","C4"},0)-1,COUNT(parametros!$F$2:$F$6)-1))+1)/INDEX(parametros!$F$2:$F$6,($O141)+1))),"")</f>
        <v/>
      </c>
      <c r="J141" s="107" t="str">
        <f>IF(OR(L141="",F141=""),"",IF(UPPER(H141)="SIM",IF(ISNUMBER(I141),ROUND(L141*ROUND(F141*I141,2),2),""),ROUND(L141*F141,2)))</f>
        <v/>
      </c>
      <c r="K141" s="105"/>
      <c r="L141" s="85" t="str">
        <f t="shared" si="9"/>
        <v/>
      </c>
      <c r="M141" s="606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TIPO_INVALIDO",IF(AND(ISNUMBER(SEARCH("NOVO",D141)),OR(INDEX(posicao_contratual!$C$2:$C$200,MATCH(A141,posicao_contratual!$A$2:$A$200,0))&lt;&gt;0,F141="",COUNTIFS($A$2:$A$200,A141,$B$2:$B$200,"&lt;"&amp;B141,$L$2:$L$200,"&gt;0")&gt;0)),"ALERTA: NOVO ITEM INVALIDO - use Acrescimo se o item ja existia; novo item exige QTD_BASE_ORIGINAL 0, VU_ORIGINAL e ser o 1o acrescimo do item.",IF(AND(ISNUMBER(SEARCH("NOVO",D141)),OR(N141="",ISERROR(MATCH(N141,{"C0","C1","C2","C3","C4"},0)))),"ALERTA: BASE_VU_OBRIGATORIA",IF(AND(NOT(ISNUMBER(SEARCH("NOVO",D141))),N141&lt;&gt;""),"ALERTA: BASE_VU_NAO_APLICAVEL",IF(AND(UPPER(H141)="SIM",NOT(ISNUMBER(I141))),"ALERTA: BASE_VU_INVALIDA_OU_POSTERIOR_AO_FATOR_ALVO","OK"))))))))))</f>
        <v/>
      </c>
      <c r="N141" s="608"/>
      <c r="O141" s="610" t="str">
        <f>IFERROR(IF((COUNTIFS($A$2:$A$200,$A141,$D$2:$D$200,"*novo*",$N$2:$N$200,"C0")+COUNTIFS($A$2:$A$200,$A141,$D$2:$D$200,"*novo*",$N$2:$N$200,"C1")+COUNTIFS($A$2:$A$200,$A141,$D$2:$D$200,"*novo*",$N$2:$N$200,"C2")+COUNTIFS($A$2:$A$200,$A141,$D$2:$D$200,"*novo*",$N$2:$N$200,"C3")+COUNTIFS($A$2:$A$200,$A141,$D$2:$D$200,"*novo*",$N$2:$N$200,"C4"))=1,IF(COUNTIFS($A$2:$A$200,$A141,$D$2:$D$200,"*novo*",$N$2:$N$200,"C4")&gt;0,4,IF(COUNTIFS($A$2:$A$200,$A141,$D$2:$D$200,"*novo*",$N$2:$N$200,"C3")&gt;0,3,IF(COUNTIFS($A$2:$A$200,$A141,$D$2:$D$200,"*novo*",$N$2:$N$200,"C2")&gt;0,2,IF(COUNTIFS($A$2:$A$200,$A141,$D$2:$D$200,"*novo*",$N$2:$N$200,"C1")&gt;0,1,IF(COUNTIFS($A$2:$A$200,$A141,$D$2:$D$200,"*novo*",$N$2:$N$200,"C0")&gt;0,0,""))))),IF(AND((COUNTIFS($A$2:$A$200,$A141,$D$2:$D$200,"*novo*",$N$2:$N$200,"C0")+COUNTIFS($A$2:$A$200,$A141,$D$2:$D$200,"*novo*",$N$2:$N$200,"C1")+COUNTIFS($A$2:$A$200,$A141,$D$2:$D$200,"*novo*",$N$2:$N$200,"C2")+COUNTIFS($A$2:$A$200,$A141,$D$2:$D$200,"*novo*",$N$2:$N$200,"C3")+COUNTIFS($A$2:$A$200,$A141,$D$2:$D$200,"*novo*",$N$2:$N$200,"C4"))=0,INDEX(posicao_contratual!$Y$2:$Y$200,MATCH($A141,posicao_contratual!$A$2:$A$200,0))=0),0,"")),"")</f>
        <v/>
      </c>
    </row>
    <row r="142" spans="1:15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IF(OR($A142="",$C142=""),"",IF(OR(($O142)="",($O142)&gt;(MIN(MATCH($C142,{"C0","C1","C2","C3","C4"},0)-1,COUNT(parametros!$F$2:$F$6)-1)),NOT(ISNUMBER(INDEX(parametros!$F$2:$F$6,(MIN(MATCH($C142,{"C0","C1","C2","C3","C4"},0)-1,COUNT(parametros!$F$2:$F$6)-1))+1))),NOT(ISNUMBER(INDEX(parametros!$F$2:$F$6,($O142)+1)))),"",INDEX(parametros!$F$2:$F$6,(MIN(MATCH($C142,{"C0","C1","C2","C3","C4"},0)-1,COUNT(parametros!$F$2:$F$6)-1))+1)/INDEX(parametros!$F$2:$F$6,($O142)+1))),"")</f>
        <v/>
      </c>
      <c r="J142" s="107" t="str">
        <f>IF(OR(L142="",F142=""),"",IF(UPPER(H142)="SIM",IF(ISNUMBER(I142),ROUND(L142*ROUND(F142*I142,2),2),""),ROUND(L142*F142,2)))</f>
        <v/>
      </c>
      <c r="K142" s="105"/>
      <c r="L142" s="85" t="str">
        <f t="shared" si="9"/>
        <v/>
      </c>
      <c r="M142" s="606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TIPO_INVALIDO",IF(AND(ISNUMBER(SEARCH("NOVO",D142)),OR(INDEX(posicao_contratual!$C$2:$C$200,MATCH(A142,posicao_contratual!$A$2:$A$200,0))&lt;&gt;0,F142="",COUNTIFS($A$2:$A$200,A142,$B$2:$B$200,"&lt;"&amp;B142,$L$2:$L$200,"&gt;0")&gt;0)),"ALERTA: NOVO ITEM INVALIDO - use Acrescimo se o item ja existia; novo item exige QTD_BASE_ORIGINAL 0, VU_ORIGINAL e ser o 1o acrescimo do item.",IF(AND(ISNUMBER(SEARCH("NOVO",D142)),OR(N142="",ISERROR(MATCH(N142,{"C0","C1","C2","C3","C4"},0)))),"ALERTA: BASE_VU_OBRIGATORIA",IF(AND(NOT(ISNUMBER(SEARCH("NOVO",D142))),N142&lt;&gt;""),"ALERTA: BASE_VU_NAO_APLICAVEL",IF(AND(UPPER(H142)="SIM",NOT(ISNUMBER(I142))),"ALERTA: BASE_VU_INVALIDA_OU_POSTERIOR_AO_FATOR_ALVO","OK"))))))))))</f>
        <v/>
      </c>
      <c r="N142" s="608"/>
      <c r="O142" s="610" t="str">
        <f>IFERROR(IF((COUNTIFS($A$2:$A$200,$A142,$D$2:$D$200,"*novo*",$N$2:$N$200,"C0")+COUNTIFS($A$2:$A$200,$A142,$D$2:$D$200,"*novo*",$N$2:$N$200,"C1")+COUNTIFS($A$2:$A$200,$A142,$D$2:$D$200,"*novo*",$N$2:$N$200,"C2")+COUNTIFS($A$2:$A$200,$A142,$D$2:$D$200,"*novo*",$N$2:$N$200,"C3")+COUNTIFS($A$2:$A$200,$A142,$D$2:$D$200,"*novo*",$N$2:$N$200,"C4"))=1,IF(COUNTIFS($A$2:$A$200,$A142,$D$2:$D$200,"*novo*",$N$2:$N$200,"C4")&gt;0,4,IF(COUNTIFS($A$2:$A$200,$A142,$D$2:$D$200,"*novo*",$N$2:$N$200,"C3")&gt;0,3,IF(COUNTIFS($A$2:$A$200,$A142,$D$2:$D$200,"*novo*",$N$2:$N$200,"C2")&gt;0,2,IF(COUNTIFS($A$2:$A$200,$A142,$D$2:$D$200,"*novo*",$N$2:$N$200,"C1")&gt;0,1,IF(COUNTIFS($A$2:$A$200,$A142,$D$2:$D$200,"*novo*",$N$2:$N$200,"C0")&gt;0,0,""))))),IF(AND((COUNTIFS($A$2:$A$200,$A142,$D$2:$D$200,"*novo*",$N$2:$N$200,"C0")+COUNTIFS($A$2:$A$200,$A142,$D$2:$D$200,"*novo*",$N$2:$N$200,"C1")+COUNTIFS($A$2:$A$200,$A142,$D$2:$D$200,"*novo*",$N$2:$N$200,"C2")+COUNTIFS($A$2:$A$200,$A142,$D$2:$D$200,"*novo*",$N$2:$N$200,"C3")+COUNTIFS($A$2:$A$200,$A142,$D$2:$D$200,"*novo*",$N$2:$N$200,"C4"))=0,INDEX(posicao_contratual!$Y$2:$Y$200,MATCH($A142,posicao_contratual!$A$2:$A$200,0))=0),0,"")),"")</f>
        <v/>
      </c>
    </row>
    <row r="143" spans="1:15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IF(OR($A143="",$C143=""),"",IF(OR(($O143)="",($O143)&gt;(MIN(MATCH($C143,{"C0","C1","C2","C3","C4"},0)-1,COUNT(parametros!$F$2:$F$6)-1)),NOT(ISNUMBER(INDEX(parametros!$F$2:$F$6,(MIN(MATCH($C143,{"C0","C1","C2","C3","C4"},0)-1,COUNT(parametros!$F$2:$F$6)-1))+1))),NOT(ISNUMBER(INDEX(parametros!$F$2:$F$6,($O143)+1)))),"",INDEX(parametros!$F$2:$F$6,(MIN(MATCH($C143,{"C0","C1","C2","C3","C4"},0)-1,COUNT(parametros!$F$2:$F$6)-1))+1)/INDEX(parametros!$F$2:$F$6,($O143)+1))),"")</f>
        <v/>
      </c>
      <c r="J143" s="107" t="str">
        <f>IF(OR(L143="",F143=""),"",IF(UPPER(H143)="SIM",IF(ISNUMBER(I143),ROUND(L143*ROUND(F143*I143,2),2),""),ROUND(L143*F143,2)))</f>
        <v/>
      </c>
      <c r="K143" s="105"/>
      <c r="L143" s="85" t="str">
        <f t="shared" si="9"/>
        <v/>
      </c>
      <c r="M143" s="606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TIPO_INVALIDO",IF(AND(ISNUMBER(SEARCH("NOVO",D143)),OR(INDEX(posicao_contratual!$C$2:$C$200,MATCH(A143,posicao_contratual!$A$2:$A$200,0))&lt;&gt;0,F143="",COUNTIFS($A$2:$A$200,A143,$B$2:$B$200,"&lt;"&amp;B143,$L$2:$L$200,"&gt;0")&gt;0)),"ALERTA: NOVO ITEM INVALIDO - use Acrescimo se o item ja existia; novo item exige QTD_BASE_ORIGINAL 0, VU_ORIGINAL e ser o 1o acrescimo do item.",IF(AND(ISNUMBER(SEARCH("NOVO",D143)),OR(N143="",ISERROR(MATCH(N143,{"C0","C1","C2","C3","C4"},0)))),"ALERTA: BASE_VU_OBRIGATORIA",IF(AND(NOT(ISNUMBER(SEARCH("NOVO",D143))),N143&lt;&gt;""),"ALERTA: BASE_VU_NAO_APLICAVEL",IF(AND(UPPER(H143)="SIM",NOT(ISNUMBER(I143))),"ALERTA: BASE_VU_INVALIDA_OU_POSTERIOR_AO_FATOR_ALVO","OK"))))))))))</f>
        <v/>
      </c>
      <c r="N143" s="608"/>
      <c r="O143" s="610" t="str">
        <f>IFERROR(IF((COUNTIFS($A$2:$A$200,$A143,$D$2:$D$200,"*novo*",$N$2:$N$200,"C0")+COUNTIFS($A$2:$A$200,$A143,$D$2:$D$200,"*novo*",$N$2:$N$200,"C1")+COUNTIFS($A$2:$A$200,$A143,$D$2:$D$200,"*novo*",$N$2:$N$200,"C2")+COUNTIFS($A$2:$A$200,$A143,$D$2:$D$200,"*novo*",$N$2:$N$200,"C3")+COUNTIFS($A$2:$A$200,$A143,$D$2:$D$200,"*novo*",$N$2:$N$200,"C4"))=1,IF(COUNTIFS($A$2:$A$200,$A143,$D$2:$D$200,"*novo*",$N$2:$N$200,"C4")&gt;0,4,IF(COUNTIFS($A$2:$A$200,$A143,$D$2:$D$200,"*novo*",$N$2:$N$200,"C3")&gt;0,3,IF(COUNTIFS($A$2:$A$200,$A143,$D$2:$D$200,"*novo*",$N$2:$N$200,"C2")&gt;0,2,IF(COUNTIFS($A$2:$A$200,$A143,$D$2:$D$200,"*novo*",$N$2:$N$200,"C1")&gt;0,1,IF(COUNTIFS($A$2:$A$200,$A143,$D$2:$D$200,"*novo*",$N$2:$N$200,"C0")&gt;0,0,""))))),IF(AND((COUNTIFS($A$2:$A$200,$A143,$D$2:$D$200,"*novo*",$N$2:$N$200,"C0")+COUNTIFS($A$2:$A$200,$A143,$D$2:$D$200,"*novo*",$N$2:$N$200,"C1")+COUNTIFS($A$2:$A$200,$A143,$D$2:$D$200,"*novo*",$N$2:$N$200,"C2")+COUNTIFS($A$2:$A$200,$A143,$D$2:$D$200,"*novo*",$N$2:$N$200,"C3")+COUNTIFS($A$2:$A$200,$A143,$D$2:$D$200,"*novo*",$N$2:$N$200,"C4"))=0,INDEX(posicao_contratual!$Y$2:$Y$200,MATCH($A143,posicao_contratual!$A$2:$A$200,0))=0),0,"")),"")</f>
        <v/>
      </c>
    </row>
    <row r="144" spans="1:15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IF(OR($A144="",$C144=""),"",IF(OR(($O144)="",($O144)&gt;(MIN(MATCH($C144,{"C0","C1","C2","C3","C4"},0)-1,COUNT(parametros!$F$2:$F$6)-1)),NOT(ISNUMBER(INDEX(parametros!$F$2:$F$6,(MIN(MATCH($C144,{"C0","C1","C2","C3","C4"},0)-1,COUNT(parametros!$F$2:$F$6)-1))+1))),NOT(ISNUMBER(INDEX(parametros!$F$2:$F$6,($O144)+1)))),"",INDEX(parametros!$F$2:$F$6,(MIN(MATCH($C144,{"C0","C1","C2","C3","C4"},0)-1,COUNT(parametros!$F$2:$F$6)-1))+1)/INDEX(parametros!$F$2:$F$6,($O144)+1))),"")</f>
        <v/>
      </c>
      <c r="J144" s="107" t="str">
        <f>IF(OR(L144="",F144=""),"",IF(UPPER(H144)="SIM",IF(ISNUMBER(I144),ROUND(L144*ROUND(F144*I144,2),2),""),ROUND(L144*F144,2)))</f>
        <v/>
      </c>
      <c r="K144" s="105"/>
      <c r="L144" s="85" t="str">
        <f t="shared" si="9"/>
        <v/>
      </c>
      <c r="M144" s="606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TIPO_INVALIDO",IF(AND(ISNUMBER(SEARCH("NOVO",D144)),OR(INDEX(posicao_contratual!$C$2:$C$200,MATCH(A144,posicao_contratual!$A$2:$A$200,0))&lt;&gt;0,F144="",COUNTIFS($A$2:$A$200,A144,$B$2:$B$200,"&lt;"&amp;B144,$L$2:$L$200,"&gt;0")&gt;0)),"ALERTA: NOVO ITEM INVALIDO - use Acrescimo se o item ja existia; novo item exige QTD_BASE_ORIGINAL 0, VU_ORIGINAL e ser o 1o acrescimo do item.",IF(AND(ISNUMBER(SEARCH("NOVO",D144)),OR(N144="",ISERROR(MATCH(N144,{"C0","C1","C2","C3","C4"},0)))),"ALERTA: BASE_VU_OBRIGATORIA",IF(AND(NOT(ISNUMBER(SEARCH("NOVO",D144))),N144&lt;&gt;""),"ALERTA: BASE_VU_NAO_APLICAVEL",IF(AND(UPPER(H144)="SIM",NOT(ISNUMBER(I144))),"ALERTA: BASE_VU_INVALIDA_OU_POSTERIOR_AO_FATOR_ALVO","OK"))))))))))</f>
        <v/>
      </c>
      <c r="N144" s="608"/>
      <c r="O144" s="610" t="str">
        <f>IFERROR(IF((COUNTIFS($A$2:$A$200,$A144,$D$2:$D$200,"*novo*",$N$2:$N$200,"C0")+COUNTIFS($A$2:$A$200,$A144,$D$2:$D$200,"*novo*",$N$2:$N$200,"C1")+COUNTIFS($A$2:$A$200,$A144,$D$2:$D$200,"*novo*",$N$2:$N$200,"C2")+COUNTIFS($A$2:$A$200,$A144,$D$2:$D$200,"*novo*",$N$2:$N$200,"C3")+COUNTIFS($A$2:$A$200,$A144,$D$2:$D$200,"*novo*",$N$2:$N$200,"C4"))=1,IF(COUNTIFS($A$2:$A$200,$A144,$D$2:$D$200,"*novo*",$N$2:$N$200,"C4")&gt;0,4,IF(COUNTIFS($A$2:$A$200,$A144,$D$2:$D$200,"*novo*",$N$2:$N$200,"C3")&gt;0,3,IF(COUNTIFS($A$2:$A$200,$A144,$D$2:$D$200,"*novo*",$N$2:$N$200,"C2")&gt;0,2,IF(COUNTIFS($A$2:$A$200,$A144,$D$2:$D$200,"*novo*",$N$2:$N$200,"C1")&gt;0,1,IF(COUNTIFS($A$2:$A$200,$A144,$D$2:$D$200,"*novo*",$N$2:$N$200,"C0")&gt;0,0,""))))),IF(AND((COUNTIFS($A$2:$A$200,$A144,$D$2:$D$200,"*novo*",$N$2:$N$200,"C0")+COUNTIFS($A$2:$A$200,$A144,$D$2:$D$200,"*novo*",$N$2:$N$200,"C1")+COUNTIFS($A$2:$A$200,$A144,$D$2:$D$200,"*novo*",$N$2:$N$200,"C2")+COUNTIFS($A$2:$A$200,$A144,$D$2:$D$200,"*novo*",$N$2:$N$200,"C3")+COUNTIFS($A$2:$A$200,$A144,$D$2:$D$200,"*novo*",$N$2:$N$200,"C4"))=0,INDEX(posicao_contratual!$Y$2:$Y$200,MATCH($A144,posicao_contratual!$A$2:$A$200,0))=0),0,"")),"")</f>
        <v/>
      </c>
    </row>
    <row r="145" spans="1:15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IF(OR($A145="",$C145=""),"",IF(OR(($O145)="",($O145)&gt;(MIN(MATCH($C145,{"C0","C1","C2","C3","C4"},0)-1,COUNT(parametros!$F$2:$F$6)-1)),NOT(ISNUMBER(INDEX(parametros!$F$2:$F$6,(MIN(MATCH($C145,{"C0","C1","C2","C3","C4"},0)-1,COUNT(parametros!$F$2:$F$6)-1))+1))),NOT(ISNUMBER(INDEX(parametros!$F$2:$F$6,($O145)+1)))),"",INDEX(parametros!$F$2:$F$6,(MIN(MATCH($C145,{"C0","C1","C2","C3","C4"},0)-1,COUNT(parametros!$F$2:$F$6)-1))+1)/INDEX(parametros!$F$2:$F$6,($O145)+1))),"")</f>
        <v/>
      </c>
      <c r="J145" s="107" t="str">
        <f>IF(OR(L145="",F145=""),"",IF(UPPER(H145)="SIM",IF(ISNUMBER(I145),ROUND(L145*ROUND(F145*I145,2),2),""),ROUND(L145*F145,2)))</f>
        <v/>
      </c>
      <c r="K145" s="105"/>
      <c r="L145" s="85" t="str">
        <f t="shared" si="9"/>
        <v/>
      </c>
      <c r="M145" s="606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TIPO_INVALIDO",IF(AND(ISNUMBER(SEARCH("NOVO",D145)),OR(INDEX(posicao_contratual!$C$2:$C$200,MATCH(A145,posicao_contratual!$A$2:$A$200,0))&lt;&gt;0,F145="",COUNTIFS($A$2:$A$200,A145,$B$2:$B$200,"&lt;"&amp;B145,$L$2:$L$200,"&gt;0")&gt;0)),"ALERTA: NOVO ITEM INVALIDO - use Acrescimo se o item ja existia; novo item exige QTD_BASE_ORIGINAL 0, VU_ORIGINAL e ser o 1o acrescimo do item.",IF(AND(ISNUMBER(SEARCH("NOVO",D145)),OR(N145="",ISERROR(MATCH(N145,{"C0","C1","C2","C3","C4"},0)))),"ALERTA: BASE_VU_OBRIGATORIA",IF(AND(NOT(ISNUMBER(SEARCH("NOVO",D145))),N145&lt;&gt;""),"ALERTA: BASE_VU_NAO_APLICAVEL",IF(AND(UPPER(H145)="SIM",NOT(ISNUMBER(I145))),"ALERTA: BASE_VU_INVALIDA_OU_POSTERIOR_AO_FATOR_ALVO","OK"))))))))))</f>
        <v/>
      </c>
      <c r="N145" s="608"/>
      <c r="O145" s="610" t="str">
        <f>IFERROR(IF((COUNTIFS($A$2:$A$200,$A145,$D$2:$D$200,"*novo*",$N$2:$N$200,"C0")+COUNTIFS($A$2:$A$200,$A145,$D$2:$D$200,"*novo*",$N$2:$N$200,"C1")+COUNTIFS($A$2:$A$200,$A145,$D$2:$D$200,"*novo*",$N$2:$N$200,"C2")+COUNTIFS($A$2:$A$200,$A145,$D$2:$D$200,"*novo*",$N$2:$N$200,"C3")+COUNTIFS($A$2:$A$200,$A145,$D$2:$D$200,"*novo*",$N$2:$N$200,"C4"))=1,IF(COUNTIFS($A$2:$A$200,$A145,$D$2:$D$200,"*novo*",$N$2:$N$200,"C4")&gt;0,4,IF(COUNTIFS($A$2:$A$200,$A145,$D$2:$D$200,"*novo*",$N$2:$N$200,"C3")&gt;0,3,IF(COUNTIFS($A$2:$A$200,$A145,$D$2:$D$200,"*novo*",$N$2:$N$200,"C2")&gt;0,2,IF(COUNTIFS($A$2:$A$200,$A145,$D$2:$D$200,"*novo*",$N$2:$N$200,"C1")&gt;0,1,IF(COUNTIFS($A$2:$A$200,$A145,$D$2:$D$200,"*novo*",$N$2:$N$200,"C0")&gt;0,0,""))))),IF(AND((COUNTIFS($A$2:$A$200,$A145,$D$2:$D$200,"*novo*",$N$2:$N$200,"C0")+COUNTIFS($A$2:$A$200,$A145,$D$2:$D$200,"*novo*",$N$2:$N$200,"C1")+COUNTIFS($A$2:$A$200,$A145,$D$2:$D$200,"*novo*",$N$2:$N$200,"C2")+COUNTIFS($A$2:$A$200,$A145,$D$2:$D$200,"*novo*",$N$2:$N$200,"C3")+COUNTIFS($A$2:$A$200,$A145,$D$2:$D$200,"*novo*",$N$2:$N$200,"C4"))=0,INDEX(posicao_contratual!$Y$2:$Y$200,MATCH($A145,posicao_contratual!$A$2:$A$200,0))=0),0,"")),"")</f>
        <v/>
      </c>
    </row>
    <row r="146" spans="1:15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IF(OR($A146="",$C146=""),"",IF(OR(($O146)="",($O146)&gt;(MIN(MATCH($C146,{"C0","C1","C2","C3","C4"},0)-1,COUNT(parametros!$F$2:$F$6)-1)),NOT(ISNUMBER(INDEX(parametros!$F$2:$F$6,(MIN(MATCH($C146,{"C0","C1","C2","C3","C4"},0)-1,COUNT(parametros!$F$2:$F$6)-1))+1))),NOT(ISNUMBER(INDEX(parametros!$F$2:$F$6,($O146)+1)))),"",INDEX(parametros!$F$2:$F$6,(MIN(MATCH($C146,{"C0","C1","C2","C3","C4"},0)-1,COUNT(parametros!$F$2:$F$6)-1))+1)/INDEX(parametros!$F$2:$F$6,($O146)+1))),"")</f>
        <v/>
      </c>
      <c r="J146" s="107" t="str">
        <f>IF(OR(L146="",F146=""),"",IF(UPPER(H146)="SIM",IF(ISNUMBER(I146),ROUND(L146*ROUND(F146*I146,2),2),""),ROUND(L146*F146,2)))</f>
        <v/>
      </c>
      <c r="K146" s="105"/>
      <c r="L146" s="85" t="str">
        <f t="shared" si="9"/>
        <v/>
      </c>
      <c r="M146" s="606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TIPO_INVALIDO",IF(AND(ISNUMBER(SEARCH("NOVO",D146)),OR(INDEX(posicao_contratual!$C$2:$C$200,MATCH(A146,posicao_contratual!$A$2:$A$200,0))&lt;&gt;0,F146="",COUNTIFS($A$2:$A$200,A146,$B$2:$B$200,"&lt;"&amp;B146,$L$2:$L$200,"&gt;0")&gt;0)),"ALERTA: NOVO ITEM INVALIDO - use Acrescimo se o item ja existia; novo item exige QTD_BASE_ORIGINAL 0, VU_ORIGINAL e ser o 1o acrescimo do item.",IF(AND(ISNUMBER(SEARCH("NOVO",D146)),OR(N146="",ISERROR(MATCH(N146,{"C0","C1","C2","C3","C4"},0)))),"ALERTA: BASE_VU_OBRIGATORIA",IF(AND(NOT(ISNUMBER(SEARCH("NOVO",D146))),N146&lt;&gt;""),"ALERTA: BASE_VU_NAO_APLICAVEL",IF(AND(UPPER(H146)="SIM",NOT(ISNUMBER(I146))),"ALERTA: BASE_VU_INVALIDA_OU_POSTERIOR_AO_FATOR_ALVO","OK"))))))))))</f>
        <v/>
      </c>
      <c r="N146" s="608"/>
      <c r="O146" s="610" t="str">
        <f>IFERROR(IF((COUNTIFS($A$2:$A$200,$A146,$D$2:$D$200,"*novo*",$N$2:$N$200,"C0")+COUNTIFS($A$2:$A$200,$A146,$D$2:$D$200,"*novo*",$N$2:$N$200,"C1")+COUNTIFS($A$2:$A$200,$A146,$D$2:$D$200,"*novo*",$N$2:$N$200,"C2")+COUNTIFS($A$2:$A$200,$A146,$D$2:$D$200,"*novo*",$N$2:$N$200,"C3")+COUNTIFS($A$2:$A$200,$A146,$D$2:$D$200,"*novo*",$N$2:$N$200,"C4"))=1,IF(COUNTIFS($A$2:$A$200,$A146,$D$2:$D$200,"*novo*",$N$2:$N$200,"C4")&gt;0,4,IF(COUNTIFS($A$2:$A$200,$A146,$D$2:$D$200,"*novo*",$N$2:$N$200,"C3")&gt;0,3,IF(COUNTIFS($A$2:$A$200,$A146,$D$2:$D$200,"*novo*",$N$2:$N$200,"C2")&gt;0,2,IF(COUNTIFS($A$2:$A$200,$A146,$D$2:$D$200,"*novo*",$N$2:$N$200,"C1")&gt;0,1,IF(COUNTIFS($A$2:$A$200,$A146,$D$2:$D$200,"*novo*",$N$2:$N$200,"C0")&gt;0,0,""))))),IF(AND((COUNTIFS($A$2:$A$200,$A146,$D$2:$D$200,"*novo*",$N$2:$N$200,"C0")+COUNTIFS($A$2:$A$200,$A146,$D$2:$D$200,"*novo*",$N$2:$N$200,"C1")+COUNTIFS($A$2:$A$200,$A146,$D$2:$D$200,"*novo*",$N$2:$N$200,"C2")+COUNTIFS($A$2:$A$200,$A146,$D$2:$D$200,"*novo*",$N$2:$N$200,"C3")+COUNTIFS($A$2:$A$200,$A146,$D$2:$D$200,"*novo*",$N$2:$N$200,"C4"))=0,INDEX(posicao_contratual!$Y$2:$Y$200,MATCH($A146,posicao_contratual!$A$2:$A$200,0))=0),0,"")),"")</f>
        <v/>
      </c>
    </row>
    <row r="147" spans="1:15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IF(OR($A147="",$C147=""),"",IF(OR(($O147)="",($O147)&gt;(MIN(MATCH($C147,{"C0","C1","C2","C3","C4"},0)-1,COUNT(parametros!$F$2:$F$6)-1)),NOT(ISNUMBER(INDEX(parametros!$F$2:$F$6,(MIN(MATCH($C147,{"C0","C1","C2","C3","C4"},0)-1,COUNT(parametros!$F$2:$F$6)-1))+1))),NOT(ISNUMBER(INDEX(parametros!$F$2:$F$6,($O147)+1)))),"",INDEX(parametros!$F$2:$F$6,(MIN(MATCH($C147,{"C0","C1","C2","C3","C4"},0)-1,COUNT(parametros!$F$2:$F$6)-1))+1)/INDEX(parametros!$F$2:$F$6,($O147)+1))),"")</f>
        <v/>
      </c>
      <c r="J147" s="107" t="str">
        <f>IF(OR(L147="",F147=""),"",IF(UPPER(H147)="SIM",IF(ISNUMBER(I147),ROUND(L147*ROUND(F147*I147,2),2),""),ROUND(L147*F147,2)))</f>
        <v/>
      </c>
      <c r="K147" s="105"/>
      <c r="L147" s="85" t="str">
        <f t="shared" si="9"/>
        <v/>
      </c>
      <c r="M147" s="606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TIPO_INVALIDO",IF(AND(ISNUMBER(SEARCH("NOVO",D147)),OR(INDEX(posicao_contratual!$C$2:$C$200,MATCH(A147,posicao_contratual!$A$2:$A$200,0))&lt;&gt;0,F147="",COUNTIFS($A$2:$A$200,A147,$B$2:$B$200,"&lt;"&amp;B147,$L$2:$L$200,"&gt;0")&gt;0)),"ALERTA: NOVO ITEM INVALIDO - use Acrescimo se o item ja existia; novo item exige QTD_BASE_ORIGINAL 0, VU_ORIGINAL e ser o 1o acrescimo do item.",IF(AND(ISNUMBER(SEARCH("NOVO",D147)),OR(N147="",ISERROR(MATCH(N147,{"C0","C1","C2","C3","C4"},0)))),"ALERTA: BASE_VU_OBRIGATORIA",IF(AND(NOT(ISNUMBER(SEARCH("NOVO",D147))),N147&lt;&gt;""),"ALERTA: BASE_VU_NAO_APLICAVEL",IF(AND(UPPER(H147)="SIM",NOT(ISNUMBER(I147))),"ALERTA: BASE_VU_INVALIDA_OU_POSTERIOR_AO_FATOR_ALVO","OK"))))))))))</f>
        <v/>
      </c>
      <c r="N147" s="608"/>
      <c r="O147" s="610" t="str">
        <f>IFERROR(IF((COUNTIFS($A$2:$A$200,$A147,$D$2:$D$200,"*novo*",$N$2:$N$200,"C0")+COUNTIFS($A$2:$A$200,$A147,$D$2:$D$200,"*novo*",$N$2:$N$200,"C1")+COUNTIFS($A$2:$A$200,$A147,$D$2:$D$200,"*novo*",$N$2:$N$200,"C2")+COUNTIFS($A$2:$A$200,$A147,$D$2:$D$200,"*novo*",$N$2:$N$200,"C3")+COUNTIFS($A$2:$A$200,$A147,$D$2:$D$200,"*novo*",$N$2:$N$200,"C4"))=1,IF(COUNTIFS($A$2:$A$200,$A147,$D$2:$D$200,"*novo*",$N$2:$N$200,"C4")&gt;0,4,IF(COUNTIFS($A$2:$A$200,$A147,$D$2:$D$200,"*novo*",$N$2:$N$200,"C3")&gt;0,3,IF(COUNTIFS($A$2:$A$200,$A147,$D$2:$D$200,"*novo*",$N$2:$N$200,"C2")&gt;0,2,IF(COUNTIFS($A$2:$A$200,$A147,$D$2:$D$200,"*novo*",$N$2:$N$200,"C1")&gt;0,1,IF(COUNTIFS($A$2:$A$200,$A147,$D$2:$D$200,"*novo*",$N$2:$N$200,"C0")&gt;0,0,""))))),IF(AND((COUNTIFS($A$2:$A$200,$A147,$D$2:$D$200,"*novo*",$N$2:$N$200,"C0")+COUNTIFS($A$2:$A$200,$A147,$D$2:$D$200,"*novo*",$N$2:$N$200,"C1")+COUNTIFS($A$2:$A$200,$A147,$D$2:$D$200,"*novo*",$N$2:$N$200,"C2")+COUNTIFS($A$2:$A$200,$A147,$D$2:$D$200,"*novo*",$N$2:$N$200,"C3")+COUNTIFS($A$2:$A$200,$A147,$D$2:$D$200,"*novo*",$N$2:$N$200,"C4"))=0,INDEX(posicao_contratual!$Y$2:$Y$200,MATCH($A147,posicao_contratual!$A$2:$A$200,0))=0),0,"")),"")</f>
        <v/>
      </c>
    </row>
    <row r="148" spans="1:15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IF(OR($A148="",$C148=""),"",IF(OR(($O148)="",($O148)&gt;(MIN(MATCH($C148,{"C0","C1","C2","C3","C4"},0)-1,COUNT(parametros!$F$2:$F$6)-1)),NOT(ISNUMBER(INDEX(parametros!$F$2:$F$6,(MIN(MATCH($C148,{"C0","C1","C2","C3","C4"},0)-1,COUNT(parametros!$F$2:$F$6)-1))+1))),NOT(ISNUMBER(INDEX(parametros!$F$2:$F$6,($O148)+1)))),"",INDEX(parametros!$F$2:$F$6,(MIN(MATCH($C148,{"C0","C1","C2","C3","C4"},0)-1,COUNT(parametros!$F$2:$F$6)-1))+1)/INDEX(parametros!$F$2:$F$6,($O148)+1))),"")</f>
        <v/>
      </c>
      <c r="J148" s="107" t="str">
        <f>IF(OR(L148="",F148=""),"",IF(UPPER(H148)="SIM",IF(ISNUMBER(I148),ROUND(L148*ROUND(F148*I148,2),2),""),ROUND(L148*F148,2)))</f>
        <v/>
      </c>
      <c r="K148" s="105"/>
      <c r="L148" s="85" t="str">
        <f t="shared" si="9"/>
        <v/>
      </c>
      <c r="M148" s="606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TIPO_INVALIDO",IF(AND(ISNUMBER(SEARCH("NOVO",D148)),OR(INDEX(posicao_contratual!$C$2:$C$200,MATCH(A148,posicao_contratual!$A$2:$A$200,0))&lt;&gt;0,F148="",COUNTIFS($A$2:$A$200,A148,$B$2:$B$200,"&lt;"&amp;B148,$L$2:$L$200,"&gt;0")&gt;0)),"ALERTA: NOVO ITEM INVALIDO - use Acrescimo se o item ja existia; novo item exige QTD_BASE_ORIGINAL 0, VU_ORIGINAL e ser o 1o acrescimo do item.",IF(AND(ISNUMBER(SEARCH("NOVO",D148)),OR(N148="",ISERROR(MATCH(N148,{"C0","C1","C2","C3","C4"},0)))),"ALERTA: BASE_VU_OBRIGATORIA",IF(AND(NOT(ISNUMBER(SEARCH("NOVO",D148))),N148&lt;&gt;""),"ALERTA: BASE_VU_NAO_APLICAVEL",IF(AND(UPPER(H148)="SIM",NOT(ISNUMBER(I148))),"ALERTA: BASE_VU_INVALIDA_OU_POSTERIOR_AO_FATOR_ALVO","OK"))))))))))</f>
        <v/>
      </c>
      <c r="N148" s="608"/>
      <c r="O148" s="610" t="str">
        <f>IFERROR(IF((COUNTIFS($A$2:$A$200,$A148,$D$2:$D$200,"*novo*",$N$2:$N$200,"C0")+COUNTIFS($A$2:$A$200,$A148,$D$2:$D$200,"*novo*",$N$2:$N$200,"C1")+COUNTIFS($A$2:$A$200,$A148,$D$2:$D$200,"*novo*",$N$2:$N$200,"C2")+COUNTIFS($A$2:$A$200,$A148,$D$2:$D$200,"*novo*",$N$2:$N$200,"C3")+COUNTIFS($A$2:$A$200,$A148,$D$2:$D$200,"*novo*",$N$2:$N$200,"C4"))=1,IF(COUNTIFS($A$2:$A$200,$A148,$D$2:$D$200,"*novo*",$N$2:$N$200,"C4")&gt;0,4,IF(COUNTIFS($A$2:$A$200,$A148,$D$2:$D$200,"*novo*",$N$2:$N$200,"C3")&gt;0,3,IF(COUNTIFS($A$2:$A$200,$A148,$D$2:$D$200,"*novo*",$N$2:$N$200,"C2")&gt;0,2,IF(COUNTIFS($A$2:$A$200,$A148,$D$2:$D$200,"*novo*",$N$2:$N$200,"C1")&gt;0,1,IF(COUNTIFS($A$2:$A$200,$A148,$D$2:$D$200,"*novo*",$N$2:$N$200,"C0")&gt;0,0,""))))),IF(AND((COUNTIFS($A$2:$A$200,$A148,$D$2:$D$200,"*novo*",$N$2:$N$200,"C0")+COUNTIFS($A$2:$A$200,$A148,$D$2:$D$200,"*novo*",$N$2:$N$200,"C1")+COUNTIFS($A$2:$A$200,$A148,$D$2:$D$200,"*novo*",$N$2:$N$200,"C2")+COUNTIFS($A$2:$A$200,$A148,$D$2:$D$200,"*novo*",$N$2:$N$200,"C3")+COUNTIFS($A$2:$A$200,$A148,$D$2:$D$200,"*novo*",$N$2:$N$200,"C4"))=0,INDEX(posicao_contratual!$Y$2:$Y$200,MATCH($A148,posicao_contratual!$A$2:$A$200,0))=0),0,"")),"")</f>
        <v/>
      </c>
    </row>
    <row r="149" spans="1:15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IF(OR($A149="",$C149=""),"",IF(OR(($O149)="",($O149)&gt;(MIN(MATCH($C149,{"C0","C1","C2","C3","C4"},0)-1,COUNT(parametros!$F$2:$F$6)-1)),NOT(ISNUMBER(INDEX(parametros!$F$2:$F$6,(MIN(MATCH($C149,{"C0","C1","C2","C3","C4"},0)-1,COUNT(parametros!$F$2:$F$6)-1))+1))),NOT(ISNUMBER(INDEX(parametros!$F$2:$F$6,($O149)+1)))),"",INDEX(parametros!$F$2:$F$6,(MIN(MATCH($C149,{"C0","C1","C2","C3","C4"},0)-1,COUNT(parametros!$F$2:$F$6)-1))+1)/INDEX(parametros!$F$2:$F$6,($O149)+1))),"")</f>
        <v/>
      </c>
      <c r="J149" s="107" t="str">
        <f>IF(OR(L149="",F149=""),"",IF(UPPER(H149)="SIM",IF(ISNUMBER(I149),ROUND(L149*ROUND(F149*I149,2),2),""),ROUND(L149*F149,2)))</f>
        <v/>
      </c>
      <c r="K149" s="105"/>
      <c r="L149" s="85" t="str">
        <f t="shared" si="9"/>
        <v/>
      </c>
      <c r="M149" s="606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TIPO_INVALIDO",IF(AND(ISNUMBER(SEARCH("NOVO",D149)),OR(INDEX(posicao_contratual!$C$2:$C$200,MATCH(A149,posicao_contratual!$A$2:$A$200,0))&lt;&gt;0,F149="",COUNTIFS($A$2:$A$200,A149,$B$2:$B$200,"&lt;"&amp;B149,$L$2:$L$200,"&gt;0")&gt;0)),"ALERTA: NOVO ITEM INVALIDO - use Acrescimo se o item ja existia; novo item exige QTD_BASE_ORIGINAL 0, VU_ORIGINAL e ser o 1o acrescimo do item.",IF(AND(ISNUMBER(SEARCH("NOVO",D149)),OR(N149="",ISERROR(MATCH(N149,{"C0","C1","C2","C3","C4"},0)))),"ALERTA: BASE_VU_OBRIGATORIA",IF(AND(NOT(ISNUMBER(SEARCH("NOVO",D149))),N149&lt;&gt;""),"ALERTA: BASE_VU_NAO_APLICAVEL",IF(AND(UPPER(H149)="SIM",NOT(ISNUMBER(I149))),"ALERTA: BASE_VU_INVALIDA_OU_POSTERIOR_AO_FATOR_ALVO","OK"))))))))))</f>
        <v/>
      </c>
      <c r="N149" s="608"/>
      <c r="O149" s="610" t="str">
        <f>IFERROR(IF((COUNTIFS($A$2:$A$200,$A149,$D$2:$D$200,"*novo*",$N$2:$N$200,"C0")+COUNTIFS($A$2:$A$200,$A149,$D$2:$D$200,"*novo*",$N$2:$N$200,"C1")+COUNTIFS($A$2:$A$200,$A149,$D$2:$D$200,"*novo*",$N$2:$N$200,"C2")+COUNTIFS($A$2:$A$200,$A149,$D$2:$D$200,"*novo*",$N$2:$N$200,"C3")+COUNTIFS($A$2:$A$200,$A149,$D$2:$D$200,"*novo*",$N$2:$N$200,"C4"))=1,IF(COUNTIFS($A$2:$A$200,$A149,$D$2:$D$200,"*novo*",$N$2:$N$200,"C4")&gt;0,4,IF(COUNTIFS($A$2:$A$200,$A149,$D$2:$D$200,"*novo*",$N$2:$N$200,"C3")&gt;0,3,IF(COUNTIFS($A$2:$A$200,$A149,$D$2:$D$200,"*novo*",$N$2:$N$200,"C2")&gt;0,2,IF(COUNTIFS($A$2:$A$200,$A149,$D$2:$D$200,"*novo*",$N$2:$N$200,"C1")&gt;0,1,IF(COUNTIFS($A$2:$A$200,$A149,$D$2:$D$200,"*novo*",$N$2:$N$200,"C0")&gt;0,0,""))))),IF(AND((COUNTIFS($A$2:$A$200,$A149,$D$2:$D$200,"*novo*",$N$2:$N$200,"C0")+COUNTIFS($A$2:$A$200,$A149,$D$2:$D$200,"*novo*",$N$2:$N$200,"C1")+COUNTIFS($A$2:$A$200,$A149,$D$2:$D$200,"*novo*",$N$2:$N$200,"C2")+COUNTIFS($A$2:$A$200,$A149,$D$2:$D$200,"*novo*",$N$2:$N$200,"C3")+COUNTIFS($A$2:$A$200,$A149,$D$2:$D$200,"*novo*",$N$2:$N$200,"C4"))=0,INDEX(posicao_contratual!$Y$2:$Y$200,MATCH($A149,posicao_contratual!$A$2:$A$200,0))=0),0,"")),"")</f>
        <v/>
      </c>
    </row>
    <row r="150" spans="1:15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IF(OR($A150="",$C150=""),"",IF(OR(($O150)="",($O150)&gt;(MIN(MATCH($C150,{"C0","C1","C2","C3","C4"},0)-1,COUNT(parametros!$F$2:$F$6)-1)),NOT(ISNUMBER(INDEX(parametros!$F$2:$F$6,(MIN(MATCH($C150,{"C0","C1","C2","C3","C4"},0)-1,COUNT(parametros!$F$2:$F$6)-1))+1))),NOT(ISNUMBER(INDEX(parametros!$F$2:$F$6,($O150)+1)))),"",INDEX(parametros!$F$2:$F$6,(MIN(MATCH($C150,{"C0","C1","C2","C3","C4"},0)-1,COUNT(parametros!$F$2:$F$6)-1))+1)/INDEX(parametros!$F$2:$F$6,($O150)+1))),"")</f>
        <v/>
      </c>
      <c r="J150" s="107" t="str">
        <f>IF(OR(L150="",F150=""),"",IF(UPPER(H150)="SIM",IF(ISNUMBER(I150),ROUND(L150*ROUND(F150*I150,2),2),""),ROUND(L150*F150,2)))</f>
        <v/>
      </c>
      <c r="K150" s="105"/>
      <c r="L150" s="85" t="str">
        <f t="shared" si="9"/>
        <v/>
      </c>
      <c r="M150" s="606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TIPO_INVALIDO",IF(AND(ISNUMBER(SEARCH("NOVO",D150)),OR(INDEX(posicao_contratual!$C$2:$C$200,MATCH(A150,posicao_contratual!$A$2:$A$200,0))&lt;&gt;0,F150="",COUNTIFS($A$2:$A$200,A150,$B$2:$B$200,"&lt;"&amp;B150,$L$2:$L$200,"&gt;0")&gt;0)),"ALERTA: NOVO ITEM INVALIDO - use Acrescimo se o item ja existia; novo item exige QTD_BASE_ORIGINAL 0, VU_ORIGINAL e ser o 1o acrescimo do item.",IF(AND(ISNUMBER(SEARCH("NOVO",D150)),OR(N150="",ISERROR(MATCH(N150,{"C0","C1","C2","C3","C4"},0)))),"ALERTA: BASE_VU_OBRIGATORIA",IF(AND(NOT(ISNUMBER(SEARCH("NOVO",D150))),N150&lt;&gt;""),"ALERTA: BASE_VU_NAO_APLICAVEL",IF(AND(UPPER(H150)="SIM",NOT(ISNUMBER(I150))),"ALERTA: BASE_VU_INVALIDA_OU_POSTERIOR_AO_FATOR_ALVO","OK"))))))))))</f>
        <v/>
      </c>
      <c r="N150" s="608"/>
      <c r="O150" s="610" t="str">
        <f>IFERROR(IF((COUNTIFS($A$2:$A$200,$A150,$D$2:$D$200,"*novo*",$N$2:$N$200,"C0")+COUNTIFS($A$2:$A$200,$A150,$D$2:$D$200,"*novo*",$N$2:$N$200,"C1")+COUNTIFS($A$2:$A$200,$A150,$D$2:$D$200,"*novo*",$N$2:$N$200,"C2")+COUNTIFS($A$2:$A$200,$A150,$D$2:$D$200,"*novo*",$N$2:$N$200,"C3")+COUNTIFS($A$2:$A$200,$A150,$D$2:$D$200,"*novo*",$N$2:$N$200,"C4"))=1,IF(COUNTIFS($A$2:$A$200,$A150,$D$2:$D$200,"*novo*",$N$2:$N$200,"C4")&gt;0,4,IF(COUNTIFS($A$2:$A$200,$A150,$D$2:$D$200,"*novo*",$N$2:$N$200,"C3")&gt;0,3,IF(COUNTIFS($A$2:$A$200,$A150,$D$2:$D$200,"*novo*",$N$2:$N$200,"C2")&gt;0,2,IF(COUNTIFS($A$2:$A$200,$A150,$D$2:$D$200,"*novo*",$N$2:$N$200,"C1")&gt;0,1,IF(COUNTIFS($A$2:$A$200,$A150,$D$2:$D$200,"*novo*",$N$2:$N$200,"C0")&gt;0,0,""))))),IF(AND((COUNTIFS($A$2:$A$200,$A150,$D$2:$D$200,"*novo*",$N$2:$N$200,"C0")+COUNTIFS($A$2:$A$200,$A150,$D$2:$D$200,"*novo*",$N$2:$N$200,"C1")+COUNTIFS($A$2:$A$200,$A150,$D$2:$D$200,"*novo*",$N$2:$N$200,"C2")+COUNTIFS($A$2:$A$200,$A150,$D$2:$D$200,"*novo*",$N$2:$N$200,"C3")+COUNTIFS($A$2:$A$200,$A150,$D$2:$D$200,"*novo*",$N$2:$N$200,"C4"))=0,INDEX(posicao_contratual!$Y$2:$Y$200,MATCH($A150,posicao_contratual!$A$2:$A$200,0))=0),0,"")),"")</f>
        <v/>
      </c>
    </row>
    <row r="151" spans="1:15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IF(OR($A151="",$C151=""),"",IF(OR(($O151)="",($O151)&gt;(MIN(MATCH($C151,{"C0","C1","C2","C3","C4"},0)-1,COUNT(parametros!$F$2:$F$6)-1)),NOT(ISNUMBER(INDEX(parametros!$F$2:$F$6,(MIN(MATCH($C151,{"C0","C1","C2","C3","C4"},0)-1,COUNT(parametros!$F$2:$F$6)-1))+1))),NOT(ISNUMBER(INDEX(parametros!$F$2:$F$6,($O151)+1)))),"",INDEX(parametros!$F$2:$F$6,(MIN(MATCH($C151,{"C0","C1","C2","C3","C4"},0)-1,COUNT(parametros!$F$2:$F$6)-1))+1)/INDEX(parametros!$F$2:$F$6,($O151)+1))),"")</f>
        <v/>
      </c>
      <c r="J151" s="107" t="str">
        <f>IF(OR(L151="",F151=""),"",IF(UPPER(H151)="SIM",IF(ISNUMBER(I151),ROUND(L151*ROUND(F151*I151,2),2),""),ROUND(L151*F151,2)))</f>
        <v/>
      </c>
      <c r="K151" s="105"/>
      <c r="L151" s="85" t="str">
        <f t="shared" si="9"/>
        <v/>
      </c>
      <c r="M151" s="606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TIPO_INVALIDO",IF(AND(ISNUMBER(SEARCH("NOVO",D151)),OR(INDEX(posicao_contratual!$C$2:$C$200,MATCH(A151,posicao_contratual!$A$2:$A$200,0))&lt;&gt;0,F151="",COUNTIFS($A$2:$A$200,A151,$B$2:$B$200,"&lt;"&amp;B151,$L$2:$L$200,"&gt;0")&gt;0)),"ALERTA: NOVO ITEM INVALIDO - use Acrescimo se o item ja existia; novo item exige QTD_BASE_ORIGINAL 0, VU_ORIGINAL e ser o 1o acrescimo do item.",IF(AND(ISNUMBER(SEARCH("NOVO",D151)),OR(N151="",ISERROR(MATCH(N151,{"C0","C1","C2","C3","C4"},0)))),"ALERTA: BASE_VU_OBRIGATORIA",IF(AND(NOT(ISNUMBER(SEARCH("NOVO",D151))),N151&lt;&gt;""),"ALERTA: BASE_VU_NAO_APLICAVEL",IF(AND(UPPER(H151)="SIM",NOT(ISNUMBER(I151))),"ALERTA: BASE_VU_INVALIDA_OU_POSTERIOR_AO_FATOR_ALVO","OK"))))))))))</f>
        <v/>
      </c>
      <c r="N151" s="608"/>
      <c r="O151" s="610" t="str">
        <f>IFERROR(IF((COUNTIFS($A$2:$A$200,$A151,$D$2:$D$200,"*novo*",$N$2:$N$200,"C0")+COUNTIFS($A$2:$A$200,$A151,$D$2:$D$200,"*novo*",$N$2:$N$200,"C1")+COUNTIFS($A$2:$A$200,$A151,$D$2:$D$200,"*novo*",$N$2:$N$200,"C2")+COUNTIFS($A$2:$A$200,$A151,$D$2:$D$200,"*novo*",$N$2:$N$200,"C3")+COUNTIFS($A$2:$A$200,$A151,$D$2:$D$200,"*novo*",$N$2:$N$200,"C4"))=1,IF(COUNTIFS($A$2:$A$200,$A151,$D$2:$D$200,"*novo*",$N$2:$N$200,"C4")&gt;0,4,IF(COUNTIFS($A$2:$A$200,$A151,$D$2:$D$200,"*novo*",$N$2:$N$200,"C3")&gt;0,3,IF(COUNTIFS($A$2:$A$200,$A151,$D$2:$D$200,"*novo*",$N$2:$N$200,"C2")&gt;0,2,IF(COUNTIFS($A$2:$A$200,$A151,$D$2:$D$200,"*novo*",$N$2:$N$200,"C1")&gt;0,1,IF(COUNTIFS($A$2:$A$200,$A151,$D$2:$D$200,"*novo*",$N$2:$N$200,"C0")&gt;0,0,""))))),IF(AND((COUNTIFS($A$2:$A$200,$A151,$D$2:$D$200,"*novo*",$N$2:$N$200,"C0")+COUNTIFS($A$2:$A$200,$A151,$D$2:$D$200,"*novo*",$N$2:$N$200,"C1")+COUNTIFS($A$2:$A$200,$A151,$D$2:$D$200,"*novo*",$N$2:$N$200,"C2")+COUNTIFS($A$2:$A$200,$A151,$D$2:$D$200,"*novo*",$N$2:$N$200,"C3")+COUNTIFS($A$2:$A$200,$A151,$D$2:$D$200,"*novo*",$N$2:$N$200,"C4"))=0,INDEX(posicao_contratual!$Y$2:$Y$200,MATCH($A151,posicao_contratual!$A$2:$A$200,0))=0),0,"")),"")</f>
        <v/>
      </c>
    </row>
    <row r="152" spans="1:15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IF(OR($A152="",$C152=""),"",IF(OR(($O152)="",($O152)&gt;(MIN(MATCH($C152,{"C0","C1","C2","C3","C4"},0)-1,COUNT(parametros!$F$2:$F$6)-1)),NOT(ISNUMBER(INDEX(parametros!$F$2:$F$6,(MIN(MATCH($C152,{"C0","C1","C2","C3","C4"},0)-1,COUNT(parametros!$F$2:$F$6)-1))+1))),NOT(ISNUMBER(INDEX(parametros!$F$2:$F$6,($O152)+1)))),"",INDEX(parametros!$F$2:$F$6,(MIN(MATCH($C152,{"C0","C1","C2","C3","C4"},0)-1,COUNT(parametros!$F$2:$F$6)-1))+1)/INDEX(parametros!$F$2:$F$6,($O152)+1))),"")</f>
        <v/>
      </c>
      <c r="J152" s="107" t="str">
        <f>IF(OR(L152="",F152=""),"",IF(UPPER(H152)="SIM",IF(ISNUMBER(I152),ROUND(L152*ROUND(F152*I152,2),2),""),ROUND(L152*F152,2)))</f>
        <v/>
      </c>
      <c r="K152" s="105"/>
      <c r="L152" s="85" t="str">
        <f t="shared" si="9"/>
        <v/>
      </c>
      <c r="M152" s="606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TIPO_INVALIDO",IF(AND(ISNUMBER(SEARCH("NOVO",D152)),OR(INDEX(posicao_contratual!$C$2:$C$200,MATCH(A152,posicao_contratual!$A$2:$A$200,0))&lt;&gt;0,F152="",COUNTIFS($A$2:$A$200,A152,$B$2:$B$200,"&lt;"&amp;B152,$L$2:$L$200,"&gt;0")&gt;0)),"ALERTA: NOVO ITEM INVALIDO - use Acrescimo se o item ja existia; novo item exige QTD_BASE_ORIGINAL 0, VU_ORIGINAL e ser o 1o acrescimo do item.",IF(AND(ISNUMBER(SEARCH("NOVO",D152)),OR(N152="",ISERROR(MATCH(N152,{"C0","C1","C2","C3","C4"},0)))),"ALERTA: BASE_VU_OBRIGATORIA",IF(AND(NOT(ISNUMBER(SEARCH("NOVO",D152))),N152&lt;&gt;""),"ALERTA: BASE_VU_NAO_APLICAVEL",IF(AND(UPPER(H152)="SIM",NOT(ISNUMBER(I152))),"ALERTA: BASE_VU_INVALIDA_OU_POSTERIOR_AO_FATOR_ALVO","OK"))))))))))</f>
        <v/>
      </c>
      <c r="N152" s="608"/>
      <c r="O152" s="610" t="str">
        <f>IFERROR(IF((COUNTIFS($A$2:$A$200,$A152,$D$2:$D$200,"*novo*",$N$2:$N$200,"C0")+COUNTIFS($A$2:$A$200,$A152,$D$2:$D$200,"*novo*",$N$2:$N$200,"C1")+COUNTIFS($A$2:$A$200,$A152,$D$2:$D$200,"*novo*",$N$2:$N$200,"C2")+COUNTIFS($A$2:$A$200,$A152,$D$2:$D$200,"*novo*",$N$2:$N$200,"C3")+COUNTIFS($A$2:$A$200,$A152,$D$2:$D$200,"*novo*",$N$2:$N$200,"C4"))=1,IF(COUNTIFS($A$2:$A$200,$A152,$D$2:$D$200,"*novo*",$N$2:$N$200,"C4")&gt;0,4,IF(COUNTIFS($A$2:$A$200,$A152,$D$2:$D$200,"*novo*",$N$2:$N$200,"C3")&gt;0,3,IF(COUNTIFS($A$2:$A$200,$A152,$D$2:$D$200,"*novo*",$N$2:$N$200,"C2")&gt;0,2,IF(COUNTIFS($A$2:$A$200,$A152,$D$2:$D$200,"*novo*",$N$2:$N$200,"C1")&gt;0,1,IF(COUNTIFS($A$2:$A$200,$A152,$D$2:$D$200,"*novo*",$N$2:$N$200,"C0")&gt;0,0,""))))),IF(AND((COUNTIFS($A$2:$A$200,$A152,$D$2:$D$200,"*novo*",$N$2:$N$200,"C0")+COUNTIFS($A$2:$A$200,$A152,$D$2:$D$200,"*novo*",$N$2:$N$200,"C1")+COUNTIFS($A$2:$A$200,$A152,$D$2:$D$200,"*novo*",$N$2:$N$200,"C2")+COUNTIFS($A$2:$A$200,$A152,$D$2:$D$200,"*novo*",$N$2:$N$200,"C3")+COUNTIFS($A$2:$A$200,$A152,$D$2:$D$200,"*novo*",$N$2:$N$200,"C4"))=0,INDEX(posicao_contratual!$Y$2:$Y$200,MATCH($A152,posicao_contratual!$A$2:$A$200,0))=0),0,"")),"")</f>
        <v/>
      </c>
    </row>
    <row r="153" spans="1:15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IF(OR($A153="",$C153=""),"",IF(OR(($O153)="",($O153)&gt;(MIN(MATCH($C153,{"C0","C1","C2","C3","C4"},0)-1,COUNT(parametros!$F$2:$F$6)-1)),NOT(ISNUMBER(INDEX(parametros!$F$2:$F$6,(MIN(MATCH($C153,{"C0","C1","C2","C3","C4"},0)-1,COUNT(parametros!$F$2:$F$6)-1))+1))),NOT(ISNUMBER(INDEX(parametros!$F$2:$F$6,($O153)+1)))),"",INDEX(parametros!$F$2:$F$6,(MIN(MATCH($C153,{"C0","C1","C2","C3","C4"},0)-1,COUNT(parametros!$F$2:$F$6)-1))+1)/INDEX(parametros!$F$2:$F$6,($O153)+1))),"")</f>
        <v/>
      </c>
      <c r="J153" s="107" t="str">
        <f>IF(OR(L153="",F153=""),"",IF(UPPER(H153)="SIM",IF(ISNUMBER(I153),ROUND(L153*ROUND(F153*I153,2),2),""),ROUND(L153*F153,2)))</f>
        <v/>
      </c>
      <c r="K153" s="105"/>
      <c r="L153" s="85" t="str">
        <f t="shared" si="9"/>
        <v/>
      </c>
      <c r="M153" s="606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TIPO_INVALIDO",IF(AND(ISNUMBER(SEARCH("NOVO",D153)),OR(INDEX(posicao_contratual!$C$2:$C$200,MATCH(A153,posicao_contratual!$A$2:$A$200,0))&lt;&gt;0,F153="",COUNTIFS($A$2:$A$200,A153,$B$2:$B$200,"&lt;"&amp;B153,$L$2:$L$200,"&gt;0")&gt;0)),"ALERTA: NOVO ITEM INVALIDO - use Acrescimo se o item ja existia; novo item exige QTD_BASE_ORIGINAL 0, VU_ORIGINAL e ser o 1o acrescimo do item.",IF(AND(ISNUMBER(SEARCH("NOVO",D153)),OR(N153="",ISERROR(MATCH(N153,{"C0","C1","C2","C3","C4"},0)))),"ALERTA: BASE_VU_OBRIGATORIA",IF(AND(NOT(ISNUMBER(SEARCH("NOVO",D153))),N153&lt;&gt;""),"ALERTA: BASE_VU_NAO_APLICAVEL",IF(AND(UPPER(H153)="SIM",NOT(ISNUMBER(I153))),"ALERTA: BASE_VU_INVALIDA_OU_POSTERIOR_AO_FATOR_ALVO","OK"))))))))))</f>
        <v/>
      </c>
      <c r="N153" s="608"/>
      <c r="O153" s="610" t="str">
        <f>IFERROR(IF((COUNTIFS($A$2:$A$200,$A153,$D$2:$D$200,"*novo*",$N$2:$N$200,"C0")+COUNTIFS($A$2:$A$200,$A153,$D$2:$D$200,"*novo*",$N$2:$N$200,"C1")+COUNTIFS($A$2:$A$200,$A153,$D$2:$D$200,"*novo*",$N$2:$N$200,"C2")+COUNTIFS($A$2:$A$200,$A153,$D$2:$D$200,"*novo*",$N$2:$N$200,"C3")+COUNTIFS($A$2:$A$200,$A153,$D$2:$D$200,"*novo*",$N$2:$N$200,"C4"))=1,IF(COUNTIFS($A$2:$A$200,$A153,$D$2:$D$200,"*novo*",$N$2:$N$200,"C4")&gt;0,4,IF(COUNTIFS($A$2:$A$200,$A153,$D$2:$D$200,"*novo*",$N$2:$N$200,"C3")&gt;0,3,IF(COUNTIFS($A$2:$A$200,$A153,$D$2:$D$200,"*novo*",$N$2:$N$200,"C2")&gt;0,2,IF(COUNTIFS($A$2:$A$200,$A153,$D$2:$D$200,"*novo*",$N$2:$N$200,"C1")&gt;0,1,IF(COUNTIFS($A$2:$A$200,$A153,$D$2:$D$200,"*novo*",$N$2:$N$200,"C0")&gt;0,0,""))))),IF(AND((COUNTIFS($A$2:$A$200,$A153,$D$2:$D$200,"*novo*",$N$2:$N$200,"C0")+COUNTIFS($A$2:$A$200,$A153,$D$2:$D$200,"*novo*",$N$2:$N$200,"C1")+COUNTIFS($A$2:$A$200,$A153,$D$2:$D$200,"*novo*",$N$2:$N$200,"C2")+COUNTIFS($A$2:$A$200,$A153,$D$2:$D$200,"*novo*",$N$2:$N$200,"C3")+COUNTIFS($A$2:$A$200,$A153,$D$2:$D$200,"*novo*",$N$2:$N$200,"C4"))=0,INDEX(posicao_contratual!$Y$2:$Y$200,MATCH($A153,posicao_contratual!$A$2:$A$200,0))=0),0,"")),"")</f>
        <v/>
      </c>
    </row>
    <row r="154" spans="1:15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IF(OR($A154="",$C154=""),"",IF(OR(($O154)="",($O154)&gt;(MIN(MATCH($C154,{"C0","C1","C2","C3","C4"},0)-1,COUNT(parametros!$F$2:$F$6)-1)),NOT(ISNUMBER(INDEX(parametros!$F$2:$F$6,(MIN(MATCH($C154,{"C0","C1","C2","C3","C4"},0)-1,COUNT(parametros!$F$2:$F$6)-1))+1))),NOT(ISNUMBER(INDEX(parametros!$F$2:$F$6,($O154)+1)))),"",INDEX(parametros!$F$2:$F$6,(MIN(MATCH($C154,{"C0","C1","C2","C3","C4"},0)-1,COUNT(parametros!$F$2:$F$6)-1))+1)/INDEX(parametros!$F$2:$F$6,($O154)+1))),"")</f>
        <v/>
      </c>
      <c r="J154" s="107" t="str">
        <f>IF(OR(L154="",F154=""),"",IF(UPPER(H154)="SIM",IF(ISNUMBER(I154),ROUND(L154*ROUND(F154*I154,2),2),""),ROUND(L154*F154,2)))</f>
        <v/>
      </c>
      <c r="K154" s="105"/>
      <c r="L154" s="85" t="str">
        <f t="shared" si="9"/>
        <v/>
      </c>
      <c r="M154" s="606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TIPO_INVALIDO",IF(AND(ISNUMBER(SEARCH("NOVO",D154)),OR(INDEX(posicao_contratual!$C$2:$C$200,MATCH(A154,posicao_contratual!$A$2:$A$200,0))&lt;&gt;0,F154="",COUNTIFS($A$2:$A$200,A154,$B$2:$B$200,"&lt;"&amp;B154,$L$2:$L$200,"&gt;0")&gt;0)),"ALERTA: NOVO ITEM INVALIDO - use Acrescimo se o item ja existia; novo item exige QTD_BASE_ORIGINAL 0, VU_ORIGINAL e ser o 1o acrescimo do item.",IF(AND(ISNUMBER(SEARCH("NOVO",D154)),OR(N154="",ISERROR(MATCH(N154,{"C0","C1","C2","C3","C4"},0)))),"ALERTA: BASE_VU_OBRIGATORIA",IF(AND(NOT(ISNUMBER(SEARCH("NOVO",D154))),N154&lt;&gt;""),"ALERTA: BASE_VU_NAO_APLICAVEL",IF(AND(UPPER(H154)="SIM",NOT(ISNUMBER(I154))),"ALERTA: BASE_VU_INVALIDA_OU_POSTERIOR_AO_FATOR_ALVO","OK"))))))))))</f>
        <v/>
      </c>
      <c r="N154" s="608"/>
      <c r="O154" s="610" t="str">
        <f>IFERROR(IF((COUNTIFS($A$2:$A$200,$A154,$D$2:$D$200,"*novo*",$N$2:$N$200,"C0")+COUNTIFS($A$2:$A$200,$A154,$D$2:$D$200,"*novo*",$N$2:$N$200,"C1")+COUNTIFS($A$2:$A$200,$A154,$D$2:$D$200,"*novo*",$N$2:$N$200,"C2")+COUNTIFS($A$2:$A$200,$A154,$D$2:$D$200,"*novo*",$N$2:$N$200,"C3")+COUNTIFS($A$2:$A$200,$A154,$D$2:$D$200,"*novo*",$N$2:$N$200,"C4"))=1,IF(COUNTIFS($A$2:$A$200,$A154,$D$2:$D$200,"*novo*",$N$2:$N$200,"C4")&gt;0,4,IF(COUNTIFS($A$2:$A$200,$A154,$D$2:$D$200,"*novo*",$N$2:$N$200,"C3")&gt;0,3,IF(COUNTIFS($A$2:$A$200,$A154,$D$2:$D$200,"*novo*",$N$2:$N$200,"C2")&gt;0,2,IF(COUNTIFS($A$2:$A$200,$A154,$D$2:$D$200,"*novo*",$N$2:$N$200,"C1")&gt;0,1,IF(COUNTIFS($A$2:$A$200,$A154,$D$2:$D$200,"*novo*",$N$2:$N$200,"C0")&gt;0,0,""))))),IF(AND((COUNTIFS($A$2:$A$200,$A154,$D$2:$D$200,"*novo*",$N$2:$N$200,"C0")+COUNTIFS($A$2:$A$200,$A154,$D$2:$D$200,"*novo*",$N$2:$N$200,"C1")+COUNTIFS($A$2:$A$200,$A154,$D$2:$D$200,"*novo*",$N$2:$N$200,"C2")+COUNTIFS($A$2:$A$200,$A154,$D$2:$D$200,"*novo*",$N$2:$N$200,"C3")+COUNTIFS($A$2:$A$200,$A154,$D$2:$D$200,"*novo*",$N$2:$N$200,"C4"))=0,INDEX(posicao_contratual!$Y$2:$Y$200,MATCH($A154,posicao_contratual!$A$2:$A$200,0))=0),0,"")),"")</f>
        <v/>
      </c>
    </row>
    <row r="155" spans="1:15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IF(OR($A155="",$C155=""),"",IF(OR(($O155)="",($O155)&gt;(MIN(MATCH($C155,{"C0","C1","C2","C3","C4"},0)-1,COUNT(parametros!$F$2:$F$6)-1)),NOT(ISNUMBER(INDEX(parametros!$F$2:$F$6,(MIN(MATCH($C155,{"C0","C1","C2","C3","C4"},0)-1,COUNT(parametros!$F$2:$F$6)-1))+1))),NOT(ISNUMBER(INDEX(parametros!$F$2:$F$6,($O155)+1)))),"",INDEX(parametros!$F$2:$F$6,(MIN(MATCH($C155,{"C0","C1","C2","C3","C4"},0)-1,COUNT(parametros!$F$2:$F$6)-1))+1)/INDEX(parametros!$F$2:$F$6,($O155)+1))),"")</f>
        <v/>
      </c>
      <c r="J155" s="107" t="str">
        <f>IF(OR(L155="",F155=""),"",IF(UPPER(H155)="SIM",IF(ISNUMBER(I155),ROUND(L155*ROUND(F155*I155,2),2),""),ROUND(L155*F155,2)))</f>
        <v/>
      </c>
      <c r="K155" s="105"/>
      <c r="L155" s="85" t="str">
        <f t="shared" si="9"/>
        <v/>
      </c>
      <c r="M155" s="606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TIPO_INVALIDO",IF(AND(ISNUMBER(SEARCH("NOVO",D155)),OR(INDEX(posicao_contratual!$C$2:$C$200,MATCH(A155,posicao_contratual!$A$2:$A$200,0))&lt;&gt;0,F155="",COUNTIFS($A$2:$A$200,A155,$B$2:$B$200,"&lt;"&amp;B155,$L$2:$L$200,"&gt;0")&gt;0)),"ALERTA: NOVO ITEM INVALIDO - use Acrescimo se o item ja existia; novo item exige QTD_BASE_ORIGINAL 0, VU_ORIGINAL e ser o 1o acrescimo do item.",IF(AND(ISNUMBER(SEARCH("NOVO",D155)),OR(N155="",ISERROR(MATCH(N155,{"C0","C1","C2","C3","C4"},0)))),"ALERTA: BASE_VU_OBRIGATORIA",IF(AND(NOT(ISNUMBER(SEARCH("NOVO",D155))),N155&lt;&gt;""),"ALERTA: BASE_VU_NAO_APLICAVEL",IF(AND(UPPER(H155)="SIM",NOT(ISNUMBER(I155))),"ALERTA: BASE_VU_INVALIDA_OU_POSTERIOR_AO_FATOR_ALVO","OK"))))))))))</f>
        <v/>
      </c>
      <c r="N155" s="608"/>
      <c r="O155" s="610" t="str">
        <f>IFERROR(IF((COUNTIFS($A$2:$A$200,$A155,$D$2:$D$200,"*novo*",$N$2:$N$200,"C0")+COUNTIFS($A$2:$A$200,$A155,$D$2:$D$200,"*novo*",$N$2:$N$200,"C1")+COUNTIFS($A$2:$A$200,$A155,$D$2:$D$200,"*novo*",$N$2:$N$200,"C2")+COUNTIFS($A$2:$A$200,$A155,$D$2:$D$200,"*novo*",$N$2:$N$200,"C3")+COUNTIFS($A$2:$A$200,$A155,$D$2:$D$200,"*novo*",$N$2:$N$200,"C4"))=1,IF(COUNTIFS($A$2:$A$200,$A155,$D$2:$D$200,"*novo*",$N$2:$N$200,"C4")&gt;0,4,IF(COUNTIFS($A$2:$A$200,$A155,$D$2:$D$200,"*novo*",$N$2:$N$200,"C3")&gt;0,3,IF(COUNTIFS($A$2:$A$200,$A155,$D$2:$D$200,"*novo*",$N$2:$N$200,"C2")&gt;0,2,IF(COUNTIFS($A$2:$A$200,$A155,$D$2:$D$200,"*novo*",$N$2:$N$200,"C1")&gt;0,1,IF(COUNTIFS($A$2:$A$200,$A155,$D$2:$D$200,"*novo*",$N$2:$N$200,"C0")&gt;0,0,""))))),IF(AND((COUNTIFS($A$2:$A$200,$A155,$D$2:$D$200,"*novo*",$N$2:$N$200,"C0")+COUNTIFS($A$2:$A$200,$A155,$D$2:$D$200,"*novo*",$N$2:$N$200,"C1")+COUNTIFS($A$2:$A$200,$A155,$D$2:$D$200,"*novo*",$N$2:$N$200,"C2")+COUNTIFS($A$2:$A$200,$A155,$D$2:$D$200,"*novo*",$N$2:$N$200,"C3")+COUNTIFS($A$2:$A$200,$A155,$D$2:$D$200,"*novo*",$N$2:$N$200,"C4"))=0,INDEX(posicao_contratual!$Y$2:$Y$200,MATCH($A155,posicao_contratual!$A$2:$A$200,0))=0),0,"")),"")</f>
        <v/>
      </c>
    </row>
    <row r="156" spans="1:15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IF(OR($A156="",$C156=""),"",IF(OR(($O156)="",($O156)&gt;(MIN(MATCH($C156,{"C0","C1","C2","C3","C4"},0)-1,COUNT(parametros!$F$2:$F$6)-1)),NOT(ISNUMBER(INDEX(parametros!$F$2:$F$6,(MIN(MATCH($C156,{"C0","C1","C2","C3","C4"},0)-1,COUNT(parametros!$F$2:$F$6)-1))+1))),NOT(ISNUMBER(INDEX(parametros!$F$2:$F$6,($O156)+1)))),"",INDEX(parametros!$F$2:$F$6,(MIN(MATCH($C156,{"C0","C1","C2","C3","C4"},0)-1,COUNT(parametros!$F$2:$F$6)-1))+1)/INDEX(parametros!$F$2:$F$6,($O156)+1))),"")</f>
        <v/>
      </c>
      <c r="J156" s="107" t="str">
        <f>IF(OR(L156="",F156=""),"",IF(UPPER(H156)="SIM",IF(ISNUMBER(I156),ROUND(L156*ROUND(F156*I156,2),2),""),ROUND(L156*F156,2)))</f>
        <v/>
      </c>
      <c r="K156" s="105"/>
      <c r="L156" s="85" t="str">
        <f t="shared" si="9"/>
        <v/>
      </c>
      <c r="M156" s="606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TIPO_INVALIDO",IF(AND(ISNUMBER(SEARCH("NOVO",D156)),OR(INDEX(posicao_contratual!$C$2:$C$200,MATCH(A156,posicao_contratual!$A$2:$A$200,0))&lt;&gt;0,F156="",COUNTIFS($A$2:$A$200,A156,$B$2:$B$200,"&lt;"&amp;B156,$L$2:$L$200,"&gt;0")&gt;0)),"ALERTA: NOVO ITEM INVALIDO - use Acrescimo se o item ja existia; novo item exige QTD_BASE_ORIGINAL 0, VU_ORIGINAL e ser o 1o acrescimo do item.",IF(AND(ISNUMBER(SEARCH("NOVO",D156)),OR(N156="",ISERROR(MATCH(N156,{"C0","C1","C2","C3","C4"},0)))),"ALERTA: BASE_VU_OBRIGATORIA",IF(AND(NOT(ISNUMBER(SEARCH("NOVO",D156))),N156&lt;&gt;""),"ALERTA: BASE_VU_NAO_APLICAVEL",IF(AND(UPPER(H156)="SIM",NOT(ISNUMBER(I156))),"ALERTA: BASE_VU_INVALIDA_OU_POSTERIOR_AO_FATOR_ALVO","OK"))))))))))</f>
        <v/>
      </c>
      <c r="N156" s="608"/>
      <c r="O156" s="610" t="str">
        <f>IFERROR(IF((COUNTIFS($A$2:$A$200,$A156,$D$2:$D$200,"*novo*",$N$2:$N$200,"C0")+COUNTIFS($A$2:$A$200,$A156,$D$2:$D$200,"*novo*",$N$2:$N$200,"C1")+COUNTIFS($A$2:$A$200,$A156,$D$2:$D$200,"*novo*",$N$2:$N$200,"C2")+COUNTIFS($A$2:$A$200,$A156,$D$2:$D$200,"*novo*",$N$2:$N$200,"C3")+COUNTIFS($A$2:$A$200,$A156,$D$2:$D$200,"*novo*",$N$2:$N$200,"C4"))=1,IF(COUNTIFS($A$2:$A$200,$A156,$D$2:$D$200,"*novo*",$N$2:$N$200,"C4")&gt;0,4,IF(COUNTIFS($A$2:$A$200,$A156,$D$2:$D$200,"*novo*",$N$2:$N$200,"C3")&gt;0,3,IF(COUNTIFS($A$2:$A$200,$A156,$D$2:$D$200,"*novo*",$N$2:$N$200,"C2")&gt;0,2,IF(COUNTIFS($A$2:$A$200,$A156,$D$2:$D$200,"*novo*",$N$2:$N$200,"C1")&gt;0,1,IF(COUNTIFS($A$2:$A$200,$A156,$D$2:$D$200,"*novo*",$N$2:$N$200,"C0")&gt;0,0,""))))),IF(AND((COUNTIFS($A$2:$A$200,$A156,$D$2:$D$200,"*novo*",$N$2:$N$200,"C0")+COUNTIFS($A$2:$A$200,$A156,$D$2:$D$200,"*novo*",$N$2:$N$200,"C1")+COUNTIFS($A$2:$A$200,$A156,$D$2:$D$200,"*novo*",$N$2:$N$200,"C2")+COUNTIFS($A$2:$A$200,$A156,$D$2:$D$200,"*novo*",$N$2:$N$200,"C3")+COUNTIFS($A$2:$A$200,$A156,$D$2:$D$200,"*novo*",$N$2:$N$200,"C4"))=0,INDEX(posicao_contratual!$Y$2:$Y$200,MATCH($A156,posicao_contratual!$A$2:$A$200,0))=0),0,"")),"")</f>
        <v/>
      </c>
    </row>
    <row r="157" spans="1:15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IF(OR($A157="",$C157=""),"",IF(OR(($O157)="",($O157)&gt;(MIN(MATCH($C157,{"C0","C1","C2","C3","C4"},0)-1,COUNT(parametros!$F$2:$F$6)-1)),NOT(ISNUMBER(INDEX(parametros!$F$2:$F$6,(MIN(MATCH($C157,{"C0","C1","C2","C3","C4"},0)-1,COUNT(parametros!$F$2:$F$6)-1))+1))),NOT(ISNUMBER(INDEX(parametros!$F$2:$F$6,($O157)+1)))),"",INDEX(parametros!$F$2:$F$6,(MIN(MATCH($C157,{"C0","C1","C2","C3","C4"},0)-1,COUNT(parametros!$F$2:$F$6)-1))+1)/INDEX(parametros!$F$2:$F$6,($O157)+1))),"")</f>
        <v/>
      </c>
      <c r="J157" s="107" t="str">
        <f>IF(OR(L157="",F157=""),"",IF(UPPER(H157)="SIM",IF(ISNUMBER(I157),ROUND(L157*ROUND(F157*I157,2),2),""),ROUND(L157*F157,2)))</f>
        <v/>
      </c>
      <c r="K157" s="105"/>
      <c r="L157" s="85" t="str">
        <f t="shared" si="9"/>
        <v/>
      </c>
      <c r="M157" s="606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TIPO_INVALIDO",IF(AND(ISNUMBER(SEARCH("NOVO",D157)),OR(INDEX(posicao_contratual!$C$2:$C$200,MATCH(A157,posicao_contratual!$A$2:$A$200,0))&lt;&gt;0,F157="",COUNTIFS($A$2:$A$200,A157,$B$2:$B$200,"&lt;"&amp;B157,$L$2:$L$200,"&gt;0")&gt;0)),"ALERTA: NOVO ITEM INVALIDO - use Acrescimo se o item ja existia; novo item exige QTD_BASE_ORIGINAL 0, VU_ORIGINAL e ser o 1o acrescimo do item.",IF(AND(ISNUMBER(SEARCH("NOVO",D157)),OR(N157="",ISERROR(MATCH(N157,{"C0","C1","C2","C3","C4"},0)))),"ALERTA: BASE_VU_OBRIGATORIA",IF(AND(NOT(ISNUMBER(SEARCH("NOVO",D157))),N157&lt;&gt;""),"ALERTA: BASE_VU_NAO_APLICAVEL",IF(AND(UPPER(H157)="SIM",NOT(ISNUMBER(I157))),"ALERTA: BASE_VU_INVALIDA_OU_POSTERIOR_AO_FATOR_ALVO","OK"))))))))))</f>
        <v/>
      </c>
      <c r="N157" s="608"/>
      <c r="O157" s="610" t="str">
        <f>IFERROR(IF((COUNTIFS($A$2:$A$200,$A157,$D$2:$D$200,"*novo*",$N$2:$N$200,"C0")+COUNTIFS($A$2:$A$200,$A157,$D$2:$D$200,"*novo*",$N$2:$N$200,"C1")+COUNTIFS($A$2:$A$200,$A157,$D$2:$D$200,"*novo*",$N$2:$N$200,"C2")+COUNTIFS($A$2:$A$200,$A157,$D$2:$D$200,"*novo*",$N$2:$N$200,"C3")+COUNTIFS($A$2:$A$200,$A157,$D$2:$D$200,"*novo*",$N$2:$N$200,"C4"))=1,IF(COUNTIFS($A$2:$A$200,$A157,$D$2:$D$200,"*novo*",$N$2:$N$200,"C4")&gt;0,4,IF(COUNTIFS($A$2:$A$200,$A157,$D$2:$D$200,"*novo*",$N$2:$N$200,"C3")&gt;0,3,IF(COUNTIFS($A$2:$A$200,$A157,$D$2:$D$200,"*novo*",$N$2:$N$200,"C2")&gt;0,2,IF(COUNTIFS($A$2:$A$200,$A157,$D$2:$D$200,"*novo*",$N$2:$N$200,"C1")&gt;0,1,IF(COUNTIFS($A$2:$A$200,$A157,$D$2:$D$200,"*novo*",$N$2:$N$200,"C0")&gt;0,0,""))))),IF(AND((COUNTIFS($A$2:$A$200,$A157,$D$2:$D$200,"*novo*",$N$2:$N$200,"C0")+COUNTIFS($A$2:$A$200,$A157,$D$2:$D$200,"*novo*",$N$2:$N$200,"C1")+COUNTIFS($A$2:$A$200,$A157,$D$2:$D$200,"*novo*",$N$2:$N$200,"C2")+COUNTIFS($A$2:$A$200,$A157,$D$2:$D$200,"*novo*",$N$2:$N$200,"C3")+COUNTIFS($A$2:$A$200,$A157,$D$2:$D$200,"*novo*",$N$2:$N$200,"C4"))=0,INDEX(posicao_contratual!$Y$2:$Y$200,MATCH($A157,posicao_contratual!$A$2:$A$200,0))=0),0,"")),"")</f>
        <v/>
      </c>
    </row>
    <row r="158" spans="1:15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IF(OR($A158="",$C158=""),"",IF(OR(($O158)="",($O158)&gt;(MIN(MATCH($C158,{"C0","C1","C2","C3","C4"},0)-1,COUNT(parametros!$F$2:$F$6)-1)),NOT(ISNUMBER(INDEX(parametros!$F$2:$F$6,(MIN(MATCH($C158,{"C0","C1","C2","C3","C4"},0)-1,COUNT(parametros!$F$2:$F$6)-1))+1))),NOT(ISNUMBER(INDEX(parametros!$F$2:$F$6,($O158)+1)))),"",INDEX(parametros!$F$2:$F$6,(MIN(MATCH($C158,{"C0","C1","C2","C3","C4"},0)-1,COUNT(parametros!$F$2:$F$6)-1))+1)/INDEX(parametros!$F$2:$F$6,($O158)+1))),"")</f>
        <v/>
      </c>
      <c r="J158" s="107" t="str">
        <f>IF(OR(L158="",F158=""),"",IF(UPPER(H158)="SIM",IF(ISNUMBER(I158),ROUND(L158*ROUND(F158*I158,2),2),""),ROUND(L158*F158,2)))</f>
        <v/>
      </c>
      <c r="K158" s="105"/>
      <c r="L158" s="85" t="str">
        <f t="shared" si="9"/>
        <v/>
      </c>
      <c r="M158" s="606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TIPO_INVALIDO",IF(AND(ISNUMBER(SEARCH("NOVO",D158)),OR(INDEX(posicao_contratual!$C$2:$C$200,MATCH(A158,posicao_contratual!$A$2:$A$200,0))&lt;&gt;0,F158="",COUNTIFS($A$2:$A$200,A158,$B$2:$B$200,"&lt;"&amp;B158,$L$2:$L$200,"&gt;0")&gt;0)),"ALERTA: NOVO ITEM INVALIDO - use Acrescimo se o item ja existia; novo item exige QTD_BASE_ORIGINAL 0, VU_ORIGINAL e ser o 1o acrescimo do item.",IF(AND(ISNUMBER(SEARCH("NOVO",D158)),OR(N158="",ISERROR(MATCH(N158,{"C0","C1","C2","C3","C4"},0)))),"ALERTA: BASE_VU_OBRIGATORIA",IF(AND(NOT(ISNUMBER(SEARCH("NOVO",D158))),N158&lt;&gt;""),"ALERTA: BASE_VU_NAO_APLICAVEL",IF(AND(UPPER(H158)="SIM",NOT(ISNUMBER(I158))),"ALERTA: BASE_VU_INVALIDA_OU_POSTERIOR_AO_FATOR_ALVO","OK"))))))))))</f>
        <v/>
      </c>
      <c r="N158" s="608"/>
      <c r="O158" s="610" t="str">
        <f>IFERROR(IF((COUNTIFS($A$2:$A$200,$A158,$D$2:$D$200,"*novo*",$N$2:$N$200,"C0")+COUNTIFS($A$2:$A$200,$A158,$D$2:$D$200,"*novo*",$N$2:$N$200,"C1")+COUNTIFS($A$2:$A$200,$A158,$D$2:$D$200,"*novo*",$N$2:$N$200,"C2")+COUNTIFS($A$2:$A$200,$A158,$D$2:$D$200,"*novo*",$N$2:$N$200,"C3")+COUNTIFS($A$2:$A$200,$A158,$D$2:$D$200,"*novo*",$N$2:$N$200,"C4"))=1,IF(COUNTIFS($A$2:$A$200,$A158,$D$2:$D$200,"*novo*",$N$2:$N$200,"C4")&gt;0,4,IF(COUNTIFS($A$2:$A$200,$A158,$D$2:$D$200,"*novo*",$N$2:$N$200,"C3")&gt;0,3,IF(COUNTIFS($A$2:$A$200,$A158,$D$2:$D$200,"*novo*",$N$2:$N$200,"C2")&gt;0,2,IF(COUNTIFS($A$2:$A$200,$A158,$D$2:$D$200,"*novo*",$N$2:$N$200,"C1")&gt;0,1,IF(COUNTIFS($A$2:$A$200,$A158,$D$2:$D$200,"*novo*",$N$2:$N$200,"C0")&gt;0,0,""))))),IF(AND((COUNTIFS($A$2:$A$200,$A158,$D$2:$D$200,"*novo*",$N$2:$N$200,"C0")+COUNTIFS($A$2:$A$200,$A158,$D$2:$D$200,"*novo*",$N$2:$N$200,"C1")+COUNTIFS($A$2:$A$200,$A158,$D$2:$D$200,"*novo*",$N$2:$N$200,"C2")+COUNTIFS($A$2:$A$200,$A158,$D$2:$D$200,"*novo*",$N$2:$N$200,"C3")+COUNTIFS($A$2:$A$200,$A158,$D$2:$D$200,"*novo*",$N$2:$N$200,"C4"))=0,INDEX(posicao_contratual!$Y$2:$Y$200,MATCH($A158,posicao_contratual!$A$2:$A$200,0))=0),0,"")),"")</f>
        <v/>
      </c>
    </row>
    <row r="159" spans="1:15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IF(OR($A159="",$C159=""),"",IF(OR(($O159)="",($O159)&gt;(MIN(MATCH($C159,{"C0","C1","C2","C3","C4"},0)-1,COUNT(parametros!$F$2:$F$6)-1)),NOT(ISNUMBER(INDEX(parametros!$F$2:$F$6,(MIN(MATCH($C159,{"C0","C1","C2","C3","C4"},0)-1,COUNT(parametros!$F$2:$F$6)-1))+1))),NOT(ISNUMBER(INDEX(parametros!$F$2:$F$6,($O159)+1)))),"",INDEX(parametros!$F$2:$F$6,(MIN(MATCH($C159,{"C0","C1","C2","C3","C4"},0)-1,COUNT(parametros!$F$2:$F$6)-1))+1)/INDEX(parametros!$F$2:$F$6,($O159)+1))),"")</f>
        <v/>
      </c>
      <c r="J159" s="107" t="str">
        <f>IF(OR(L159="",F159=""),"",IF(UPPER(H159)="SIM",IF(ISNUMBER(I159),ROUND(L159*ROUND(F159*I159,2),2),""),ROUND(L159*F159,2)))</f>
        <v/>
      </c>
      <c r="K159" s="105"/>
      <c r="L159" s="85" t="str">
        <f t="shared" si="9"/>
        <v/>
      </c>
      <c r="M159" s="606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TIPO_INVALIDO",IF(AND(ISNUMBER(SEARCH("NOVO",D159)),OR(INDEX(posicao_contratual!$C$2:$C$200,MATCH(A159,posicao_contratual!$A$2:$A$200,0))&lt;&gt;0,F159="",COUNTIFS($A$2:$A$200,A159,$B$2:$B$200,"&lt;"&amp;B159,$L$2:$L$200,"&gt;0")&gt;0)),"ALERTA: NOVO ITEM INVALIDO - use Acrescimo se o item ja existia; novo item exige QTD_BASE_ORIGINAL 0, VU_ORIGINAL e ser o 1o acrescimo do item.",IF(AND(ISNUMBER(SEARCH("NOVO",D159)),OR(N159="",ISERROR(MATCH(N159,{"C0","C1","C2","C3","C4"},0)))),"ALERTA: BASE_VU_OBRIGATORIA",IF(AND(NOT(ISNUMBER(SEARCH("NOVO",D159))),N159&lt;&gt;""),"ALERTA: BASE_VU_NAO_APLICAVEL",IF(AND(UPPER(H159)="SIM",NOT(ISNUMBER(I159))),"ALERTA: BASE_VU_INVALIDA_OU_POSTERIOR_AO_FATOR_ALVO","OK"))))))))))</f>
        <v/>
      </c>
      <c r="N159" s="608"/>
      <c r="O159" s="610" t="str">
        <f>IFERROR(IF((COUNTIFS($A$2:$A$200,$A159,$D$2:$D$200,"*novo*",$N$2:$N$200,"C0")+COUNTIFS($A$2:$A$200,$A159,$D$2:$D$200,"*novo*",$N$2:$N$200,"C1")+COUNTIFS($A$2:$A$200,$A159,$D$2:$D$200,"*novo*",$N$2:$N$200,"C2")+COUNTIFS($A$2:$A$200,$A159,$D$2:$D$200,"*novo*",$N$2:$N$200,"C3")+COUNTIFS($A$2:$A$200,$A159,$D$2:$D$200,"*novo*",$N$2:$N$200,"C4"))=1,IF(COUNTIFS($A$2:$A$200,$A159,$D$2:$D$200,"*novo*",$N$2:$N$200,"C4")&gt;0,4,IF(COUNTIFS($A$2:$A$200,$A159,$D$2:$D$200,"*novo*",$N$2:$N$200,"C3")&gt;0,3,IF(COUNTIFS($A$2:$A$200,$A159,$D$2:$D$200,"*novo*",$N$2:$N$200,"C2")&gt;0,2,IF(COUNTIFS($A$2:$A$200,$A159,$D$2:$D$200,"*novo*",$N$2:$N$200,"C1")&gt;0,1,IF(COUNTIFS($A$2:$A$200,$A159,$D$2:$D$200,"*novo*",$N$2:$N$200,"C0")&gt;0,0,""))))),IF(AND((COUNTIFS($A$2:$A$200,$A159,$D$2:$D$200,"*novo*",$N$2:$N$200,"C0")+COUNTIFS($A$2:$A$200,$A159,$D$2:$D$200,"*novo*",$N$2:$N$200,"C1")+COUNTIFS($A$2:$A$200,$A159,$D$2:$D$200,"*novo*",$N$2:$N$200,"C2")+COUNTIFS($A$2:$A$200,$A159,$D$2:$D$200,"*novo*",$N$2:$N$200,"C3")+COUNTIFS($A$2:$A$200,$A159,$D$2:$D$200,"*novo*",$N$2:$N$200,"C4"))=0,INDEX(posicao_contratual!$Y$2:$Y$200,MATCH($A159,posicao_contratual!$A$2:$A$200,0))=0),0,"")),"")</f>
        <v/>
      </c>
    </row>
    <row r="160" spans="1:15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IF(OR($A160="",$C160=""),"",IF(OR(($O160)="",($O160)&gt;(MIN(MATCH($C160,{"C0","C1","C2","C3","C4"},0)-1,COUNT(parametros!$F$2:$F$6)-1)),NOT(ISNUMBER(INDEX(parametros!$F$2:$F$6,(MIN(MATCH($C160,{"C0","C1","C2","C3","C4"},0)-1,COUNT(parametros!$F$2:$F$6)-1))+1))),NOT(ISNUMBER(INDEX(parametros!$F$2:$F$6,($O160)+1)))),"",INDEX(parametros!$F$2:$F$6,(MIN(MATCH($C160,{"C0","C1","C2","C3","C4"},0)-1,COUNT(parametros!$F$2:$F$6)-1))+1)/INDEX(parametros!$F$2:$F$6,($O160)+1))),"")</f>
        <v/>
      </c>
      <c r="J160" s="107" t="str">
        <f>IF(OR(L160="",F160=""),"",IF(UPPER(H160)="SIM",IF(ISNUMBER(I160),ROUND(L160*ROUND(F160*I160,2),2),""),ROUND(L160*F160,2)))</f>
        <v/>
      </c>
      <c r="K160" s="105"/>
      <c r="L160" s="85" t="str">
        <f t="shared" si="9"/>
        <v/>
      </c>
      <c r="M160" s="606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TIPO_INVALIDO",IF(AND(ISNUMBER(SEARCH("NOVO",D160)),OR(INDEX(posicao_contratual!$C$2:$C$200,MATCH(A160,posicao_contratual!$A$2:$A$200,0))&lt;&gt;0,F160="",COUNTIFS($A$2:$A$200,A160,$B$2:$B$200,"&lt;"&amp;B160,$L$2:$L$200,"&gt;0")&gt;0)),"ALERTA: NOVO ITEM INVALIDO - use Acrescimo se o item ja existia; novo item exige QTD_BASE_ORIGINAL 0, VU_ORIGINAL e ser o 1o acrescimo do item.",IF(AND(ISNUMBER(SEARCH("NOVO",D160)),OR(N160="",ISERROR(MATCH(N160,{"C0","C1","C2","C3","C4"},0)))),"ALERTA: BASE_VU_OBRIGATORIA",IF(AND(NOT(ISNUMBER(SEARCH("NOVO",D160))),N160&lt;&gt;""),"ALERTA: BASE_VU_NAO_APLICAVEL",IF(AND(UPPER(H160)="SIM",NOT(ISNUMBER(I160))),"ALERTA: BASE_VU_INVALIDA_OU_POSTERIOR_AO_FATOR_ALVO","OK"))))))))))</f>
        <v/>
      </c>
      <c r="N160" s="608"/>
      <c r="O160" s="610" t="str">
        <f>IFERROR(IF((COUNTIFS($A$2:$A$200,$A160,$D$2:$D$200,"*novo*",$N$2:$N$200,"C0")+COUNTIFS($A$2:$A$200,$A160,$D$2:$D$200,"*novo*",$N$2:$N$200,"C1")+COUNTIFS($A$2:$A$200,$A160,$D$2:$D$200,"*novo*",$N$2:$N$200,"C2")+COUNTIFS($A$2:$A$200,$A160,$D$2:$D$200,"*novo*",$N$2:$N$200,"C3")+COUNTIFS($A$2:$A$200,$A160,$D$2:$D$200,"*novo*",$N$2:$N$200,"C4"))=1,IF(COUNTIFS($A$2:$A$200,$A160,$D$2:$D$200,"*novo*",$N$2:$N$200,"C4")&gt;0,4,IF(COUNTIFS($A$2:$A$200,$A160,$D$2:$D$200,"*novo*",$N$2:$N$200,"C3")&gt;0,3,IF(COUNTIFS($A$2:$A$200,$A160,$D$2:$D$200,"*novo*",$N$2:$N$200,"C2")&gt;0,2,IF(COUNTIFS($A$2:$A$200,$A160,$D$2:$D$200,"*novo*",$N$2:$N$200,"C1")&gt;0,1,IF(COUNTIFS($A$2:$A$200,$A160,$D$2:$D$200,"*novo*",$N$2:$N$200,"C0")&gt;0,0,""))))),IF(AND((COUNTIFS($A$2:$A$200,$A160,$D$2:$D$200,"*novo*",$N$2:$N$200,"C0")+COUNTIFS($A$2:$A$200,$A160,$D$2:$D$200,"*novo*",$N$2:$N$200,"C1")+COUNTIFS($A$2:$A$200,$A160,$D$2:$D$200,"*novo*",$N$2:$N$200,"C2")+COUNTIFS($A$2:$A$200,$A160,$D$2:$D$200,"*novo*",$N$2:$N$200,"C3")+COUNTIFS($A$2:$A$200,$A160,$D$2:$D$200,"*novo*",$N$2:$N$200,"C4"))=0,INDEX(posicao_contratual!$Y$2:$Y$200,MATCH($A160,posicao_contratual!$A$2:$A$200,0))=0),0,"")),"")</f>
        <v/>
      </c>
    </row>
    <row r="161" spans="1:15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IF(OR($A161="",$C161=""),"",IF(OR(($O161)="",($O161)&gt;(MIN(MATCH($C161,{"C0","C1","C2","C3","C4"},0)-1,COUNT(parametros!$F$2:$F$6)-1)),NOT(ISNUMBER(INDEX(parametros!$F$2:$F$6,(MIN(MATCH($C161,{"C0","C1","C2","C3","C4"},0)-1,COUNT(parametros!$F$2:$F$6)-1))+1))),NOT(ISNUMBER(INDEX(parametros!$F$2:$F$6,($O161)+1)))),"",INDEX(parametros!$F$2:$F$6,(MIN(MATCH($C161,{"C0","C1","C2","C3","C4"},0)-1,COUNT(parametros!$F$2:$F$6)-1))+1)/INDEX(parametros!$F$2:$F$6,($O161)+1))),"")</f>
        <v/>
      </c>
      <c r="J161" s="107" t="str">
        <f>IF(OR(L161="",F161=""),"",IF(UPPER(H161)="SIM",IF(ISNUMBER(I161),ROUND(L161*ROUND(F161*I161,2),2),""),ROUND(L161*F161,2)))</f>
        <v/>
      </c>
      <c r="K161" s="105"/>
      <c r="L161" s="85" t="str">
        <f t="shared" si="9"/>
        <v/>
      </c>
      <c r="M161" s="606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TIPO_INVALIDO",IF(AND(ISNUMBER(SEARCH("NOVO",D161)),OR(INDEX(posicao_contratual!$C$2:$C$200,MATCH(A161,posicao_contratual!$A$2:$A$200,0))&lt;&gt;0,F161="",COUNTIFS($A$2:$A$200,A161,$B$2:$B$200,"&lt;"&amp;B161,$L$2:$L$200,"&gt;0")&gt;0)),"ALERTA: NOVO ITEM INVALIDO - use Acrescimo se o item ja existia; novo item exige QTD_BASE_ORIGINAL 0, VU_ORIGINAL e ser o 1o acrescimo do item.",IF(AND(ISNUMBER(SEARCH("NOVO",D161)),OR(N161="",ISERROR(MATCH(N161,{"C0","C1","C2","C3","C4"},0)))),"ALERTA: BASE_VU_OBRIGATORIA",IF(AND(NOT(ISNUMBER(SEARCH("NOVO",D161))),N161&lt;&gt;""),"ALERTA: BASE_VU_NAO_APLICAVEL",IF(AND(UPPER(H161)="SIM",NOT(ISNUMBER(I161))),"ALERTA: BASE_VU_INVALIDA_OU_POSTERIOR_AO_FATOR_ALVO","OK"))))))))))</f>
        <v/>
      </c>
      <c r="N161" s="608"/>
      <c r="O161" s="610" t="str">
        <f>IFERROR(IF((COUNTIFS($A$2:$A$200,$A161,$D$2:$D$200,"*novo*",$N$2:$N$200,"C0")+COUNTIFS($A$2:$A$200,$A161,$D$2:$D$200,"*novo*",$N$2:$N$200,"C1")+COUNTIFS($A$2:$A$200,$A161,$D$2:$D$200,"*novo*",$N$2:$N$200,"C2")+COUNTIFS($A$2:$A$200,$A161,$D$2:$D$200,"*novo*",$N$2:$N$200,"C3")+COUNTIFS($A$2:$A$200,$A161,$D$2:$D$200,"*novo*",$N$2:$N$200,"C4"))=1,IF(COUNTIFS($A$2:$A$200,$A161,$D$2:$D$200,"*novo*",$N$2:$N$200,"C4")&gt;0,4,IF(COUNTIFS($A$2:$A$200,$A161,$D$2:$D$200,"*novo*",$N$2:$N$200,"C3")&gt;0,3,IF(COUNTIFS($A$2:$A$200,$A161,$D$2:$D$200,"*novo*",$N$2:$N$200,"C2")&gt;0,2,IF(COUNTIFS($A$2:$A$200,$A161,$D$2:$D$200,"*novo*",$N$2:$N$200,"C1")&gt;0,1,IF(COUNTIFS($A$2:$A$200,$A161,$D$2:$D$200,"*novo*",$N$2:$N$200,"C0")&gt;0,0,""))))),IF(AND((COUNTIFS($A$2:$A$200,$A161,$D$2:$D$200,"*novo*",$N$2:$N$200,"C0")+COUNTIFS($A$2:$A$200,$A161,$D$2:$D$200,"*novo*",$N$2:$N$200,"C1")+COUNTIFS($A$2:$A$200,$A161,$D$2:$D$200,"*novo*",$N$2:$N$200,"C2")+COUNTIFS($A$2:$A$200,$A161,$D$2:$D$200,"*novo*",$N$2:$N$200,"C3")+COUNTIFS($A$2:$A$200,$A161,$D$2:$D$200,"*novo*",$N$2:$N$200,"C4"))=0,INDEX(posicao_contratual!$Y$2:$Y$200,MATCH($A161,posicao_contratual!$A$2:$A$200,0))=0),0,"")),"")</f>
        <v/>
      </c>
    </row>
    <row r="162" spans="1:15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IF(OR($A162="",$C162=""),"",IF(OR(($O162)="",($O162)&gt;(MIN(MATCH($C162,{"C0","C1","C2","C3","C4"},0)-1,COUNT(parametros!$F$2:$F$6)-1)),NOT(ISNUMBER(INDEX(parametros!$F$2:$F$6,(MIN(MATCH($C162,{"C0","C1","C2","C3","C4"},0)-1,COUNT(parametros!$F$2:$F$6)-1))+1))),NOT(ISNUMBER(INDEX(parametros!$F$2:$F$6,($O162)+1)))),"",INDEX(parametros!$F$2:$F$6,(MIN(MATCH($C162,{"C0","C1","C2","C3","C4"},0)-1,COUNT(parametros!$F$2:$F$6)-1))+1)/INDEX(parametros!$F$2:$F$6,($O162)+1))),"")</f>
        <v/>
      </c>
      <c r="J162" s="107" t="str">
        <f>IF(OR(L162="",F162=""),"",IF(UPPER(H162)="SIM",IF(ISNUMBER(I162),ROUND(L162*ROUND(F162*I162,2),2),""),ROUND(L162*F162,2)))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606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TIPO_INVALIDO",IF(AND(ISNUMBER(SEARCH("NOVO",D162)),OR(INDEX(posicao_contratual!$C$2:$C$200,MATCH(A162,posicao_contratual!$A$2:$A$200,0))&lt;&gt;0,F162="",COUNTIFS($A$2:$A$200,A162,$B$2:$B$200,"&lt;"&amp;B162,$L$2:$L$200,"&gt;0")&gt;0)),"ALERTA: NOVO ITEM INVALIDO - use Acrescimo se o item ja existia; novo item exige QTD_BASE_ORIGINAL 0, VU_ORIGINAL e ser o 1o acrescimo do item.",IF(AND(ISNUMBER(SEARCH("NOVO",D162)),OR(N162="",ISERROR(MATCH(N162,{"C0","C1","C2","C3","C4"},0)))),"ALERTA: BASE_VU_OBRIGATORIA",IF(AND(NOT(ISNUMBER(SEARCH("NOVO",D162))),N162&lt;&gt;""),"ALERTA: BASE_VU_NAO_APLICAVEL",IF(AND(UPPER(H162)="SIM",NOT(ISNUMBER(I162))),"ALERTA: BASE_VU_INVALIDA_OU_POSTERIOR_AO_FATOR_ALVO","OK"))))))))))</f>
        <v/>
      </c>
      <c r="N162" s="608"/>
      <c r="O162" s="610" t="str">
        <f>IFERROR(IF((COUNTIFS($A$2:$A$200,$A162,$D$2:$D$200,"*novo*",$N$2:$N$200,"C0")+COUNTIFS($A$2:$A$200,$A162,$D$2:$D$200,"*novo*",$N$2:$N$200,"C1")+COUNTIFS($A$2:$A$200,$A162,$D$2:$D$200,"*novo*",$N$2:$N$200,"C2")+COUNTIFS($A$2:$A$200,$A162,$D$2:$D$200,"*novo*",$N$2:$N$200,"C3")+COUNTIFS($A$2:$A$200,$A162,$D$2:$D$200,"*novo*",$N$2:$N$200,"C4"))=1,IF(COUNTIFS($A$2:$A$200,$A162,$D$2:$D$200,"*novo*",$N$2:$N$200,"C4")&gt;0,4,IF(COUNTIFS($A$2:$A$200,$A162,$D$2:$D$200,"*novo*",$N$2:$N$200,"C3")&gt;0,3,IF(COUNTIFS($A$2:$A$200,$A162,$D$2:$D$200,"*novo*",$N$2:$N$200,"C2")&gt;0,2,IF(COUNTIFS($A$2:$A$200,$A162,$D$2:$D$200,"*novo*",$N$2:$N$200,"C1")&gt;0,1,IF(COUNTIFS($A$2:$A$200,$A162,$D$2:$D$200,"*novo*",$N$2:$N$200,"C0")&gt;0,0,""))))),IF(AND((COUNTIFS($A$2:$A$200,$A162,$D$2:$D$200,"*novo*",$N$2:$N$200,"C0")+COUNTIFS($A$2:$A$200,$A162,$D$2:$D$200,"*novo*",$N$2:$N$200,"C1")+COUNTIFS($A$2:$A$200,$A162,$D$2:$D$200,"*novo*",$N$2:$N$200,"C2")+COUNTIFS($A$2:$A$200,$A162,$D$2:$D$200,"*novo*",$N$2:$N$200,"C3")+COUNTIFS($A$2:$A$200,$A162,$D$2:$D$200,"*novo*",$N$2:$N$200,"C4"))=0,INDEX(posicao_contratual!$Y$2:$Y$200,MATCH($A162,posicao_contratual!$A$2:$A$200,0))=0),0,"")),"")</f>
        <v/>
      </c>
    </row>
    <row r="163" spans="1:15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IF(OR($A163="",$C163=""),"",IF(OR(($O163)="",($O163)&gt;(MIN(MATCH($C163,{"C0","C1","C2","C3","C4"},0)-1,COUNT(parametros!$F$2:$F$6)-1)),NOT(ISNUMBER(INDEX(parametros!$F$2:$F$6,(MIN(MATCH($C163,{"C0","C1","C2","C3","C4"},0)-1,COUNT(parametros!$F$2:$F$6)-1))+1))),NOT(ISNUMBER(INDEX(parametros!$F$2:$F$6,($O163)+1)))),"",INDEX(parametros!$F$2:$F$6,(MIN(MATCH($C163,{"C0","C1","C2","C3","C4"},0)-1,COUNT(parametros!$F$2:$F$6)-1))+1)/INDEX(parametros!$F$2:$F$6,($O163)+1))),"")</f>
        <v/>
      </c>
      <c r="J163" s="107" t="str">
        <f>IF(OR(L163="",F163=""),"",IF(UPPER(H163)="SIM",IF(ISNUMBER(I163),ROUND(L163*ROUND(F163*I163,2),2),""),ROUND(L163*F163,2)))</f>
        <v/>
      </c>
      <c r="K163" s="105"/>
      <c r="L163" s="85" t="str">
        <f t="shared" si="11"/>
        <v/>
      </c>
      <c r="M163" s="606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TIPO_INVALIDO",IF(AND(ISNUMBER(SEARCH("NOVO",D163)),OR(INDEX(posicao_contratual!$C$2:$C$200,MATCH(A163,posicao_contratual!$A$2:$A$200,0))&lt;&gt;0,F163="",COUNTIFS($A$2:$A$200,A163,$B$2:$B$200,"&lt;"&amp;B163,$L$2:$L$200,"&gt;0")&gt;0)),"ALERTA: NOVO ITEM INVALIDO - use Acrescimo se o item ja existia; novo item exige QTD_BASE_ORIGINAL 0, VU_ORIGINAL e ser o 1o acrescimo do item.",IF(AND(ISNUMBER(SEARCH("NOVO",D163)),OR(N163="",ISERROR(MATCH(N163,{"C0","C1","C2","C3","C4"},0)))),"ALERTA: BASE_VU_OBRIGATORIA",IF(AND(NOT(ISNUMBER(SEARCH("NOVO",D163))),N163&lt;&gt;""),"ALERTA: BASE_VU_NAO_APLICAVEL",IF(AND(UPPER(H163)="SIM",NOT(ISNUMBER(I163))),"ALERTA: BASE_VU_INVALIDA_OU_POSTERIOR_AO_FATOR_ALVO","OK"))))))))))</f>
        <v/>
      </c>
      <c r="N163" s="608"/>
      <c r="O163" s="610" t="str">
        <f>IFERROR(IF((COUNTIFS($A$2:$A$200,$A163,$D$2:$D$200,"*novo*",$N$2:$N$200,"C0")+COUNTIFS($A$2:$A$200,$A163,$D$2:$D$200,"*novo*",$N$2:$N$200,"C1")+COUNTIFS($A$2:$A$200,$A163,$D$2:$D$200,"*novo*",$N$2:$N$200,"C2")+COUNTIFS($A$2:$A$200,$A163,$D$2:$D$200,"*novo*",$N$2:$N$200,"C3")+COUNTIFS($A$2:$A$200,$A163,$D$2:$D$200,"*novo*",$N$2:$N$200,"C4"))=1,IF(COUNTIFS($A$2:$A$200,$A163,$D$2:$D$200,"*novo*",$N$2:$N$200,"C4")&gt;0,4,IF(COUNTIFS($A$2:$A$200,$A163,$D$2:$D$200,"*novo*",$N$2:$N$200,"C3")&gt;0,3,IF(COUNTIFS($A$2:$A$200,$A163,$D$2:$D$200,"*novo*",$N$2:$N$200,"C2")&gt;0,2,IF(COUNTIFS($A$2:$A$200,$A163,$D$2:$D$200,"*novo*",$N$2:$N$200,"C1")&gt;0,1,IF(COUNTIFS($A$2:$A$200,$A163,$D$2:$D$200,"*novo*",$N$2:$N$200,"C0")&gt;0,0,""))))),IF(AND((COUNTIFS($A$2:$A$200,$A163,$D$2:$D$200,"*novo*",$N$2:$N$200,"C0")+COUNTIFS($A$2:$A$200,$A163,$D$2:$D$200,"*novo*",$N$2:$N$200,"C1")+COUNTIFS($A$2:$A$200,$A163,$D$2:$D$200,"*novo*",$N$2:$N$200,"C2")+COUNTIFS($A$2:$A$200,$A163,$D$2:$D$200,"*novo*",$N$2:$N$200,"C3")+COUNTIFS($A$2:$A$200,$A163,$D$2:$D$200,"*novo*",$N$2:$N$200,"C4"))=0,INDEX(posicao_contratual!$Y$2:$Y$200,MATCH($A163,posicao_contratual!$A$2:$A$200,0))=0),0,"")),"")</f>
        <v/>
      </c>
    </row>
    <row r="164" spans="1:15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IF(OR($A164="",$C164=""),"",IF(OR(($O164)="",($O164)&gt;(MIN(MATCH($C164,{"C0","C1","C2","C3","C4"},0)-1,COUNT(parametros!$F$2:$F$6)-1)),NOT(ISNUMBER(INDEX(parametros!$F$2:$F$6,(MIN(MATCH($C164,{"C0","C1","C2","C3","C4"},0)-1,COUNT(parametros!$F$2:$F$6)-1))+1))),NOT(ISNUMBER(INDEX(parametros!$F$2:$F$6,($O164)+1)))),"",INDEX(parametros!$F$2:$F$6,(MIN(MATCH($C164,{"C0","C1","C2","C3","C4"},0)-1,COUNT(parametros!$F$2:$F$6)-1))+1)/INDEX(parametros!$F$2:$F$6,($O164)+1))),"")</f>
        <v/>
      </c>
      <c r="J164" s="107" t="str">
        <f>IF(OR(L164="",F164=""),"",IF(UPPER(H164)="SIM",IF(ISNUMBER(I164),ROUND(L164*ROUND(F164*I164,2),2),""),ROUND(L164*F164,2)))</f>
        <v/>
      </c>
      <c r="K164" s="105"/>
      <c r="L164" s="85" t="str">
        <f t="shared" si="11"/>
        <v/>
      </c>
      <c r="M164" s="606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TIPO_INVALIDO",IF(AND(ISNUMBER(SEARCH("NOVO",D164)),OR(INDEX(posicao_contratual!$C$2:$C$200,MATCH(A164,posicao_contratual!$A$2:$A$200,0))&lt;&gt;0,F164="",COUNTIFS($A$2:$A$200,A164,$B$2:$B$200,"&lt;"&amp;B164,$L$2:$L$200,"&gt;0")&gt;0)),"ALERTA: NOVO ITEM INVALIDO - use Acrescimo se o item ja existia; novo item exige QTD_BASE_ORIGINAL 0, VU_ORIGINAL e ser o 1o acrescimo do item.",IF(AND(ISNUMBER(SEARCH("NOVO",D164)),OR(N164="",ISERROR(MATCH(N164,{"C0","C1","C2","C3","C4"},0)))),"ALERTA: BASE_VU_OBRIGATORIA",IF(AND(NOT(ISNUMBER(SEARCH("NOVO",D164))),N164&lt;&gt;""),"ALERTA: BASE_VU_NAO_APLICAVEL",IF(AND(UPPER(H164)="SIM",NOT(ISNUMBER(I164))),"ALERTA: BASE_VU_INVALIDA_OU_POSTERIOR_AO_FATOR_ALVO","OK"))))))))))</f>
        <v/>
      </c>
      <c r="N164" s="608"/>
      <c r="O164" s="610" t="str">
        <f>IFERROR(IF((COUNTIFS($A$2:$A$200,$A164,$D$2:$D$200,"*novo*",$N$2:$N$200,"C0")+COUNTIFS($A$2:$A$200,$A164,$D$2:$D$200,"*novo*",$N$2:$N$200,"C1")+COUNTIFS($A$2:$A$200,$A164,$D$2:$D$200,"*novo*",$N$2:$N$200,"C2")+COUNTIFS($A$2:$A$200,$A164,$D$2:$D$200,"*novo*",$N$2:$N$200,"C3")+COUNTIFS($A$2:$A$200,$A164,$D$2:$D$200,"*novo*",$N$2:$N$200,"C4"))=1,IF(COUNTIFS($A$2:$A$200,$A164,$D$2:$D$200,"*novo*",$N$2:$N$200,"C4")&gt;0,4,IF(COUNTIFS($A$2:$A$200,$A164,$D$2:$D$200,"*novo*",$N$2:$N$200,"C3")&gt;0,3,IF(COUNTIFS($A$2:$A$200,$A164,$D$2:$D$200,"*novo*",$N$2:$N$200,"C2")&gt;0,2,IF(COUNTIFS($A$2:$A$200,$A164,$D$2:$D$200,"*novo*",$N$2:$N$200,"C1")&gt;0,1,IF(COUNTIFS($A$2:$A$200,$A164,$D$2:$D$200,"*novo*",$N$2:$N$200,"C0")&gt;0,0,""))))),IF(AND((COUNTIFS($A$2:$A$200,$A164,$D$2:$D$200,"*novo*",$N$2:$N$200,"C0")+COUNTIFS($A$2:$A$200,$A164,$D$2:$D$200,"*novo*",$N$2:$N$200,"C1")+COUNTIFS($A$2:$A$200,$A164,$D$2:$D$200,"*novo*",$N$2:$N$200,"C2")+COUNTIFS($A$2:$A$200,$A164,$D$2:$D$200,"*novo*",$N$2:$N$200,"C3")+COUNTIFS($A$2:$A$200,$A164,$D$2:$D$200,"*novo*",$N$2:$N$200,"C4"))=0,INDEX(posicao_contratual!$Y$2:$Y$200,MATCH($A164,posicao_contratual!$A$2:$A$200,0))=0),0,"")),"")</f>
        <v/>
      </c>
    </row>
    <row r="165" spans="1:15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IF(OR($A165="",$C165=""),"",IF(OR(($O165)="",($O165)&gt;(MIN(MATCH($C165,{"C0","C1","C2","C3","C4"},0)-1,COUNT(parametros!$F$2:$F$6)-1)),NOT(ISNUMBER(INDEX(parametros!$F$2:$F$6,(MIN(MATCH($C165,{"C0","C1","C2","C3","C4"},0)-1,COUNT(parametros!$F$2:$F$6)-1))+1))),NOT(ISNUMBER(INDEX(parametros!$F$2:$F$6,($O165)+1)))),"",INDEX(parametros!$F$2:$F$6,(MIN(MATCH($C165,{"C0","C1","C2","C3","C4"},0)-1,COUNT(parametros!$F$2:$F$6)-1))+1)/INDEX(parametros!$F$2:$F$6,($O165)+1))),"")</f>
        <v/>
      </c>
      <c r="J165" s="107" t="str">
        <f>IF(OR(L165="",F165=""),"",IF(UPPER(H165)="SIM",IF(ISNUMBER(I165),ROUND(L165*ROUND(F165*I165,2),2),""),ROUND(L165*F165,2)))</f>
        <v/>
      </c>
      <c r="K165" s="105"/>
      <c r="L165" s="85" t="str">
        <f t="shared" si="11"/>
        <v/>
      </c>
      <c r="M165" s="606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TIPO_INVALIDO",IF(AND(ISNUMBER(SEARCH("NOVO",D165)),OR(INDEX(posicao_contratual!$C$2:$C$200,MATCH(A165,posicao_contratual!$A$2:$A$200,0))&lt;&gt;0,F165="",COUNTIFS($A$2:$A$200,A165,$B$2:$B$200,"&lt;"&amp;B165,$L$2:$L$200,"&gt;0")&gt;0)),"ALERTA: NOVO ITEM INVALIDO - use Acrescimo se o item ja existia; novo item exige QTD_BASE_ORIGINAL 0, VU_ORIGINAL e ser o 1o acrescimo do item.",IF(AND(ISNUMBER(SEARCH("NOVO",D165)),OR(N165="",ISERROR(MATCH(N165,{"C0","C1","C2","C3","C4"},0)))),"ALERTA: BASE_VU_OBRIGATORIA",IF(AND(NOT(ISNUMBER(SEARCH("NOVO",D165))),N165&lt;&gt;""),"ALERTA: BASE_VU_NAO_APLICAVEL",IF(AND(UPPER(H165)="SIM",NOT(ISNUMBER(I165))),"ALERTA: BASE_VU_INVALIDA_OU_POSTERIOR_AO_FATOR_ALVO","OK"))))))))))</f>
        <v/>
      </c>
      <c r="N165" s="608"/>
      <c r="O165" s="610" t="str">
        <f>IFERROR(IF((COUNTIFS($A$2:$A$200,$A165,$D$2:$D$200,"*novo*",$N$2:$N$200,"C0")+COUNTIFS($A$2:$A$200,$A165,$D$2:$D$200,"*novo*",$N$2:$N$200,"C1")+COUNTIFS($A$2:$A$200,$A165,$D$2:$D$200,"*novo*",$N$2:$N$200,"C2")+COUNTIFS($A$2:$A$200,$A165,$D$2:$D$200,"*novo*",$N$2:$N$200,"C3")+COUNTIFS($A$2:$A$200,$A165,$D$2:$D$200,"*novo*",$N$2:$N$200,"C4"))=1,IF(COUNTIFS($A$2:$A$200,$A165,$D$2:$D$200,"*novo*",$N$2:$N$200,"C4")&gt;0,4,IF(COUNTIFS($A$2:$A$200,$A165,$D$2:$D$200,"*novo*",$N$2:$N$200,"C3")&gt;0,3,IF(COUNTIFS($A$2:$A$200,$A165,$D$2:$D$200,"*novo*",$N$2:$N$200,"C2")&gt;0,2,IF(COUNTIFS($A$2:$A$200,$A165,$D$2:$D$200,"*novo*",$N$2:$N$200,"C1")&gt;0,1,IF(COUNTIFS($A$2:$A$200,$A165,$D$2:$D$200,"*novo*",$N$2:$N$200,"C0")&gt;0,0,""))))),IF(AND((COUNTIFS($A$2:$A$200,$A165,$D$2:$D$200,"*novo*",$N$2:$N$200,"C0")+COUNTIFS($A$2:$A$200,$A165,$D$2:$D$200,"*novo*",$N$2:$N$200,"C1")+COUNTIFS($A$2:$A$200,$A165,$D$2:$D$200,"*novo*",$N$2:$N$200,"C2")+COUNTIFS($A$2:$A$200,$A165,$D$2:$D$200,"*novo*",$N$2:$N$200,"C3")+COUNTIFS($A$2:$A$200,$A165,$D$2:$D$200,"*novo*",$N$2:$N$200,"C4"))=0,INDEX(posicao_contratual!$Y$2:$Y$200,MATCH($A165,posicao_contratual!$A$2:$A$200,0))=0),0,"")),"")</f>
        <v/>
      </c>
    </row>
    <row r="166" spans="1:15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IF(OR($A166="",$C166=""),"",IF(OR(($O166)="",($O166)&gt;(MIN(MATCH($C166,{"C0","C1","C2","C3","C4"},0)-1,COUNT(parametros!$F$2:$F$6)-1)),NOT(ISNUMBER(INDEX(parametros!$F$2:$F$6,(MIN(MATCH($C166,{"C0","C1","C2","C3","C4"},0)-1,COUNT(parametros!$F$2:$F$6)-1))+1))),NOT(ISNUMBER(INDEX(parametros!$F$2:$F$6,($O166)+1)))),"",INDEX(parametros!$F$2:$F$6,(MIN(MATCH($C166,{"C0","C1","C2","C3","C4"},0)-1,COUNT(parametros!$F$2:$F$6)-1))+1)/INDEX(parametros!$F$2:$F$6,($O166)+1))),"")</f>
        <v/>
      </c>
      <c r="J166" s="107" t="str">
        <f>IF(OR(L166="",F166=""),"",IF(UPPER(H166)="SIM",IF(ISNUMBER(I166),ROUND(L166*ROUND(F166*I166,2),2),""),ROUND(L166*F166,2)))</f>
        <v/>
      </c>
      <c r="K166" s="105"/>
      <c r="L166" s="85" t="str">
        <f t="shared" si="11"/>
        <v/>
      </c>
      <c r="M166" s="606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TIPO_INVALIDO",IF(AND(ISNUMBER(SEARCH("NOVO",D166)),OR(INDEX(posicao_contratual!$C$2:$C$200,MATCH(A166,posicao_contratual!$A$2:$A$200,0))&lt;&gt;0,F166="",COUNTIFS($A$2:$A$200,A166,$B$2:$B$200,"&lt;"&amp;B166,$L$2:$L$200,"&gt;0")&gt;0)),"ALERTA: NOVO ITEM INVALIDO - use Acrescimo se o item ja existia; novo item exige QTD_BASE_ORIGINAL 0, VU_ORIGINAL e ser o 1o acrescimo do item.",IF(AND(ISNUMBER(SEARCH("NOVO",D166)),OR(N166="",ISERROR(MATCH(N166,{"C0","C1","C2","C3","C4"},0)))),"ALERTA: BASE_VU_OBRIGATORIA",IF(AND(NOT(ISNUMBER(SEARCH("NOVO",D166))),N166&lt;&gt;""),"ALERTA: BASE_VU_NAO_APLICAVEL",IF(AND(UPPER(H166)="SIM",NOT(ISNUMBER(I166))),"ALERTA: BASE_VU_INVALIDA_OU_POSTERIOR_AO_FATOR_ALVO","OK"))))))))))</f>
        <v/>
      </c>
      <c r="N166" s="608"/>
      <c r="O166" s="610" t="str">
        <f>IFERROR(IF((COUNTIFS($A$2:$A$200,$A166,$D$2:$D$200,"*novo*",$N$2:$N$200,"C0")+COUNTIFS($A$2:$A$200,$A166,$D$2:$D$200,"*novo*",$N$2:$N$200,"C1")+COUNTIFS($A$2:$A$200,$A166,$D$2:$D$200,"*novo*",$N$2:$N$200,"C2")+COUNTIFS($A$2:$A$200,$A166,$D$2:$D$200,"*novo*",$N$2:$N$200,"C3")+COUNTIFS($A$2:$A$200,$A166,$D$2:$D$200,"*novo*",$N$2:$N$200,"C4"))=1,IF(COUNTIFS($A$2:$A$200,$A166,$D$2:$D$200,"*novo*",$N$2:$N$200,"C4")&gt;0,4,IF(COUNTIFS($A$2:$A$200,$A166,$D$2:$D$200,"*novo*",$N$2:$N$200,"C3")&gt;0,3,IF(COUNTIFS($A$2:$A$200,$A166,$D$2:$D$200,"*novo*",$N$2:$N$200,"C2")&gt;0,2,IF(COUNTIFS($A$2:$A$200,$A166,$D$2:$D$200,"*novo*",$N$2:$N$200,"C1")&gt;0,1,IF(COUNTIFS($A$2:$A$200,$A166,$D$2:$D$200,"*novo*",$N$2:$N$200,"C0")&gt;0,0,""))))),IF(AND((COUNTIFS($A$2:$A$200,$A166,$D$2:$D$200,"*novo*",$N$2:$N$200,"C0")+COUNTIFS($A$2:$A$200,$A166,$D$2:$D$200,"*novo*",$N$2:$N$200,"C1")+COUNTIFS($A$2:$A$200,$A166,$D$2:$D$200,"*novo*",$N$2:$N$200,"C2")+COUNTIFS($A$2:$A$200,$A166,$D$2:$D$200,"*novo*",$N$2:$N$200,"C3")+COUNTIFS($A$2:$A$200,$A166,$D$2:$D$200,"*novo*",$N$2:$N$200,"C4"))=0,INDEX(posicao_contratual!$Y$2:$Y$200,MATCH($A166,posicao_contratual!$A$2:$A$200,0))=0),0,"")),"")</f>
        <v/>
      </c>
    </row>
    <row r="167" spans="1:15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IF(OR($A167="",$C167=""),"",IF(OR(($O167)="",($O167)&gt;(MIN(MATCH($C167,{"C0","C1","C2","C3","C4"},0)-1,COUNT(parametros!$F$2:$F$6)-1)),NOT(ISNUMBER(INDEX(parametros!$F$2:$F$6,(MIN(MATCH($C167,{"C0","C1","C2","C3","C4"},0)-1,COUNT(parametros!$F$2:$F$6)-1))+1))),NOT(ISNUMBER(INDEX(parametros!$F$2:$F$6,($O167)+1)))),"",INDEX(parametros!$F$2:$F$6,(MIN(MATCH($C167,{"C0","C1","C2","C3","C4"},0)-1,COUNT(parametros!$F$2:$F$6)-1))+1)/INDEX(parametros!$F$2:$F$6,($O167)+1))),"")</f>
        <v/>
      </c>
      <c r="J167" s="107" t="str">
        <f>IF(OR(L167="",F167=""),"",IF(UPPER(H167)="SIM",IF(ISNUMBER(I167),ROUND(L167*ROUND(F167*I167,2),2),""),ROUND(L167*F167,2)))</f>
        <v/>
      </c>
      <c r="K167" s="105"/>
      <c r="L167" s="85" t="str">
        <f t="shared" si="11"/>
        <v/>
      </c>
      <c r="M167" s="606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TIPO_INVALIDO",IF(AND(ISNUMBER(SEARCH("NOVO",D167)),OR(INDEX(posicao_contratual!$C$2:$C$200,MATCH(A167,posicao_contratual!$A$2:$A$200,0))&lt;&gt;0,F167="",COUNTIFS($A$2:$A$200,A167,$B$2:$B$200,"&lt;"&amp;B167,$L$2:$L$200,"&gt;0")&gt;0)),"ALERTA: NOVO ITEM INVALIDO - use Acrescimo se o item ja existia; novo item exige QTD_BASE_ORIGINAL 0, VU_ORIGINAL e ser o 1o acrescimo do item.",IF(AND(ISNUMBER(SEARCH("NOVO",D167)),OR(N167="",ISERROR(MATCH(N167,{"C0","C1","C2","C3","C4"},0)))),"ALERTA: BASE_VU_OBRIGATORIA",IF(AND(NOT(ISNUMBER(SEARCH("NOVO",D167))),N167&lt;&gt;""),"ALERTA: BASE_VU_NAO_APLICAVEL",IF(AND(UPPER(H167)="SIM",NOT(ISNUMBER(I167))),"ALERTA: BASE_VU_INVALIDA_OU_POSTERIOR_AO_FATOR_ALVO","OK"))))))))))</f>
        <v/>
      </c>
      <c r="N167" s="608"/>
      <c r="O167" s="610" t="str">
        <f>IFERROR(IF((COUNTIFS($A$2:$A$200,$A167,$D$2:$D$200,"*novo*",$N$2:$N$200,"C0")+COUNTIFS($A$2:$A$200,$A167,$D$2:$D$200,"*novo*",$N$2:$N$200,"C1")+COUNTIFS($A$2:$A$200,$A167,$D$2:$D$200,"*novo*",$N$2:$N$200,"C2")+COUNTIFS($A$2:$A$200,$A167,$D$2:$D$200,"*novo*",$N$2:$N$200,"C3")+COUNTIFS($A$2:$A$200,$A167,$D$2:$D$200,"*novo*",$N$2:$N$200,"C4"))=1,IF(COUNTIFS($A$2:$A$200,$A167,$D$2:$D$200,"*novo*",$N$2:$N$200,"C4")&gt;0,4,IF(COUNTIFS($A$2:$A$200,$A167,$D$2:$D$200,"*novo*",$N$2:$N$200,"C3")&gt;0,3,IF(COUNTIFS($A$2:$A$200,$A167,$D$2:$D$200,"*novo*",$N$2:$N$200,"C2")&gt;0,2,IF(COUNTIFS($A$2:$A$200,$A167,$D$2:$D$200,"*novo*",$N$2:$N$200,"C1")&gt;0,1,IF(COUNTIFS($A$2:$A$200,$A167,$D$2:$D$200,"*novo*",$N$2:$N$200,"C0")&gt;0,0,""))))),IF(AND((COUNTIFS($A$2:$A$200,$A167,$D$2:$D$200,"*novo*",$N$2:$N$200,"C0")+COUNTIFS($A$2:$A$200,$A167,$D$2:$D$200,"*novo*",$N$2:$N$200,"C1")+COUNTIFS($A$2:$A$200,$A167,$D$2:$D$200,"*novo*",$N$2:$N$200,"C2")+COUNTIFS($A$2:$A$200,$A167,$D$2:$D$200,"*novo*",$N$2:$N$200,"C3")+COUNTIFS($A$2:$A$200,$A167,$D$2:$D$200,"*novo*",$N$2:$N$200,"C4"))=0,INDEX(posicao_contratual!$Y$2:$Y$200,MATCH($A167,posicao_contratual!$A$2:$A$200,0))=0),0,"")),"")</f>
        <v/>
      </c>
    </row>
    <row r="168" spans="1:15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IF(OR($A168="",$C168=""),"",IF(OR(($O168)="",($O168)&gt;(MIN(MATCH($C168,{"C0","C1","C2","C3","C4"},0)-1,COUNT(parametros!$F$2:$F$6)-1)),NOT(ISNUMBER(INDEX(parametros!$F$2:$F$6,(MIN(MATCH($C168,{"C0","C1","C2","C3","C4"},0)-1,COUNT(parametros!$F$2:$F$6)-1))+1))),NOT(ISNUMBER(INDEX(parametros!$F$2:$F$6,($O168)+1)))),"",INDEX(parametros!$F$2:$F$6,(MIN(MATCH($C168,{"C0","C1","C2","C3","C4"},0)-1,COUNT(parametros!$F$2:$F$6)-1))+1)/INDEX(parametros!$F$2:$F$6,($O168)+1))),"")</f>
        <v/>
      </c>
      <c r="J168" s="107" t="str">
        <f>IF(OR(L168="",F168=""),"",IF(UPPER(H168)="SIM",IF(ISNUMBER(I168),ROUND(L168*ROUND(F168*I168,2),2),""),ROUND(L168*F168,2)))</f>
        <v/>
      </c>
      <c r="K168" s="105"/>
      <c r="L168" s="85" t="str">
        <f t="shared" si="11"/>
        <v/>
      </c>
      <c r="M168" s="606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TIPO_INVALIDO",IF(AND(ISNUMBER(SEARCH("NOVO",D168)),OR(INDEX(posicao_contratual!$C$2:$C$200,MATCH(A168,posicao_contratual!$A$2:$A$200,0))&lt;&gt;0,F168="",COUNTIFS($A$2:$A$200,A168,$B$2:$B$200,"&lt;"&amp;B168,$L$2:$L$200,"&gt;0")&gt;0)),"ALERTA: NOVO ITEM INVALIDO - use Acrescimo se o item ja existia; novo item exige QTD_BASE_ORIGINAL 0, VU_ORIGINAL e ser o 1o acrescimo do item.",IF(AND(ISNUMBER(SEARCH("NOVO",D168)),OR(N168="",ISERROR(MATCH(N168,{"C0","C1","C2","C3","C4"},0)))),"ALERTA: BASE_VU_OBRIGATORIA",IF(AND(NOT(ISNUMBER(SEARCH("NOVO",D168))),N168&lt;&gt;""),"ALERTA: BASE_VU_NAO_APLICAVEL",IF(AND(UPPER(H168)="SIM",NOT(ISNUMBER(I168))),"ALERTA: BASE_VU_INVALIDA_OU_POSTERIOR_AO_FATOR_ALVO","OK"))))))))))</f>
        <v/>
      </c>
      <c r="N168" s="608"/>
      <c r="O168" s="610" t="str">
        <f>IFERROR(IF((COUNTIFS($A$2:$A$200,$A168,$D$2:$D$200,"*novo*",$N$2:$N$200,"C0")+COUNTIFS($A$2:$A$200,$A168,$D$2:$D$200,"*novo*",$N$2:$N$200,"C1")+COUNTIFS($A$2:$A$200,$A168,$D$2:$D$200,"*novo*",$N$2:$N$200,"C2")+COUNTIFS($A$2:$A$200,$A168,$D$2:$D$200,"*novo*",$N$2:$N$200,"C3")+COUNTIFS($A$2:$A$200,$A168,$D$2:$D$200,"*novo*",$N$2:$N$200,"C4"))=1,IF(COUNTIFS($A$2:$A$200,$A168,$D$2:$D$200,"*novo*",$N$2:$N$200,"C4")&gt;0,4,IF(COUNTIFS($A$2:$A$200,$A168,$D$2:$D$200,"*novo*",$N$2:$N$200,"C3")&gt;0,3,IF(COUNTIFS($A$2:$A$200,$A168,$D$2:$D$200,"*novo*",$N$2:$N$200,"C2")&gt;0,2,IF(COUNTIFS($A$2:$A$200,$A168,$D$2:$D$200,"*novo*",$N$2:$N$200,"C1")&gt;0,1,IF(COUNTIFS($A$2:$A$200,$A168,$D$2:$D$200,"*novo*",$N$2:$N$200,"C0")&gt;0,0,""))))),IF(AND((COUNTIFS($A$2:$A$200,$A168,$D$2:$D$200,"*novo*",$N$2:$N$200,"C0")+COUNTIFS($A$2:$A$200,$A168,$D$2:$D$200,"*novo*",$N$2:$N$200,"C1")+COUNTIFS($A$2:$A$200,$A168,$D$2:$D$200,"*novo*",$N$2:$N$200,"C2")+COUNTIFS($A$2:$A$200,$A168,$D$2:$D$200,"*novo*",$N$2:$N$200,"C3")+COUNTIFS($A$2:$A$200,$A168,$D$2:$D$200,"*novo*",$N$2:$N$200,"C4"))=0,INDEX(posicao_contratual!$Y$2:$Y$200,MATCH($A168,posicao_contratual!$A$2:$A$200,0))=0),0,"")),"")</f>
        <v/>
      </c>
    </row>
    <row r="169" spans="1:15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IF(OR($A169="",$C169=""),"",IF(OR(($O169)="",($O169)&gt;(MIN(MATCH($C169,{"C0","C1","C2","C3","C4"},0)-1,COUNT(parametros!$F$2:$F$6)-1)),NOT(ISNUMBER(INDEX(parametros!$F$2:$F$6,(MIN(MATCH($C169,{"C0","C1","C2","C3","C4"},0)-1,COUNT(parametros!$F$2:$F$6)-1))+1))),NOT(ISNUMBER(INDEX(parametros!$F$2:$F$6,($O169)+1)))),"",INDEX(parametros!$F$2:$F$6,(MIN(MATCH($C169,{"C0","C1","C2","C3","C4"},0)-1,COUNT(parametros!$F$2:$F$6)-1))+1)/INDEX(parametros!$F$2:$F$6,($O169)+1))),"")</f>
        <v/>
      </c>
      <c r="J169" s="107" t="str">
        <f>IF(OR(L169="",F169=""),"",IF(UPPER(H169)="SIM",IF(ISNUMBER(I169),ROUND(L169*ROUND(F169*I169,2),2),""),ROUND(L169*F169,2)))</f>
        <v/>
      </c>
      <c r="K169" s="105"/>
      <c r="L169" s="85" t="str">
        <f t="shared" si="11"/>
        <v/>
      </c>
      <c r="M169" s="606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TIPO_INVALIDO",IF(AND(ISNUMBER(SEARCH("NOVO",D169)),OR(INDEX(posicao_contratual!$C$2:$C$200,MATCH(A169,posicao_contratual!$A$2:$A$200,0))&lt;&gt;0,F169="",COUNTIFS($A$2:$A$200,A169,$B$2:$B$200,"&lt;"&amp;B169,$L$2:$L$200,"&gt;0")&gt;0)),"ALERTA: NOVO ITEM INVALIDO - use Acrescimo se o item ja existia; novo item exige QTD_BASE_ORIGINAL 0, VU_ORIGINAL e ser o 1o acrescimo do item.",IF(AND(ISNUMBER(SEARCH("NOVO",D169)),OR(N169="",ISERROR(MATCH(N169,{"C0","C1","C2","C3","C4"},0)))),"ALERTA: BASE_VU_OBRIGATORIA",IF(AND(NOT(ISNUMBER(SEARCH("NOVO",D169))),N169&lt;&gt;""),"ALERTA: BASE_VU_NAO_APLICAVEL",IF(AND(UPPER(H169)="SIM",NOT(ISNUMBER(I169))),"ALERTA: BASE_VU_INVALIDA_OU_POSTERIOR_AO_FATOR_ALVO","OK"))))))))))</f>
        <v/>
      </c>
      <c r="N169" s="608"/>
      <c r="O169" s="610" t="str">
        <f>IFERROR(IF((COUNTIFS($A$2:$A$200,$A169,$D$2:$D$200,"*novo*",$N$2:$N$200,"C0")+COUNTIFS($A$2:$A$200,$A169,$D$2:$D$200,"*novo*",$N$2:$N$200,"C1")+COUNTIFS($A$2:$A$200,$A169,$D$2:$D$200,"*novo*",$N$2:$N$200,"C2")+COUNTIFS($A$2:$A$200,$A169,$D$2:$D$200,"*novo*",$N$2:$N$200,"C3")+COUNTIFS($A$2:$A$200,$A169,$D$2:$D$200,"*novo*",$N$2:$N$200,"C4"))=1,IF(COUNTIFS($A$2:$A$200,$A169,$D$2:$D$200,"*novo*",$N$2:$N$200,"C4")&gt;0,4,IF(COUNTIFS($A$2:$A$200,$A169,$D$2:$D$200,"*novo*",$N$2:$N$200,"C3")&gt;0,3,IF(COUNTIFS($A$2:$A$200,$A169,$D$2:$D$200,"*novo*",$N$2:$N$200,"C2")&gt;0,2,IF(COUNTIFS($A$2:$A$200,$A169,$D$2:$D$200,"*novo*",$N$2:$N$200,"C1")&gt;0,1,IF(COUNTIFS($A$2:$A$200,$A169,$D$2:$D$200,"*novo*",$N$2:$N$200,"C0")&gt;0,0,""))))),IF(AND((COUNTIFS($A$2:$A$200,$A169,$D$2:$D$200,"*novo*",$N$2:$N$200,"C0")+COUNTIFS($A$2:$A$200,$A169,$D$2:$D$200,"*novo*",$N$2:$N$200,"C1")+COUNTIFS($A$2:$A$200,$A169,$D$2:$D$200,"*novo*",$N$2:$N$200,"C2")+COUNTIFS($A$2:$A$200,$A169,$D$2:$D$200,"*novo*",$N$2:$N$200,"C3")+COUNTIFS($A$2:$A$200,$A169,$D$2:$D$200,"*novo*",$N$2:$N$200,"C4"))=0,INDEX(posicao_contratual!$Y$2:$Y$200,MATCH($A169,posicao_contratual!$A$2:$A$200,0))=0),0,"")),"")</f>
        <v/>
      </c>
    </row>
    <row r="170" spans="1:15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IF(OR($A170="",$C170=""),"",IF(OR(($O170)="",($O170)&gt;(MIN(MATCH($C170,{"C0","C1","C2","C3","C4"},0)-1,COUNT(parametros!$F$2:$F$6)-1)),NOT(ISNUMBER(INDEX(parametros!$F$2:$F$6,(MIN(MATCH($C170,{"C0","C1","C2","C3","C4"},0)-1,COUNT(parametros!$F$2:$F$6)-1))+1))),NOT(ISNUMBER(INDEX(parametros!$F$2:$F$6,($O170)+1)))),"",INDEX(parametros!$F$2:$F$6,(MIN(MATCH($C170,{"C0","C1","C2","C3","C4"},0)-1,COUNT(parametros!$F$2:$F$6)-1))+1)/INDEX(parametros!$F$2:$F$6,($O170)+1))),"")</f>
        <v/>
      </c>
      <c r="J170" s="107" t="str">
        <f>IF(OR(L170="",F170=""),"",IF(UPPER(H170)="SIM",IF(ISNUMBER(I170),ROUND(L170*ROUND(F170*I170,2),2),""),ROUND(L170*F170,2)))</f>
        <v/>
      </c>
      <c r="K170" s="105"/>
      <c r="L170" s="85" t="str">
        <f t="shared" si="11"/>
        <v/>
      </c>
      <c r="M170" s="606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TIPO_INVALIDO",IF(AND(ISNUMBER(SEARCH("NOVO",D170)),OR(INDEX(posicao_contratual!$C$2:$C$200,MATCH(A170,posicao_contratual!$A$2:$A$200,0))&lt;&gt;0,F170="",COUNTIFS($A$2:$A$200,A170,$B$2:$B$200,"&lt;"&amp;B170,$L$2:$L$200,"&gt;0")&gt;0)),"ALERTA: NOVO ITEM INVALIDO - use Acrescimo se o item ja existia; novo item exige QTD_BASE_ORIGINAL 0, VU_ORIGINAL e ser o 1o acrescimo do item.",IF(AND(ISNUMBER(SEARCH("NOVO",D170)),OR(N170="",ISERROR(MATCH(N170,{"C0","C1","C2","C3","C4"},0)))),"ALERTA: BASE_VU_OBRIGATORIA",IF(AND(NOT(ISNUMBER(SEARCH("NOVO",D170))),N170&lt;&gt;""),"ALERTA: BASE_VU_NAO_APLICAVEL",IF(AND(UPPER(H170)="SIM",NOT(ISNUMBER(I170))),"ALERTA: BASE_VU_INVALIDA_OU_POSTERIOR_AO_FATOR_ALVO","OK"))))))))))</f>
        <v/>
      </c>
      <c r="N170" s="608"/>
      <c r="O170" s="610" t="str">
        <f>IFERROR(IF((COUNTIFS($A$2:$A$200,$A170,$D$2:$D$200,"*novo*",$N$2:$N$200,"C0")+COUNTIFS($A$2:$A$200,$A170,$D$2:$D$200,"*novo*",$N$2:$N$200,"C1")+COUNTIFS($A$2:$A$200,$A170,$D$2:$D$200,"*novo*",$N$2:$N$200,"C2")+COUNTIFS($A$2:$A$200,$A170,$D$2:$D$200,"*novo*",$N$2:$N$200,"C3")+COUNTIFS($A$2:$A$200,$A170,$D$2:$D$200,"*novo*",$N$2:$N$200,"C4"))=1,IF(COUNTIFS($A$2:$A$200,$A170,$D$2:$D$200,"*novo*",$N$2:$N$200,"C4")&gt;0,4,IF(COUNTIFS($A$2:$A$200,$A170,$D$2:$D$200,"*novo*",$N$2:$N$200,"C3")&gt;0,3,IF(COUNTIFS($A$2:$A$200,$A170,$D$2:$D$200,"*novo*",$N$2:$N$200,"C2")&gt;0,2,IF(COUNTIFS($A$2:$A$200,$A170,$D$2:$D$200,"*novo*",$N$2:$N$200,"C1")&gt;0,1,IF(COUNTIFS($A$2:$A$200,$A170,$D$2:$D$200,"*novo*",$N$2:$N$200,"C0")&gt;0,0,""))))),IF(AND((COUNTIFS($A$2:$A$200,$A170,$D$2:$D$200,"*novo*",$N$2:$N$200,"C0")+COUNTIFS($A$2:$A$200,$A170,$D$2:$D$200,"*novo*",$N$2:$N$200,"C1")+COUNTIFS($A$2:$A$200,$A170,$D$2:$D$200,"*novo*",$N$2:$N$200,"C2")+COUNTIFS($A$2:$A$200,$A170,$D$2:$D$200,"*novo*",$N$2:$N$200,"C3")+COUNTIFS($A$2:$A$200,$A170,$D$2:$D$200,"*novo*",$N$2:$N$200,"C4"))=0,INDEX(posicao_contratual!$Y$2:$Y$200,MATCH($A170,posicao_contratual!$A$2:$A$200,0))=0),0,"")),"")</f>
        <v/>
      </c>
    </row>
    <row r="171" spans="1:15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IF(OR($A171="",$C171=""),"",IF(OR(($O171)="",($O171)&gt;(MIN(MATCH($C171,{"C0","C1","C2","C3","C4"},0)-1,COUNT(parametros!$F$2:$F$6)-1)),NOT(ISNUMBER(INDEX(parametros!$F$2:$F$6,(MIN(MATCH($C171,{"C0","C1","C2","C3","C4"},0)-1,COUNT(parametros!$F$2:$F$6)-1))+1))),NOT(ISNUMBER(INDEX(parametros!$F$2:$F$6,($O171)+1)))),"",INDEX(parametros!$F$2:$F$6,(MIN(MATCH($C171,{"C0","C1","C2","C3","C4"},0)-1,COUNT(parametros!$F$2:$F$6)-1))+1)/INDEX(parametros!$F$2:$F$6,($O171)+1))),"")</f>
        <v/>
      </c>
      <c r="J171" s="107" t="str">
        <f>IF(OR(L171="",F171=""),"",IF(UPPER(H171)="SIM",IF(ISNUMBER(I171),ROUND(L171*ROUND(F171*I171,2),2),""),ROUND(L171*F171,2)))</f>
        <v/>
      </c>
      <c r="K171" s="105"/>
      <c r="L171" s="85" t="str">
        <f t="shared" si="11"/>
        <v/>
      </c>
      <c r="M171" s="606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TIPO_INVALIDO",IF(AND(ISNUMBER(SEARCH("NOVO",D171)),OR(INDEX(posicao_contratual!$C$2:$C$200,MATCH(A171,posicao_contratual!$A$2:$A$200,0))&lt;&gt;0,F171="",COUNTIFS($A$2:$A$200,A171,$B$2:$B$200,"&lt;"&amp;B171,$L$2:$L$200,"&gt;0")&gt;0)),"ALERTA: NOVO ITEM INVALIDO - use Acrescimo se o item ja existia; novo item exige QTD_BASE_ORIGINAL 0, VU_ORIGINAL e ser o 1o acrescimo do item.",IF(AND(ISNUMBER(SEARCH("NOVO",D171)),OR(N171="",ISERROR(MATCH(N171,{"C0","C1","C2","C3","C4"},0)))),"ALERTA: BASE_VU_OBRIGATORIA",IF(AND(NOT(ISNUMBER(SEARCH("NOVO",D171))),N171&lt;&gt;""),"ALERTA: BASE_VU_NAO_APLICAVEL",IF(AND(UPPER(H171)="SIM",NOT(ISNUMBER(I171))),"ALERTA: BASE_VU_INVALIDA_OU_POSTERIOR_AO_FATOR_ALVO","OK"))))))))))</f>
        <v/>
      </c>
      <c r="N171" s="608"/>
      <c r="O171" s="610" t="str">
        <f>IFERROR(IF((COUNTIFS($A$2:$A$200,$A171,$D$2:$D$200,"*novo*",$N$2:$N$200,"C0")+COUNTIFS($A$2:$A$200,$A171,$D$2:$D$200,"*novo*",$N$2:$N$200,"C1")+COUNTIFS($A$2:$A$200,$A171,$D$2:$D$200,"*novo*",$N$2:$N$200,"C2")+COUNTIFS($A$2:$A$200,$A171,$D$2:$D$200,"*novo*",$N$2:$N$200,"C3")+COUNTIFS($A$2:$A$200,$A171,$D$2:$D$200,"*novo*",$N$2:$N$200,"C4"))=1,IF(COUNTIFS($A$2:$A$200,$A171,$D$2:$D$200,"*novo*",$N$2:$N$200,"C4")&gt;0,4,IF(COUNTIFS($A$2:$A$200,$A171,$D$2:$D$200,"*novo*",$N$2:$N$200,"C3")&gt;0,3,IF(COUNTIFS($A$2:$A$200,$A171,$D$2:$D$200,"*novo*",$N$2:$N$200,"C2")&gt;0,2,IF(COUNTIFS($A$2:$A$200,$A171,$D$2:$D$200,"*novo*",$N$2:$N$200,"C1")&gt;0,1,IF(COUNTIFS($A$2:$A$200,$A171,$D$2:$D$200,"*novo*",$N$2:$N$200,"C0")&gt;0,0,""))))),IF(AND((COUNTIFS($A$2:$A$200,$A171,$D$2:$D$200,"*novo*",$N$2:$N$200,"C0")+COUNTIFS($A$2:$A$200,$A171,$D$2:$D$200,"*novo*",$N$2:$N$200,"C1")+COUNTIFS($A$2:$A$200,$A171,$D$2:$D$200,"*novo*",$N$2:$N$200,"C2")+COUNTIFS($A$2:$A$200,$A171,$D$2:$D$200,"*novo*",$N$2:$N$200,"C3")+COUNTIFS($A$2:$A$200,$A171,$D$2:$D$200,"*novo*",$N$2:$N$200,"C4"))=0,INDEX(posicao_contratual!$Y$2:$Y$200,MATCH($A171,posicao_contratual!$A$2:$A$200,0))=0),0,"")),"")</f>
        <v/>
      </c>
    </row>
    <row r="172" spans="1:15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IF(OR($A172="",$C172=""),"",IF(OR(($O172)="",($O172)&gt;(MIN(MATCH($C172,{"C0","C1","C2","C3","C4"},0)-1,COUNT(parametros!$F$2:$F$6)-1)),NOT(ISNUMBER(INDEX(parametros!$F$2:$F$6,(MIN(MATCH($C172,{"C0","C1","C2","C3","C4"},0)-1,COUNT(parametros!$F$2:$F$6)-1))+1))),NOT(ISNUMBER(INDEX(parametros!$F$2:$F$6,($O172)+1)))),"",INDEX(parametros!$F$2:$F$6,(MIN(MATCH($C172,{"C0","C1","C2","C3","C4"},0)-1,COUNT(parametros!$F$2:$F$6)-1))+1)/INDEX(parametros!$F$2:$F$6,($O172)+1))),"")</f>
        <v/>
      </c>
      <c r="J172" s="107" t="str">
        <f>IF(OR(L172="",F172=""),"",IF(UPPER(H172)="SIM",IF(ISNUMBER(I172),ROUND(L172*ROUND(F172*I172,2),2),""),ROUND(L172*F172,2)))</f>
        <v/>
      </c>
      <c r="K172" s="105"/>
      <c r="L172" s="85" t="str">
        <f t="shared" si="11"/>
        <v/>
      </c>
      <c r="M172" s="606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TIPO_INVALIDO",IF(AND(ISNUMBER(SEARCH("NOVO",D172)),OR(INDEX(posicao_contratual!$C$2:$C$200,MATCH(A172,posicao_contratual!$A$2:$A$200,0))&lt;&gt;0,F172="",COUNTIFS($A$2:$A$200,A172,$B$2:$B$200,"&lt;"&amp;B172,$L$2:$L$200,"&gt;0")&gt;0)),"ALERTA: NOVO ITEM INVALIDO - use Acrescimo se o item ja existia; novo item exige QTD_BASE_ORIGINAL 0, VU_ORIGINAL e ser o 1o acrescimo do item.",IF(AND(ISNUMBER(SEARCH("NOVO",D172)),OR(N172="",ISERROR(MATCH(N172,{"C0","C1","C2","C3","C4"},0)))),"ALERTA: BASE_VU_OBRIGATORIA",IF(AND(NOT(ISNUMBER(SEARCH("NOVO",D172))),N172&lt;&gt;""),"ALERTA: BASE_VU_NAO_APLICAVEL",IF(AND(UPPER(H172)="SIM",NOT(ISNUMBER(I172))),"ALERTA: BASE_VU_INVALIDA_OU_POSTERIOR_AO_FATOR_ALVO","OK"))))))))))</f>
        <v/>
      </c>
      <c r="N172" s="608"/>
      <c r="O172" s="610" t="str">
        <f>IFERROR(IF((COUNTIFS($A$2:$A$200,$A172,$D$2:$D$200,"*novo*",$N$2:$N$200,"C0")+COUNTIFS($A$2:$A$200,$A172,$D$2:$D$200,"*novo*",$N$2:$N$200,"C1")+COUNTIFS($A$2:$A$200,$A172,$D$2:$D$200,"*novo*",$N$2:$N$200,"C2")+COUNTIFS($A$2:$A$200,$A172,$D$2:$D$200,"*novo*",$N$2:$N$200,"C3")+COUNTIFS($A$2:$A$200,$A172,$D$2:$D$200,"*novo*",$N$2:$N$200,"C4"))=1,IF(COUNTIFS($A$2:$A$200,$A172,$D$2:$D$200,"*novo*",$N$2:$N$200,"C4")&gt;0,4,IF(COUNTIFS($A$2:$A$200,$A172,$D$2:$D$200,"*novo*",$N$2:$N$200,"C3")&gt;0,3,IF(COUNTIFS($A$2:$A$200,$A172,$D$2:$D$200,"*novo*",$N$2:$N$200,"C2")&gt;0,2,IF(COUNTIFS($A$2:$A$200,$A172,$D$2:$D$200,"*novo*",$N$2:$N$200,"C1")&gt;0,1,IF(COUNTIFS($A$2:$A$200,$A172,$D$2:$D$200,"*novo*",$N$2:$N$200,"C0")&gt;0,0,""))))),IF(AND((COUNTIFS($A$2:$A$200,$A172,$D$2:$D$200,"*novo*",$N$2:$N$200,"C0")+COUNTIFS($A$2:$A$200,$A172,$D$2:$D$200,"*novo*",$N$2:$N$200,"C1")+COUNTIFS($A$2:$A$200,$A172,$D$2:$D$200,"*novo*",$N$2:$N$200,"C2")+COUNTIFS($A$2:$A$200,$A172,$D$2:$D$200,"*novo*",$N$2:$N$200,"C3")+COUNTIFS($A$2:$A$200,$A172,$D$2:$D$200,"*novo*",$N$2:$N$200,"C4"))=0,INDEX(posicao_contratual!$Y$2:$Y$200,MATCH($A172,posicao_contratual!$A$2:$A$200,0))=0),0,"")),"")</f>
        <v/>
      </c>
    </row>
    <row r="173" spans="1:15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IF(OR($A173="",$C173=""),"",IF(OR(($O173)="",($O173)&gt;(MIN(MATCH($C173,{"C0","C1","C2","C3","C4"},0)-1,COUNT(parametros!$F$2:$F$6)-1)),NOT(ISNUMBER(INDEX(parametros!$F$2:$F$6,(MIN(MATCH($C173,{"C0","C1","C2","C3","C4"},0)-1,COUNT(parametros!$F$2:$F$6)-1))+1))),NOT(ISNUMBER(INDEX(parametros!$F$2:$F$6,($O173)+1)))),"",INDEX(parametros!$F$2:$F$6,(MIN(MATCH($C173,{"C0","C1","C2","C3","C4"},0)-1,COUNT(parametros!$F$2:$F$6)-1))+1)/INDEX(parametros!$F$2:$F$6,($O173)+1))),"")</f>
        <v/>
      </c>
      <c r="J173" s="107" t="str">
        <f>IF(OR(L173="",F173=""),"",IF(UPPER(H173)="SIM",IF(ISNUMBER(I173),ROUND(L173*ROUND(F173*I173,2),2),""),ROUND(L173*F173,2)))</f>
        <v/>
      </c>
      <c r="K173" s="105"/>
      <c r="L173" s="85" t="str">
        <f t="shared" si="11"/>
        <v/>
      </c>
      <c r="M173" s="606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TIPO_INVALIDO",IF(AND(ISNUMBER(SEARCH("NOVO",D173)),OR(INDEX(posicao_contratual!$C$2:$C$200,MATCH(A173,posicao_contratual!$A$2:$A$200,0))&lt;&gt;0,F173="",COUNTIFS($A$2:$A$200,A173,$B$2:$B$200,"&lt;"&amp;B173,$L$2:$L$200,"&gt;0")&gt;0)),"ALERTA: NOVO ITEM INVALIDO - use Acrescimo se o item ja existia; novo item exige QTD_BASE_ORIGINAL 0, VU_ORIGINAL e ser o 1o acrescimo do item.",IF(AND(ISNUMBER(SEARCH("NOVO",D173)),OR(N173="",ISERROR(MATCH(N173,{"C0","C1","C2","C3","C4"},0)))),"ALERTA: BASE_VU_OBRIGATORIA",IF(AND(NOT(ISNUMBER(SEARCH("NOVO",D173))),N173&lt;&gt;""),"ALERTA: BASE_VU_NAO_APLICAVEL",IF(AND(UPPER(H173)="SIM",NOT(ISNUMBER(I173))),"ALERTA: BASE_VU_INVALIDA_OU_POSTERIOR_AO_FATOR_ALVO","OK"))))))))))</f>
        <v/>
      </c>
      <c r="N173" s="608"/>
      <c r="O173" s="610" t="str">
        <f>IFERROR(IF((COUNTIFS($A$2:$A$200,$A173,$D$2:$D$200,"*novo*",$N$2:$N$200,"C0")+COUNTIFS($A$2:$A$200,$A173,$D$2:$D$200,"*novo*",$N$2:$N$200,"C1")+COUNTIFS($A$2:$A$200,$A173,$D$2:$D$200,"*novo*",$N$2:$N$200,"C2")+COUNTIFS($A$2:$A$200,$A173,$D$2:$D$200,"*novo*",$N$2:$N$200,"C3")+COUNTIFS($A$2:$A$200,$A173,$D$2:$D$200,"*novo*",$N$2:$N$200,"C4"))=1,IF(COUNTIFS($A$2:$A$200,$A173,$D$2:$D$200,"*novo*",$N$2:$N$200,"C4")&gt;0,4,IF(COUNTIFS($A$2:$A$200,$A173,$D$2:$D$200,"*novo*",$N$2:$N$200,"C3")&gt;0,3,IF(COUNTIFS($A$2:$A$200,$A173,$D$2:$D$200,"*novo*",$N$2:$N$200,"C2")&gt;0,2,IF(COUNTIFS($A$2:$A$200,$A173,$D$2:$D$200,"*novo*",$N$2:$N$200,"C1")&gt;0,1,IF(COUNTIFS($A$2:$A$200,$A173,$D$2:$D$200,"*novo*",$N$2:$N$200,"C0")&gt;0,0,""))))),IF(AND((COUNTIFS($A$2:$A$200,$A173,$D$2:$D$200,"*novo*",$N$2:$N$200,"C0")+COUNTIFS($A$2:$A$200,$A173,$D$2:$D$200,"*novo*",$N$2:$N$200,"C1")+COUNTIFS($A$2:$A$200,$A173,$D$2:$D$200,"*novo*",$N$2:$N$200,"C2")+COUNTIFS($A$2:$A$200,$A173,$D$2:$D$200,"*novo*",$N$2:$N$200,"C3")+COUNTIFS($A$2:$A$200,$A173,$D$2:$D$200,"*novo*",$N$2:$N$200,"C4"))=0,INDEX(posicao_contratual!$Y$2:$Y$200,MATCH($A173,posicao_contratual!$A$2:$A$200,0))=0),0,"")),"")</f>
        <v/>
      </c>
    </row>
    <row r="174" spans="1:15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IF(OR($A174="",$C174=""),"",IF(OR(($O174)="",($O174)&gt;(MIN(MATCH($C174,{"C0","C1","C2","C3","C4"},0)-1,COUNT(parametros!$F$2:$F$6)-1)),NOT(ISNUMBER(INDEX(parametros!$F$2:$F$6,(MIN(MATCH($C174,{"C0","C1","C2","C3","C4"},0)-1,COUNT(parametros!$F$2:$F$6)-1))+1))),NOT(ISNUMBER(INDEX(parametros!$F$2:$F$6,($O174)+1)))),"",INDEX(parametros!$F$2:$F$6,(MIN(MATCH($C174,{"C0","C1","C2","C3","C4"},0)-1,COUNT(parametros!$F$2:$F$6)-1))+1)/INDEX(parametros!$F$2:$F$6,($O174)+1))),"")</f>
        <v/>
      </c>
      <c r="J174" s="107" t="str">
        <f>IF(OR(L174="",F174=""),"",IF(UPPER(H174)="SIM",IF(ISNUMBER(I174),ROUND(L174*ROUND(F174*I174,2),2),""),ROUND(L174*F174,2)))</f>
        <v/>
      </c>
      <c r="K174" s="105"/>
      <c r="L174" s="85" t="str">
        <f t="shared" si="11"/>
        <v/>
      </c>
      <c r="M174" s="606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TIPO_INVALIDO",IF(AND(ISNUMBER(SEARCH("NOVO",D174)),OR(INDEX(posicao_contratual!$C$2:$C$200,MATCH(A174,posicao_contratual!$A$2:$A$200,0))&lt;&gt;0,F174="",COUNTIFS($A$2:$A$200,A174,$B$2:$B$200,"&lt;"&amp;B174,$L$2:$L$200,"&gt;0")&gt;0)),"ALERTA: NOVO ITEM INVALIDO - use Acrescimo se o item ja existia; novo item exige QTD_BASE_ORIGINAL 0, VU_ORIGINAL e ser o 1o acrescimo do item.",IF(AND(ISNUMBER(SEARCH("NOVO",D174)),OR(N174="",ISERROR(MATCH(N174,{"C0","C1","C2","C3","C4"},0)))),"ALERTA: BASE_VU_OBRIGATORIA",IF(AND(NOT(ISNUMBER(SEARCH("NOVO",D174))),N174&lt;&gt;""),"ALERTA: BASE_VU_NAO_APLICAVEL",IF(AND(UPPER(H174)="SIM",NOT(ISNUMBER(I174))),"ALERTA: BASE_VU_INVALIDA_OU_POSTERIOR_AO_FATOR_ALVO","OK"))))))))))</f>
        <v/>
      </c>
      <c r="N174" s="608"/>
      <c r="O174" s="610" t="str">
        <f>IFERROR(IF((COUNTIFS($A$2:$A$200,$A174,$D$2:$D$200,"*novo*",$N$2:$N$200,"C0")+COUNTIFS($A$2:$A$200,$A174,$D$2:$D$200,"*novo*",$N$2:$N$200,"C1")+COUNTIFS($A$2:$A$200,$A174,$D$2:$D$200,"*novo*",$N$2:$N$200,"C2")+COUNTIFS($A$2:$A$200,$A174,$D$2:$D$200,"*novo*",$N$2:$N$200,"C3")+COUNTIFS($A$2:$A$200,$A174,$D$2:$D$200,"*novo*",$N$2:$N$200,"C4"))=1,IF(COUNTIFS($A$2:$A$200,$A174,$D$2:$D$200,"*novo*",$N$2:$N$200,"C4")&gt;0,4,IF(COUNTIFS($A$2:$A$200,$A174,$D$2:$D$200,"*novo*",$N$2:$N$200,"C3")&gt;0,3,IF(COUNTIFS($A$2:$A$200,$A174,$D$2:$D$200,"*novo*",$N$2:$N$200,"C2")&gt;0,2,IF(COUNTIFS($A$2:$A$200,$A174,$D$2:$D$200,"*novo*",$N$2:$N$200,"C1")&gt;0,1,IF(COUNTIFS($A$2:$A$200,$A174,$D$2:$D$200,"*novo*",$N$2:$N$200,"C0")&gt;0,0,""))))),IF(AND((COUNTIFS($A$2:$A$200,$A174,$D$2:$D$200,"*novo*",$N$2:$N$200,"C0")+COUNTIFS($A$2:$A$200,$A174,$D$2:$D$200,"*novo*",$N$2:$N$200,"C1")+COUNTIFS($A$2:$A$200,$A174,$D$2:$D$200,"*novo*",$N$2:$N$200,"C2")+COUNTIFS($A$2:$A$200,$A174,$D$2:$D$200,"*novo*",$N$2:$N$200,"C3")+COUNTIFS($A$2:$A$200,$A174,$D$2:$D$200,"*novo*",$N$2:$N$200,"C4"))=0,INDEX(posicao_contratual!$Y$2:$Y$200,MATCH($A174,posicao_contratual!$A$2:$A$200,0))=0),0,"")),"")</f>
        <v/>
      </c>
    </row>
    <row r="175" spans="1:15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IF(OR($A175="",$C175=""),"",IF(OR(($O175)="",($O175)&gt;(MIN(MATCH($C175,{"C0","C1","C2","C3","C4"},0)-1,COUNT(parametros!$F$2:$F$6)-1)),NOT(ISNUMBER(INDEX(parametros!$F$2:$F$6,(MIN(MATCH($C175,{"C0","C1","C2","C3","C4"},0)-1,COUNT(parametros!$F$2:$F$6)-1))+1))),NOT(ISNUMBER(INDEX(parametros!$F$2:$F$6,($O175)+1)))),"",INDEX(parametros!$F$2:$F$6,(MIN(MATCH($C175,{"C0","C1","C2","C3","C4"},0)-1,COUNT(parametros!$F$2:$F$6)-1))+1)/INDEX(parametros!$F$2:$F$6,($O175)+1))),"")</f>
        <v/>
      </c>
      <c r="J175" s="107" t="str">
        <f>IF(OR(L175="",F175=""),"",IF(UPPER(H175)="SIM",IF(ISNUMBER(I175),ROUND(L175*ROUND(F175*I175,2),2),""),ROUND(L175*F175,2)))</f>
        <v/>
      </c>
      <c r="K175" s="105"/>
      <c r="L175" s="85" t="str">
        <f t="shared" si="11"/>
        <v/>
      </c>
      <c r="M175" s="606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TIPO_INVALIDO",IF(AND(ISNUMBER(SEARCH("NOVO",D175)),OR(INDEX(posicao_contratual!$C$2:$C$200,MATCH(A175,posicao_contratual!$A$2:$A$200,0))&lt;&gt;0,F175="",COUNTIFS($A$2:$A$200,A175,$B$2:$B$200,"&lt;"&amp;B175,$L$2:$L$200,"&gt;0")&gt;0)),"ALERTA: NOVO ITEM INVALIDO - use Acrescimo se o item ja existia; novo item exige QTD_BASE_ORIGINAL 0, VU_ORIGINAL e ser o 1o acrescimo do item.",IF(AND(ISNUMBER(SEARCH("NOVO",D175)),OR(N175="",ISERROR(MATCH(N175,{"C0","C1","C2","C3","C4"},0)))),"ALERTA: BASE_VU_OBRIGATORIA",IF(AND(NOT(ISNUMBER(SEARCH("NOVO",D175))),N175&lt;&gt;""),"ALERTA: BASE_VU_NAO_APLICAVEL",IF(AND(UPPER(H175)="SIM",NOT(ISNUMBER(I175))),"ALERTA: BASE_VU_INVALIDA_OU_POSTERIOR_AO_FATOR_ALVO","OK"))))))))))</f>
        <v/>
      </c>
      <c r="N175" s="608"/>
      <c r="O175" s="610" t="str">
        <f>IFERROR(IF((COUNTIFS($A$2:$A$200,$A175,$D$2:$D$200,"*novo*",$N$2:$N$200,"C0")+COUNTIFS($A$2:$A$200,$A175,$D$2:$D$200,"*novo*",$N$2:$N$200,"C1")+COUNTIFS($A$2:$A$200,$A175,$D$2:$D$200,"*novo*",$N$2:$N$200,"C2")+COUNTIFS($A$2:$A$200,$A175,$D$2:$D$200,"*novo*",$N$2:$N$200,"C3")+COUNTIFS($A$2:$A$200,$A175,$D$2:$D$200,"*novo*",$N$2:$N$200,"C4"))=1,IF(COUNTIFS($A$2:$A$200,$A175,$D$2:$D$200,"*novo*",$N$2:$N$200,"C4")&gt;0,4,IF(COUNTIFS($A$2:$A$200,$A175,$D$2:$D$200,"*novo*",$N$2:$N$200,"C3")&gt;0,3,IF(COUNTIFS($A$2:$A$200,$A175,$D$2:$D$200,"*novo*",$N$2:$N$200,"C2")&gt;0,2,IF(COUNTIFS($A$2:$A$200,$A175,$D$2:$D$200,"*novo*",$N$2:$N$200,"C1")&gt;0,1,IF(COUNTIFS($A$2:$A$200,$A175,$D$2:$D$200,"*novo*",$N$2:$N$200,"C0")&gt;0,0,""))))),IF(AND((COUNTIFS($A$2:$A$200,$A175,$D$2:$D$200,"*novo*",$N$2:$N$200,"C0")+COUNTIFS($A$2:$A$200,$A175,$D$2:$D$200,"*novo*",$N$2:$N$200,"C1")+COUNTIFS($A$2:$A$200,$A175,$D$2:$D$200,"*novo*",$N$2:$N$200,"C2")+COUNTIFS($A$2:$A$200,$A175,$D$2:$D$200,"*novo*",$N$2:$N$200,"C3")+COUNTIFS($A$2:$A$200,$A175,$D$2:$D$200,"*novo*",$N$2:$N$200,"C4"))=0,INDEX(posicao_contratual!$Y$2:$Y$200,MATCH($A175,posicao_contratual!$A$2:$A$200,0))=0),0,"")),"")</f>
        <v/>
      </c>
    </row>
    <row r="176" spans="1:15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IF(OR($A176="",$C176=""),"",IF(OR(($O176)="",($O176)&gt;(MIN(MATCH($C176,{"C0","C1","C2","C3","C4"},0)-1,COUNT(parametros!$F$2:$F$6)-1)),NOT(ISNUMBER(INDEX(parametros!$F$2:$F$6,(MIN(MATCH($C176,{"C0","C1","C2","C3","C4"},0)-1,COUNT(parametros!$F$2:$F$6)-1))+1))),NOT(ISNUMBER(INDEX(parametros!$F$2:$F$6,($O176)+1)))),"",INDEX(parametros!$F$2:$F$6,(MIN(MATCH($C176,{"C0","C1","C2","C3","C4"},0)-1,COUNT(parametros!$F$2:$F$6)-1))+1)/INDEX(parametros!$F$2:$F$6,($O176)+1))),"")</f>
        <v/>
      </c>
      <c r="J176" s="107" t="str">
        <f>IF(OR(L176="",F176=""),"",IF(UPPER(H176)="SIM",IF(ISNUMBER(I176),ROUND(L176*ROUND(F176*I176,2),2),""),ROUND(L176*F176,2)))</f>
        <v/>
      </c>
      <c r="K176" s="105"/>
      <c r="L176" s="85" t="str">
        <f t="shared" si="11"/>
        <v/>
      </c>
      <c r="M176" s="606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TIPO_INVALIDO",IF(AND(ISNUMBER(SEARCH("NOVO",D176)),OR(INDEX(posicao_contratual!$C$2:$C$200,MATCH(A176,posicao_contratual!$A$2:$A$200,0))&lt;&gt;0,F176="",COUNTIFS($A$2:$A$200,A176,$B$2:$B$200,"&lt;"&amp;B176,$L$2:$L$200,"&gt;0")&gt;0)),"ALERTA: NOVO ITEM INVALIDO - use Acrescimo se o item ja existia; novo item exige QTD_BASE_ORIGINAL 0, VU_ORIGINAL e ser o 1o acrescimo do item.",IF(AND(ISNUMBER(SEARCH("NOVO",D176)),OR(N176="",ISERROR(MATCH(N176,{"C0","C1","C2","C3","C4"},0)))),"ALERTA: BASE_VU_OBRIGATORIA",IF(AND(NOT(ISNUMBER(SEARCH("NOVO",D176))),N176&lt;&gt;""),"ALERTA: BASE_VU_NAO_APLICAVEL",IF(AND(UPPER(H176)="SIM",NOT(ISNUMBER(I176))),"ALERTA: BASE_VU_INVALIDA_OU_POSTERIOR_AO_FATOR_ALVO","OK"))))))))))</f>
        <v/>
      </c>
      <c r="N176" s="608"/>
      <c r="O176" s="610" t="str">
        <f>IFERROR(IF((COUNTIFS($A$2:$A$200,$A176,$D$2:$D$200,"*novo*",$N$2:$N$200,"C0")+COUNTIFS($A$2:$A$200,$A176,$D$2:$D$200,"*novo*",$N$2:$N$200,"C1")+COUNTIFS($A$2:$A$200,$A176,$D$2:$D$200,"*novo*",$N$2:$N$200,"C2")+COUNTIFS($A$2:$A$200,$A176,$D$2:$D$200,"*novo*",$N$2:$N$200,"C3")+COUNTIFS($A$2:$A$200,$A176,$D$2:$D$200,"*novo*",$N$2:$N$200,"C4"))=1,IF(COUNTIFS($A$2:$A$200,$A176,$D$2:$D$200,"*novo*",$N$2:$N$200,"C4")&gt;0,4,IF(COUNTIFS($A$2:$A$200,$A176,$D$2:$D$200,"*novo*",$N$2:$N$200,"C3")&gt;0,3,IF(COUNTIFS($A$2:$A$200,$A176,$D$2:$D$200,"*novo*",$N$2:$N$200,"C2")&gt;0,2,IF(COUNTIFS($A$2:$A$200,$A176,$D$2:$D$200,"*novo*",$N$2:$N$200,"C1")&gt;0,1,IF(COUNTIFS($A$2:$A$200,$A176,$D$2:$D$200,"*novo*",$N$2:$N$200,"C0")&gt;0,0,""))))),IF(AND((COUNTIFS($A$2:$A$200,$A176,$D$2:$D$200,"*novo*",$N$2:$N$200,"C0")+COUNTIFS($A$2:$A$200,$A176,$D$2:$D$200,"*novo*",$N$2:$N$200,"C1")+COUNTIFS($A$2:$A$200,$A176,$D$2:$D$200,"*novo*",$N$2:$N$200,"C2")+COUNTIFS($A$2:$A$200,$A176,$D$2:$D$200,"*novo*",$N$2:$N$200,"C3")+COUNTIFS($A$2:$A$200,$A176,$D$2:$D$200,"*novo*",$N$2:$N$200,"C4"))=0,INDEX(posicao_contratual!$Y$2:$Y$200,MATCH($A176,posicao_contratual!$A$2:$A$200,0))=0),0,"")),"")</f>
        <v/>
      </c>
    </row>
    <row r="177" spans="1:15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IF(OR($A177="",$C177=""),"",IF(OR(($O177)="",($O177)&gt;(MIN(MATCH($C177,{"C0","C1","C2","C3","C4"},0)-1,COUNT(parametros!$F$2:$F$6)-1)),NOT(ISNUMBER(INDEX(parametros!$F$2:$F$6,(MIN(MATCH($C177,{"C0","C1","C2","C3","C4"},0)-1,COUNT(parametros!$F$2:$F$6)-1))+1))),NOT(ISNUMBER(INDEX(parametros!$F$2:$F$6,($O177)+1)))),"",INDEX(parametros!$F$2:$F$6,(MIN(MATCH($C177,{"C0","C1","C2","C3","C4"},0)-1,COUNT(parametros!$F$2:$F$6)-1))+1)/INDEX(parametros!$F$2:$F$6,($O177)+1))),"")</f>
        <v/>
      </c>
      <c r="J177" s="107" t="str">
        <f>IF(OR(L177="",F177=""),"",IF(UPPER(H177)="SIM",IF(ISNUMBER(I177),ROUND(L177*ROUND(F177*I177,2),2),""),ROUND(L177*F177,2)))</f>
        <v/>
      </c>
      <c r="K177" s="105"/>
      <c r="L177" s="85" t="str">
        <f t="shared" si="11"/>
        <v/>
      </c>
      <c r="M177" s="606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TIPO_INVALIDO",IF(AND(ISNUMBER(SEARCH("NOVO",D177)),OR(INDEX(posicao_contratual!$C$2:$C$200,MATCH(A177,posicao_contratual!$A$2:$A$200,0))&lt;&gt;0,F177="",COUNTIFS($A$2:$A$200,A177,$B$2:$B$200,"&lt;"&amp;B177,$L$2:$L$200,"&gt;0")&gt;0)),"ALERTA: NOVO ITEM INVALIDO - use Acrescimo se o item ja existia; novo item exige QTD_BASE_ORIGINAL 0, VU_ORIGINAL e ser o 1o acrescimo do item.",IF(AND(ISNUMBER(SEARCH("NOVO",D177)),OR(N177="",ISERROR(MATCH(N177,{"C0","C1","C2","C3","C4"},0)))),"ALERTA: BASE_VU_OBRIGATORIA",IF(AND(NOT(ISNUMBER(SEARCH("NOVO",D177))),N177&lt;&gt;""),"ALERTA: BASE_VU_NAO_APLICAVEL",IF(AND(UPPER(H177)="SIM",NOT(ISNUMBER(I177))),"ALERTA: BASE_VU_INVALIDA_OU_POSTERIOR_AO_FATOR_ALVO","OK"))))))))))</f>
        <v/>
      </c>
      <c r="N177" s="608"/>
      <c r="O177" s="610" t="str">
        <f>IFERROR(IF((COUNTIFS($A$2:$A$200,$A177,$D$2:$D$200,"*novo*",$N$2:$N$200,"C0")+COUNTIFS($A$2:$A$200,$A177,$D$2:$D$200,"*novo*",$N$2:$N$200,"C1")+COUNTIFS($A$2:$A$200,$A177,$D$2:$D$200,"*novo*",$N$2:$N$200,"C2")+COUNTIFS($A$2:$A$200,$A177,$D$2:$D$200,"*novo*",$N$2:$N$200,"C3")+COUNTIFS($A$2:$A$200,$A177,$D$2:$D$200,"*novo*",$N$2:$N$200,"C4"))=1,IF(COUNTIFS($A$2:$A$200,$A177,$D$2:$D$200,"*novo*",$N$2:$N$200,"C4")&gt;0,4,IF(COUNTIFS($A$2:$A$200,$A177,$D$2:$D$200,"*novo*",$N$2:$N$200,"C3")&gt;0,3,IF(COUNTIFS($A$2:$A$200,$A177,$D$2:$D$200,"*novo*",$N$2:$N$200,"C2")&gt;0,2,IF(COUNTIFS($A$2:$A$200,$A177,$D$2:$D$200,"*novo*",$N$2:$N$200,"C1")&gt;0,1,IF(COUNTIFS($A$2:$A$200,$A177,$D$2:$D$200,"*novo*",$N$2:$N$200,"C0")&gt;0,0,""))))),IF(AND((COUNTIFS($A$2:$A$200,$A177,$D$2:$D$200,"*novo*",$N$2:$N$200,"C0")+COUNTIFS($A$2:$A$200,$A177,$D$2:$D$200,"*novo*",$N$2:$N$200,"C1")+COUNTIFS($A$2:$A$200,$A177,$D$2:$D$200,"*novo*",$N$2:$N$200,"C2")+COUNTIFS($A$2:$A$200,$A177,$D$2:$D$200,"*novo*",$N$2:$N$200,"C3")+COUNTIFS($A$2:$A$200,$A177,$D$2:$D$200,"*novo*",$N$2:$N$200,"C4"))=0,INDEX(posicao_contratual!$Y$2:$Y$200,MATCH($A177,posicao_contratual!$A$2:$A$200,0))=0),0,"")),"")</f>
        <v/>
      </c>
    </row>
    <row r="178" spans="1:15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IF(OR($A178="",$C178=""),"",IF(OR(($O178)="",($O178)&gt;(MIN(MATCH($C178,{"C0","C1","C2","C3","C4"},0)-1,COUNT(parametros!$F$2:$F$6)-1)),NOT(ISNUMBER(INDEX(parametros!$F$2:$F$6,(MIN(MATCH($C178,{"C0","C1","C2","C3","C4"},0)-1,COUNT(parametros!$F$2:$F$6)-1))+1))),NOT(ISNUMBER(INDEX(parametros!$F$2:$F$6,($O178)+1)))),"",INDEX(parametros!$F$2:$F$6,(MIN(MATCH($C178,{"C0","C1","C2","C3","C4"},0)-1,COUNT(parametros!$F$2:$F$6)-1))+1)/INDEX(parametros!$F$2:$F$6,($O178)+1))),"")</f>
        <v/>
      </c>
      <c r="J178" s="107" t="str">
        <f>IF(OR(L178="",F178=""),"",IF(UPPER(H178)="SIM",IF(ISNUMBER(I178),ROUND(L178*ROUND(F178*I178,2),2),""),ROUND(L178*F178,2)))</f>
        <v/>
      </c>
      <c r="K178" s="105"/>
      <c r="L178" s="85" t="str">
        <f t="shared" si="11"/>
        <v/>
      </c>
      <c r="M178" s="606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TIPO_INVALIDO",IF(AND(ISNUMBER(SEARCH("NOVO",D178)),OR(INDEX(posicao_contratual!$C$2:$C$200,MATCH(A178,posicao_contratual!$A$2:$A$200,0))&lt;&gt;0,F178="",COUNTIFS($A$2:$A$200,A178,$B$2:$B$200,"&lt;"&amp;B178,$L$2:$L$200,"&gt;0")&gt;0)),"ALERTA: NOVO ITEM INVALIDO - use Acrescimo se o item ja existia; novo item exige QTD_BASE_ORIGINAL 0, VU_ORIGINAL e ser o 1o acrescimo do item.",IF(AND(ISNUMBER(SEARCH("NOVO",D178)),OR(N178="",ISERROR(MATCH(N178,{"C0","C1","C2","C3","C4"},0)))),"ALERTA: BASE_VU_OBRIGATORIA",IF(AND(NOT(ISNUMBER(SEARCH("NOVO",D178))),N178&lt;&gt;""),"ALERTA: BASE_VU_NAO_APLICAVEL",IF(AND(UPPER(H178)="SIM",NOT(ISNUMBER(I178))),"ALERTA: BASE_VU_INVALIDA_OU_POSTERIOR_AO_FATOR_ALVO","OK"))))))))))</f>
        <v/>
      </c>
      <c r="N178" s="608"/>
      <c r="O178" s="610" t="str">
        <f>IFERROR(IF((COUNTIFS($A$2:$A$200,$A178,$D$2:$D$200,"*novo*",$N$2:$N$200,"C0")+COUNTIFS($A$2:$A$200,$A178,$D$2:$D$200,"*novo*",$N$2:$N$200,"C1")+COUNTIFS($A$2:$A$200,$A178,$D$2:$D$200,"*novo*",$N$2:$N$200,"C2")+COUNTIFS($A$2:$A$200,$A178,$D$2:$D$200,"*novo*",$N$2:$N$200,"C3")+COUNTIFS($A$2:$A$200,$A178,$D$2:$D$200,"*novo*",$N$2:$N$200,"C4"))=1,IF(COUNTIFS($A$2:$A$200,$A178,$D$2:$D$200,"*novo*",$N$2:$N$200,"C4")&gt;0,4,IF(COUNTIFS($A$2:$A$200,$A178,$D$2:$D$200,"*novo*",$N$2:$N$200,"C3")&gt;0,3,IF(COUNTIFS($A$2:$A$200,$A178,$D$2:$D$200,"*novo*",$N$2:$N$200,"C2")&gt;0,2,IF(COUNTIFS($A$2:$A$200,$A178,$D$2:$D$200,"*novo*",$N$2:$N$200,"C1")&gt;0,1,IF(COUNTIFS($A$2:$A$200,$A178,$D$2:$D$200,"*novo*",$N$2:$N$200,"C0")&gt;0,0,""))))),IF(AND((COUNTIFS($A$2:$A$200,$A178,$D$2:$D$200,"*novo*",$N$2:$N$200,"C0")+COUNTIFS($A$2:$A$200,$A178,$D$2:$D$200,"*novo*",$N$2:$N$200,"C1")+COUNTIFS($A$2:$A$200,$A178,$D$2:$D$200,"*novo*",$N$2:$N$200,"C2")+COUNTIFS($A$2:$A$200,$A178,$D$2:$D$200,"*novo*",$N$2:$N$200,"C3")+COUNTIFS($A$2:$A$200,$A178,$D$2:$D$200,"*novo*",$N$2:$N$200,"C4"))=0,INDEX(posicao_contratual!$Y$2:$Y$200,MATCH($A178,posicao_contratual!$A$2:$A$200,0))=0),0,"")),"")</f>
        <v/>
      </c>
    </row>
    <row r="179" spans="1:15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IF(OR($A179="",$C179=""),"",IF(OR(($O179)="",($O179)&gt;(MIN(MATCH($C179,{"C0","C1","C2","C3","C4"},0)-1,COUNT(parametros!$F$2:$F$6)-1)),NOT(ISNUMBER(INDEX(parametros!$F$2:$F$6,(MIN(MATCH($C179,{"C0","C1","C2","C3","C4"},0)-1,COUNT(parametros!$F$2:$F$6)-1))+1))),NOT(ISNUMBER(INDEX(parametros!$F$2:$F$6,($O179)+1)))),"",INDEX(parametros!$F$2:$F$6,(MIN(MATCH($C179,{"C0","C1","C2","C3","C4"},0)-1,COUNT(parametros!$F$2:$F$6)-1))+1)/INDEX(parametros!$F$2:$F$6,($O179)+1))),"")</f>
        <v/>
      </c>
      <c r="J179" s="107" t="str">
        <f>IF(OR(L179="",F179=""),"",IF(UPPER(H179)="SIM",IF(ISNUMBER(I179),ROUND(L179*ROUND(F179*I179,2),2),""),ROUND(L179*F179,2)))</f>
        <v/>
      </c>
      <c r="K179" s="105"/>
      <c r="L179" s="85" t="str">
        <f t="shared" si="11"/>
        <v/>
      </c>
      <c r="M179" s="606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TIPO_INVALIDO",IF(AND(ISNUMBER(SEARCH("NOVO",D179)),OR(INDEX(posicao_contratual!$C$2:$C$200,MATCH(A179,posicao_contratual!$A$2:$A$200,0))&lt;&gt;0,F179="",COUNTIFS($A$2:$A$200,A179,$B$2:$B$200,"&lt;"&amp;B179,$L$2:$L$200,"&gt;0")&gt;0)),"ALERTA: NOVO ITEM INVALIDO - use Acrescimo se o item ja existia; novo item exige QTD_BASE_ORIGINAL 0, VU_ORIGINAL e ser o 1o acrescimo do item.",IF(AND(ISNUMBER(SEARCH("NOVO",D179)),OR(N179="",ISERROR(MATCH(N179,{"C0","C1","C2","C3","C4"},0)))),"ALERTA: BASE_VU_OBRIGATORIA",IF(AND(NOT(ISNUMBER(SEARCH("NOVO",D179))),N179&lt;&gt;""),"ALERTA: BASE_VU_NAO_APLICAVEL",IF(AND(UPPER(H179)="SIM",NOT(ISNUMBER(I179))),"ALERTA: BASE_VU_INVALIDA_OU_POSTERIOR_AO_FATOR_ALVO","OK"))))))))))</f>
        <v/>
      </c>
      <c r="N179" s="608"/>
      <c r="O179" s="610" t="str">
        <f>IFERROR(IF((COUNTIFS($A$2:$A$200,$A179,$D$2:$D$200,"*novo*",$N$2:$N$200,"C0")+COUNTIFS($A$2:$A$200,$A179,$D$2:$D$200,"*novo*",$N$2:$N$200,"C1")+COUNTIFS($A$2:$A$200,$A179,$D$2:$D$200,"*novo*",$N$2:$N$200,"C2")+COUNTIFS($A$2:$A$200,$A179,$D$2:$D$200,"*novo*",$N$2:$N$200,"C3")+COUNTIFS($A$2:$A$200,$A179,$D$2:$D$200,"*novo*",$N$2:$N$200,"C4"))=1,IF(COUNTIFS($A$2:$A$200,$A179,$D$2:$D$200,"*novo*",$N$2:$N$200,"C4")&gt;0,4,IF(COUNTIFS($A$2:$A$200,$A179,$D$2:$D$200,"*novo*",$N$2:$N$200,"C3")&gt;0,3,IF(COUNTIFS($A$2:$A$200,$A179,$D$2:$D$200,"*novo*",$N$2:$N$200,"C2")&gt;0,2,IF(COUNTIFS($A$2:$A$200,$A179,$D$2:$D$200,"*novo*",$N$2:$N$200,"C1")&gt;0,1,IF(COUNTIFS($A$2:$A$200,$A179,$D$2:$D$200,"*novo*",$N$2:$N$200,"C0")&gt;0,0,""))))),IF(AND((COUNTIFS($A$2:$A$200,$A179,$D$2:$D$200,"*novo*",$N$2:$N$200,"C0")+COUNTIFS($A$2:$A$200,$A179,$D$2:$D$200,"*novo*",$N$2:$N$200,"C1")+COUNTIFS($A$2:$A$200,$A179,$D$2:$D$200,"*novo*",$N$2:$N$200,"C2")+COUNTIFS($A$2:$A$200,$A179,$D$2:$D$200,"*novo*",$N$2:$N$200,"C3")+COUNTIFS($A$2:$A$200,$A179,$D$2:$D$200,"*novo*",$N$2:$N$200,"C4"))=0,INDEX(posicao_contratual!$Y$2:$Y$200,MATCH($A179,posicao_contratual!$A$2:$A$200,0))=0),0,"")),"")</f>
        <v/>
      </c>
    </row>
    <row r="180" spans="1:15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IF(OR($A180="",$C180=""),"",IF(OR(($O180)="",($O180)&gt;(MIN(MATCH($C180,{"C0","C1","C2","C3","C4"},0)-1,COUNT(parametros!$F$2:$F$6)-1)),NOT(ISNUMBER(INDEX(parametros!$F$2:$F$6,(MIN(MATCH($C180,{"C0","C1","C2","C3","C4"},0)-1,COUNT(parametros!$F$2:$F$6)-1))+1))),NOT(ISNUMBER(INDEX(parametros!$F$2:$F$6,($O180)+1)))),"",INDEX(parametros!$F$2:$F$6,(MIN(MATCH($C180,{"C0","C1","C2","C3","C4"},0)-1,COUNT(parametros!$F$2:$F$6)-1))+1)/INDEX(parametros!$F$2:$F$6,($O180)+1))),"")</f>
        <v/>
      </c>
      <c r="J180" s="107" t="str">
        <f>IF(OR(L180="",F180=""),"",IF(UPPER(H180)="SIM",IF(ISNUMBER(I180),ROUND(L180*ROUND(F180*I180,2),2),""),ROUND(L180*F180,2)))</f>
        <v/>
      </c>
      <c r="K180" s="105"/>
      <c r="L180" s="85" t="str">
        <f t="shared" si="11"/>
        <v/>
      </c>
      <c r="M180" s="606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TIPO_INVALIDO",IF(AND(ISNUMBER(SEARCH("NOVO",D180)),OR(INDEX(posicao_contratual!$C$2:$C$200,MATCH(A180,posicao_contratual!$A$2:$A$200,0))&lt;&gt;0,F180="",COUNTIFS($A$2:$A$200,A180,$B$2:$B$200,"&lt;"&amp;B180,$L$2:$L$200,"&gt;0")&gt;0)),"ALERTA: NOVO ITEM INVALIDO - use Acrescimo se o item ja existia; novo item exige QTD_BASE_ORIGINAL 0, VU_ORIGINAL e ser o 1o acrescimo do item.",IF(AND(ISNUMBER(SEARCH("NOVO",D180)),OR(N180="",ISERROR(MATCH(N180,{"C0","C1","C2","C3","C4"},0)))),"ALERTA: BASE_VU_OBRIGATORIA",IF(AND(NOT(ISNUMBER(SEARCH("NOVO",D180))),N180&lt;&gt;""),"ALERTA: BASE_VU_NAO_APLICAVEL",IF(AND(UPPER(H180)="SIM",NOT(ISNUMBER(I180))),"ALERTA: BASE_VU_INVALIDA_OU_POSTERIOR_AO_FATOR_ALVO","OK"))))))))))</f>
        <v/>
      </c>
      <c r="N180" s="608"/>
      <c r="O180" s="610" t="str">
        <f>IFERROR(IF((COUNTIFS($A$2:$A$200,$A180,$D$2:$D$200,"*novo*",$N$2:$N$200,"C0")+COUNTIFS($A$2:$A$200,$A180,$D$2:$D$200,"*novo*",$N$2:$N$200,"C1")+COUNTIFS($A$2:$A$200,$A180,$D$2:$D$200,"*novo*",$N$2:$N$200,"C2")+COUNTIFS($A$2:$A$200,$A180,$D$2:$D$200,"*novo*",$N$2:$N$200,"C3")+COUNTIFS($A$2:$A$200,$A180,$D$2:$D$200,"*novo*",$N$2:$N$200,"C4"))=1,IF(COUNTIFS($A$2:$A$200,$A180,$D$2:$D$200,"*novo*",$N$2:$N$200,"C4")&gt;0,4,IF(COUNTIFS($A$2:$A$200,$A180,$D$2:$D$200,"*novo*",$N$2:$N$200,"C3")&gt;0,3,IF(COUNTIFS($A$2:$A$200,$A180,$D$2:$D$200,"*novo*",$N$2:$N$200,"C2")&gt;0,2,IF(COUNTIFS($A$2:$A$200,$A180,$D$2:$D$200,"*novo*",$N$2:$N$200,"C1")&gt;0,1,IF(COUNTIFS($A$2:$A$200,$A180,$D$2:$D$200,"*novo*",$N$2:$N$200,"C0")&gt;0,0,""))))),IF(AND((COUNTIFS($A$2:$A$200,$A180,$D$2:$D$200,"*novo*",$N$2:$N$200,"C0")+COUNTIFS($A$2:$A$200,$A180,$D$2:$D$200,"*novo*",$N$2:$N$200,"C1")+COUNTIFS($A$2:$A$200,$A180,$D$2:$D$200,"*novo*",$N$2:$N$200,"C2")+COUNTIFS($A$2:$A$200,$A180,$D$2:$D$200,"*novo*",$N$2:$N$200,"C3")+COUNTIFS($A$2:$A$200,$A180,$D$2:$D$200,"*novo*",$N$2:$N$200,"C4"))=0,INDEX(posicao_contratual!$Y$2:$Y$200,MATCH($A180,posicao_contratual!$A$2:$A$200,0))=0),0,"")),"")</f>
        <v/>
      </c>
    </row>
    <row r="181" spans="1:15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IF(OR($A181="",$C181=""),"",IF(OR(($O181)="",($O181)&gt;(MIN(MATCH($C181,{"C0","C1","C2","C3","C4"},0)-1,COUNT(parametros!$F$2:$F$6)-1)),NOT(ISNUMBER(INDEX(parametros!$F$2:$F$6,(MIN(MATCH($C181,{"C0","C1","C2","C3","C4"},0)-1,COUNT(parametros!$F$2:$F$6)-1))+1))),NOT(ISNUMBER(INDEX(parametros!$F$2:$F$6,($O181)+1)))),"",INDEX(parametros!$F$2:$F$6,(MIN(MATCH($C181,{"C0","C1","C2","C3","C4"},0)-1,COUNT(parametros!$F$2:$F$6)-1))+1)/INDEX(parametros!$F$2:$F$6,($O181)+1))),"")</f>
        <v/>
      </c>
      <c r="J181" s="107" t="str">
        <f>IF(OR(L181="",F181=""),"",IF(UPPER(H181)="SIM",IF(ISNUMBER(I181),ROUND(L181*ROUND(F181*I181,2),2),""),ROUND(L181*F181,2)))</f>
        <v/>
      </c>
      <c r="K181" s="105"/>
      <c r="L181" s="85" t="str">
        <f t="shared" si="11"/>
        <v/>
      </c>
      <c r="M181" s="606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TIPO_INVALIDO",IF(AND(ISNUMBER(SEARCH("NOVO",D181)),OR(INDEX(posicao_contratual!$C$2:$C$200,MATCH(A181,posicao_contratual!$A$2:$A$200,0))&lt;&gt;0,F181="",COUNTIFS($A$2:$A$200,A181,$B$2:$B$200,"&lt;"&amp;B181,$L$2:$L$200,"&gt;0")&gt;0)),"ALERTA: NOVO ITEM INVALIDO - use Acrescimo se o item ja existia; novo item exige QTD_BASE_ORIGINAL 0, VU_ORIGINAL e ser o 1o acrescimo do item.",IF(AND(ISNUMBER(SEARCH("NOVO",D181)),OR(N181="",ISERROR(MATCH(N181,{"C0","C1","C2","C3","C4"},0)))),"ALERTA: BASE_VU_OBRIGATORIA",IF(AND(NOT(ISNUMBER(SEARCH("NOVO",D181))),N181&lt;&gt;""),"ALERTA: BASE_VU_NAO_APLICAVEL",IF(AND(UPPER(H181)="SIM",NOT(ISNUMBER(I181))),"ALERTA: BASE_VU_INVALIDA_OU_POSTERIOR_AO_FATOR_ALVO","OK"))))))))))</f>
        <v/>
      </c>
      <c r="N181" s="608"/>
      <c r="O181" s="610" t="str">
        <f>IFERROR(IF((COUNTIFS($A$2:$A$200,$A181,$D$2:$D$200,"*novo*",$N$2:$N$200,"C0")+COUNTIFS($A$2:$A$200,$A181,$D$2:$D$200,"*novo*",$N$2:$N$200,"C1")+COUNTIFS($A$2:$A$200,$A181,$D$2:$D$200,"*novo*",$N$2:$N$200,"C2")+COUNTIFS($A$2:$A$200,$A181,$D$2:$D$200,"*novo*",$N$2:$N$200,"C3")+COUNTIFS($A$2:$A$200,$A181,$D$2:$D$200,"*novo*",$N$2:$N$200,"C4"))=1,IF(COUNTIFS($A$2:$A$200,$A181,$D$2:$D$200,"*novo*",$N$2:$N$200,"C4")&gt;0,4,IF(COUNTIFS($A$2:$A$200,$A181,$D$2:$D$200,"*novo*",$N$2:$N$200,"C3")&gt;0,3,IF(COUNTIFS($A$2:$A$200,$A181,$D$2:$D$200,"*novo*",$N$2:$N$200,"C2")&gt;0,2,IF(COUNTIFS($A$2:$A$200,$A181,$D$2:$D$200,"*novo*",$N$2:$N$200,"C1")&gt;0,1,IF(COUNTIFS($A$2:$A$200,$A181,$D$2:$D$200,"*novo*",$N$2:$N$200,"C0")&gt;0,0,""))))),IF(AND((COUNTIFS($A$2:$A$200,$A181,$D$2:$D$200,"*novo*",$N$2:$N$200,"C0")+COUNTIFS($A$2:$A$200,$A181,$D$2:$D$200,"*novo*",$N$2:$N$200,"C1")+COUNTIFS($A$2:$A$200,$A181,$D$2:$D$200,"*novo*",$N$2:$N$200,"C2")+COUNTIFS($A$2:$A$200,$A181,$D$2:$D$200,"*novo*",$N$2:$N$200,"C3")+COUNTIFS($A$2:$A$200,$A181,$D$2:$D$200,"*novo*",$N$2:$N$200,"C4"))=0,INDEX(posicao_contratual!$Y$2:$Y$200,MATCH($A181,posicao_contratual!$A$2:$A$200,0))=0),0,"")),"")</f>
        <v/>
      </c>
    </row>
    <row r="182" spans="1:15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IF(OR($A182="",$C182=""),"",IF(OR(($O182)="",($O182)&gt;(MIN(MATCH($C182,{"C0","C1","C2","C3","C4"},0)-1,COUNT(parametros!$F$2:$F$6)-1)),NOT(ISNUMBER(INDEX(parametros!$F$2:$F$6,(MIN(MATCH($C182,{"C0","C1","C2","C3","C4"},0)-1,COUNT(parametros!$F$2:$F$6)-1))+1))),NOT(ISNUMBER(INDEX(parametros!$F$2:$F$6,($O182)+1)))),"",INDEX(parametros!$F$2:$F$6,(MIN(MATCH($C182,{"C0","C1","C2","C3","C4"},0)-1,COUNT(parametros!$F$2:$F$6)-1))+1)/INDEX(parametros!$F$2:$F$6,($O182)+1))),"")</f>
        <v/>
      </c>
      <c r="J182" s="107" t="str">
        <f>IF(OR(L182="",F182=""),"",IF(UPPER(H182)="SIM",IF(ISNUMBER(I182),ROUND(L182*ROUND(F182*I182,2),2),""),ROUND(L182*F182,2)))</f>
        <v/>
      </c>
      <c r="K182" s="105"/>
      <c r="L182" s="85" t="str">
        <f t="shared" si="11"/>
        <v/>
      </c>
      <c r="M182" s="606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TIPO_INVALIDO",IF(AND(ISNUMBER(SEARCH("NOVO",D182)),OR(INDEX(posicao_contratual!$C$2:$C$200,MATCH(A182,posicao_contratual!$A$2:$A$200,0))&lt;&gt;0,F182="",COUNTIFS($A$2:$A$200,A182,$B$2:$B$200,"&lt;"&amp;B182,$L$2:$L$200,"&gt;0")&gt;0)),"ALERTA: NOVO ITEM INVALIDO - use Acrescimo se o item ja existia; novo item exige QTD_BASE_ORIGINAL 0, VU_ORIGINAL e ser o 1o acrescimo do item.",IF(AND(ISNUMBER(SEARCH("NOVO",D182)),OR(N182="",ISERROR(MATCH(N182,{"C0","C1","C2","C3","C4"},0)))),"ALERTA: BASE_VU_OBRIGATORIA",IF(AND(NOT(ISNUMBER(SEARCH("NOVO",D182))),N182&lt;&gt;""),"ALERTA: BASE_VU_NAO_APLICAVEL",IF(AND(UPPER(H182)="SIM",NOT(ISNUMBER(I182))),"ALERTA: BASE_VU_INVALIDA_OU_POSTERIOR_AO_FATOR_ALVO","OK"))))))))))</f>
        <v/>
      </c>
      <c r="N182" s="608"/>
      <c r="O182" s="610" t="str">
        <f>IFERROR(IF((COUNTIFS($A$2:$A$200,$A182,$D$2:$D$200,"*novo*",$N$2:$N$200,"C0")+COUNTIFS($A$2:$A$200,$A182,$D$2:$D$200,"*novo*",$N$2:$N$200,"C1")+COUNTIFS($A$2:$A$200,$A182,$D$2:$D$200,"*novo*",$N$2:$N$200,"C2")+COUNTIFS($A$2:$A$200,$A182,$D$2:$D$200,"*novo*",$N$2:$N$200,"C3")+COUNTIFS($A$2:$A$200,$A182,$D$2:$D$200,"*novo*",$N$2:$N$200,"C4"))=1,IF(COUNTIFS($A$2:$A$200,$A182,$D$2:$D$200,"*novo*",$N$2:$N$200,"C4")&gt;0,4,IF(COUNTIFS($A$2:$A$200,$A182,$D$2:$D$200,"*novo*",$N$2:$N$200,"C3")&gt;0,3,IF(COUNTIFS($A$2:$A$200,$A182,$D$2:$D$200,"*novo*",$N$2:$N$200,"C2")&gt;0,2,IF(COUNTIFS($A$2:$A$200,$A182,$D$2:$D$200,"*novo*",$N$2:$N$200,"C1")&gt;0,1,IF(COUNTIFS($A$2:$A$200,$A182,$D$2:$D$200,"*novo*",$N$2:$N$200,"C0")&gt;0,0,""))))),IF(AND((COUNTIFS($A$2:$A$200,$A182,$D$2:$D$200,"*novo*",$N$2:$N$200,"C0")+COUNTIFS($A$2:$A$200,$A182,$D$2:$D$200,"*novo*",$N$2:$N$200,"C1")+COUNTIFS($A$2:$A$200,$A182,$D$2:$D$200,"*novo*",$N$2:$N$200,"C2")+COUNTIFS($A$2:$A$200,$A182,$D$2:$D$200,"*novo*",$N$2:$N$200,"C3")+COUNTIFS($A$2:$A$200,$A182,$D$2:$D$200,"*novo*",$N$2:$N$200,"C4"))=0,INDEX(posicao_contratual!$Y$2:$Y$200,MATCH($A182,posicao_contratual!$A$2:$A$200,0))=0),0,"")),"")</f>
        <v/>
      </c>
    </row>
    <row r="183" spans="1:15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IF(OR($A183="",$C183=""),"",IF(OR(($O183)="",($O183)&gt;(MIN(MATCH($C183,{"C0","C1","C2","C3","C4"},0)-1,COUNT(parametros!$F$2:$F$6)-1)),NOT(ISNUMBER(INDEX(parametros!$F$2:$F$6,(MIN(MATCH($C183,{"C0","C1","C2","C3","C4"},0)-1,COUNT(parametros!$F$2:$F$6)-1))+1))),NOT(ISNUMBER(INDEX(parametros!$F$2:$F$6,($O183)+1)))),"",INDEX(parametros!$F$2:$F$6,(MIN(MATCH($C183,{"C0","C1","C2","C3","C4"},0)-1,COUNT(parametros!$F$2:$F$6)-1))+1)/INDEX(parametros!$F$2:$F$6,($O183)+1))),"")</f>
        <v/>
      </c>
      <c r="J183" s="107" t="str">
        <f>IF(OR(L183="",F183=""),"",IF(UPPER(H183)="SIM",IF(ISNUMBER(I183),ROUND(L183*ROUND(F183*I183,2),2),""),ROUND(L183*F183,2)))</f>
        <v/>
      </c>
      <c r="K183" s="105"/>
      <c r="L183" s="85" t="str">
        <f t="shared" si="11"/>
        <v/>
      </c>
      <c r="M183" s="606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TIPO_INVALIDO",IF(AND(ISNUMBER(SEARCH("NOVO",D183)),OR(INDEX(posicao_contratual!$C$2:$C$200,MATCH(A183,posicao_contratual!$A$2:$A$200,0))&lt;&gt;0,F183="",COUNTIFS($A$2:$A$200,A183,$B$2:$B$200,"&lt;"&amp;B183,$L$2:$L$200,"&gt;0")&gt;0)),"ALERTA: NOVO ITEM INVALIDO - use Acrescimo se o item ja existia; novo item exige QTD_BASE_ORIGINAL 0, VU_ORIGINAL e ser o 1o acrescimo do item.",IF(AND(ISNUMBER(SEARCH("NOVO",D183)),OR(N183="",ISERROR(MATCH(N183,{"C0","C1","C2","C3","C4"},0)))),"ALERTA: BASE_VU_OBRIGATORIA",IF(AND(NOT(ISNUMBER(SEARCH("NOVO",D183))),N183&lt;&gt;""),"ALERTA: BASE_VU_NAO_APLICAVEL",IF(AND(UPPER(H183)="SIM",NOT(ISNUMBER(I183))),"ALERTA: BASE_VU_INVALIDA_OU_POSTERIOR_AO_FATOR_ALVO","OK"))))))))))</f>
        <v/>
      </c>
      <c r="N183" s="608"/>
      <c r="O183" s="610" t="str">
        <f>IFERROR(IF((COUNTIFS($A$2:$A$200,$A183,$D$2:$D$200,"*novo*",$N$2:$N$200,"C0")+COUNTIFS($A$2:$A$200,$A183,$D$2:$D$200,"*novo*",$N$2:$N$200,"C1")+COUNTIFS($A$2:$A$200,$A183,$D$2:$D$200,"*novo*",$N$2:$N$200,"C2")+COUNTIFS($A$2:$A$200,$A183,$D$2:$D$200,"*novo*",$N$2:$N$200,"C3")+COUNTIFS($A$2:$A$200,$A183,$D$2:$D$200,"*novo*",$N$2:$N$200,"C4"))=1,IF(COUNTIFS($A$2:$A$200,$A183,$D$2:$D$200,"*novo*",$N$2:$N$200,"C4")&gt;0,4,IF(COUNTIFS($A$2:$A$200,$A183,$D$2:$D$200,"*novo*",$N$2:$N$200,"C3")&gt;0,3,IF(COUNTIFS($A$2:$A$200,$A183,$D$2:$D$200,"*novo*",$N$2:$N$200,"C2")&gt;0,2,IF(COUNTIFS($A$2:$A$200,$A183,$D$2:$D$200,"*novo*",$N$2:$N$200,"C1")&gt;0,1,IF(COUNTIFS($A$2:$A$200,$A183,$D$2:$D$200,"*novo*",$N$2:$N$200,"C0")&gt;0,0,""))))),IF(AND((COUNTIFS($A$2:$A$200,$A183,$D$2:$D$200,"*novo*",$N$2:$N$200,"C0")+COUNTIFS($A$2:$A$200,$A183,$D$2:$D$200,"*novo*",$N$2:$N$200,"C1")+COUNTIFS($A$2:$A$200,$A183,$D$2:$D$200,"*novo*",$N$2:$N$200,"C2")+COUNTIFS($A$2:$A$200,$A183,$D$2:$D$200,"*novo*",$N$2:$N$200,"C3")+COUNTIFS($A$2:$A$200,$A183,$D$2:$D$200,"*novo*",$N$2:$N$200,"C4"))=0,INDEX(posicao_contratual!$Y$2:$Y$200,MATCH($A183,posicao_contratual!$A$2:$A$200,0))=0),0,"")),"")</f>
        <v/>
      </c>
    </row>
    <row r="184" spans="1:15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IF(OR($A184="",$C184=""),"",IF(OR(($O184)="",($O184)&gt;(MIN(MATCH($C184,{"C0","C1","C2","C3","C4"},0)-1,COUNT(parametros!$F$2:$F$6)-1)),NOT(ISNUMBER(INDEX(parametros!$F$2:$F$6,(MIN(MATCH($C184,{"C0","C1","C2","C3","C4"},0)-1,COUNT(parametros!$F$2:$F$6)-1))+1))),NOT(ISNUMBER(INDEX(parametros!$F$2:$F$6,($O184)+1)))),"",INDEX(parametros!$F$2:$F$6,(MIN(MATCH($C184,{"C0","C1","C2","C3","C4"},0)-1,COUNT(parametros!$F$2:$F$6)-1))+1)/INDEX(parametros!$F$2:$F$6,($O184)+1))),"")</f>
        <v/>
      </c>
      <c r="J184" s="107" t="str">
        <f>IF(OR(L184="",F184=""),"",IF(UPPER(H184)="SIM",IF(ISNUMBER(I184),ROUND(L184*ROUND(F184*I184,2),2),""),ROUND(L184*F184,2)))</f>
        <v/>
      </c>
      <c r="K184" s="105"/>
      <c r="L184" s="85" t="str">
        <f t="shared" si="11"/>
        <v/>
      </c>
      <c r="M184" s="606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TIPO_INVALIDO",IF(AND(ISNUMBER(SEARCH("NOVO",D184)),OR(INDEX(posicao_contratual!$C$2:$C$200,MATCH(A184,posicao_contratual!$A$2:$A$200,0))&lt;&gt;0,F184="",COUNTIFS($A$2:$A$200,A184,$B$2:$B$200,"&lt;"&amp;B184,$L$2:$L$200,"&gt;0")&gt;0)),"ALERTA: NOVO ITEM INVALIDO - use Acrescimo se o item ja existia; novo item exige QTD_BASE_ORIGINAL 0, VU_ORIGINAL e ser o 1o acrescimo do item.",IF(AND(ISNUMBER(SEARCH("NOVO",D184)),OR(N184="",ISERROR(MATCH(N184,{"C0","C1","C2","C3","C4"},0)))),"ALERTA: BASE_VU_OBRIGATORIA",IF(AND(NOT(ISNUMBER(SEARCH("NOVO",D184))),N184&lt;&gt;""),"ALERTA: BASE_VU_NAO_APLICAVEL",IF(AND(UPPER(H184)="SIM",NOT(ISNUMBER(I184))),"ALERTA: BASE_VU_INVALIDA_OU_POSTERIOR_AO_FATOR_ALVO","OK"))))))))))</f>
        <v/>
      </c>
      <c r="N184" s="608"/>
      <c r="O184" s="610" t="str">
        <f>IFERROR(IF((COUNTIFS($A$2:$A$200,$A184,$D$2:$D$200,"*novo*",$N$2:$N$200,"C0")+COUNTIFS($A$2:$A$200,$A184,$D$2:$D$200,"*novo*",$N$2:$N$200,"C1")+COUNTIFS($A$2:$A$200,$A184,$D$2:$D$200,"*novo*",$N$2:$N$200,"C2")+COUNTIFS($A$2:$A$200,$A184,$D$2:$D$200,"*novo*",$N$2:$N$200,"C3")+COUNTIFS($A$2:$A$200,$A184,$D$2:$D$200,"*novo*",$N$2:$N$200,"C4"))=1,IF(COUNTIFS($A$2:$A$200,$A184,$D$2:$D$200,"*novo*",$N$2:$N$200,"C4")&gt;0,4,IF(COUNTIFS($A$2:$A$200,$A184,$D$2:$D$200,"*novo*",$N$2:$N$200,"C3")&gt;0,3,IF(COUNTIFS($A$2:$A$200,$A184,$D$2:$D$200,"*novo*",$N$2:$N$200,"C2")&gt;0,2,IF(COUNTIFS($A$2:$A$200,$A184,$D$2:$D$200,"*novo*",$N$2:$N$200,"C1")&gt;0,1,IF(COUNTIFS($A$2:$A$200,$A184,$D$2:$D$200,"*novo*",$N$2:$N$200,"C0")&gt;0,0,""))))),IF(AND((COUNTIFS($A$2:$A$200,$A184,$D$2:$D$200,"*novo*",$N$2:$N$200,"C0")+COUNTIFS($A$2:$A$200,$A184,$D$2:$D$200,"*novo*",$N$2:$N$200,"C1")+COUNTIFS($A$2:$A$200,$A184,$D$2:$D$200,"*novo*",$N$2:$N$200,"C2")+COUNTIFS($A$2:$A$200,$A184,$D$2:$D$200,"*novo*",$N$2:$N$200,"C3")+COUNTIFS($A$2:$A$200,$A184,$D$2:$D$200,"*novo*",$N$2:$N$200,"C4"))=0,INDEX(posicao_contratual!$Y$2:$Y$200,MATCH($A184,posicao_contratual!$A$2:$A$200,0))=0),0,"")),"")</f>
        <v/>
      </c>
    </row>
    <row r="185" spans="1:15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IF(OR($A185="",$C185=""),"",IF(OR(($O185)="",($O185)&gt;(MIN(MATCH($C185,{"C0","C1","C2","C3","C4"},0)-1,COUNT(parametros!$F$2:$F$6)-1)),NOT(ISNUMBER(INDEX(parametros!$F$2:$F$6,(MIN(MATCH($C185,{"C0","C1","C2","C3","C4"},0)-1,COUNT(parametros!$F$2:$F$6)-1))+1))),NOT(ISNUMBER(INDEX(parametros!$F$2:$F$6,($O185)+1)))),"",INDEX(parametros!$F$2:$F$6,(MIN(MATCH($C185,{"C0","C1","C2","C3","C4"},0)-1,COUNT(parametros!$F$2:$F$6)-1))+1)/INDEX(parametros!$F$2:$F$6,($O185)+1))),"")</f>
        <v/>
      </c>
      <c r="J185" s="107" t="str">
        <f>IF(OR(L185="",F185=""),"",IF(UPPER(H185)="SIM",IF(ISNUMBER(I185),ROUND(L185*ROUND(F185*I185,2),2),""),ROUND(L185*F185,2)))</f>
        <v/>
      </c>
      <c r="K185" s="105"/>
      <c r="L185" s="85" t="str">
        <f t="shared" si="11"/>
        <v/>
      </c>
      <c r="M185" s="606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TIPO_INVALIDO",IF(AND(ISNUMBER(SEARCH("NOVO",D185)),OR(INDEX(posicao_contratual!$C$2:$C$200,MATCH(A185,posicao_contratual!$A$2:$A$200,0))&lt;&gt;0,F185="",COUNTIFS($A$2:$A$200,A185,$B$2:$B$200,"&lt;"&amp;B185,$L$2:$L$200,"&gt;0")&gt;0)),"ALERTA: NOVO ITEM INVALIDO - use Acrescimo se o item ja existia; novo item exige QTD_BASE_ORIGINAL 0, VU_ORIGINAL e ser o 1o acrescimo do item.",IF(AND(ISNUMBER(SEARCH("NOVO",D185)),OR(N185="",ISERROR(MATCH(N185,{"C0","C1","C2","C3","C4"},0)))),"ALERTA: BASE_VU_OBRIGATORIA",IF(AND(NOT(ISNUMBER(SEARCH("NOVO",D185))),N185&lt;&gt;""),"ALERTA: BASE_VU_NAO_APLICAVEL",IF(AND(UPPER(H185)="SIM",NOT(ISNUMBER(I185))),"ALERTA: BASE_VU_INVALIDA_OU_POSTERIOR_AO_FATOR_ALVO","OK"))))))))))</f>
        <v/>
      </c>
      <c r="N185" s="608"/>
      <c r="O185" s="610" t="str">
        <f>IFERROR(IF((COUNTIFS($A$2:$A$200,$A185,$D$2:$D$200,"*novo*",$N$2:$N$200,"C0")+COUNTIFS($A$2:$A$200,$A185,$D$2:$D$200,"*novo*",$N$2:$N$200,"C1")+COUNTIFS($A$2:$A$200,$A185,$D$2:$D$200,"*novo*",$N$2:$N$200,"C2")+COUNTIFS($A$2:$A$200,$A185,$D$2:$D$200,"*novo*",$N$2:$N$200,"C3")+COUNTIFS($A$2:$A$200,$A185,$D$2:$D$200,"*novo*",$N$2:$N$200,"C4"))=1,IF(COUNTIFS($A$2:$A$200,$A185,$D$2:$D$200,"*novo*",$N$2:$N$200,"C4")&gt;0,4,IF(COUNTIFS($A$2:$A$200,$A185,$D$2:$D$200,"*novo*",$N$2:$N$200,"C3")&gt;0,3,IF(COUNTIFS($A$2:$A$200,$A185,$D$2:$D$200,"*novo*",$N$2:$N$200,"C2")&gt;0,2,IF(COUNTIFS($A$2:$A$200,$A185,$D$2:$D$200,"*novo*",$N$2:$N$200,"C1")&gt;0,1,IF(COUNTIFS($A$2:$A$200,$A185,$D$2:$D$200,"*novo*",$N$2:$N$200,"C0")&gt;0,0,""))))),IF(AND((COUNTIFS($A$2:$A$200,$A185,$D$2:$D$200,"*novo*",$N$2:$N$200,"C0")+COUNTIFS($A$2:$A$200,$A185,$D$2:$D$200,"*novo*",$N$2:$N$200,"C1")+COUNTIFS($A$2:$A$200,$A185,$D$2:$D$200,"*novo*",$N$2:$N$200,"C2")+COUNTIFS($A$2:$A$200,$A185,$D$2:$D$200,"*novo*",$N$2:$N$200,"C3")+COUNTIFS($A$2:$A$200,$A185,$D$2:$D$200,"*novo*",$N$2:$N$200,"C4"))=0,INDEX(posicao_contratual!$Y$2:$Y$200,MATCH($A185,posicao_contratual!$A$2:$A$200,0))=0),0,"")),"")</f>
        <v/>
      </c>
    </row>
    <row r="186" spans="1:15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IF(OR($A186="",$C186=""),"",IF(OR(($O186)="",($O186)&gt;(MIN(MATCH($C186,{"C0","C1","C2","C3","C4"},0)-1,COUNT(parametros!$F$2:$F$6)-1)),NOT(ISNUMBER(INDEX(parametros!$F$2:$F$6,(MIN(MATCH($C186,{"C0","C1","C2","C3","C4"},0)-1,COUNT(parametros!$F$2:$F$6)-1))+1))),NOT(ISNUMBER(INDEX(parametros!$F$2:$F$6,($O186)+1)))),"",INDEX(parametros!$F$2:$F$6,(MIN(MATCH($C186,{"C0","C1","C2","C3","C4"},0)-1,COUNT(parametros!$F$2:$F$6)-1))+1)/INDEX(parametros!$F$2:$F$6,($O186)+1))),"")</f>
        <v/>
      </c>
      <c r="J186" s="107" t="str">
        <f>IF(OR(L186="",F186=""),"",IF(UPPER(H186)="SIM",IF(ISNUMBER(I186),ROUND(L186*ROUND(F186*I186,2),2),""),ROUND(L186*F186,2)))</f>
        <v/>
      </c>
      <c r="K186" s="105"/>
      <c r="L186" s="85" t="str">
        <f t="shared" si="11"/>
        <v/>
      </c>
      <c r="M186" s="606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TIPO_INVALIDO",IF(AND(ISNUMBER(SEARCH("NOVO",D186)),OR(INDEX(posicao_contratual!$C$2:$C$200,MATCH(A186,posicao_contratual!$A$2:$A$200,0))&lt;&gt;0,F186="",COUNTIFS($A$2:$A$200,A186,$B$2:$B$200,"&lt;"&amp;B186,$L$2:$L$200,"&gt;0")&gt;0)),"ALERTA: NOVO ITEM INVALIDO - use Acrescimo se o item ja existia; novo item exige QTD_BASE_ORIGINAL 0, VU_ORIGINAL e ser o 1o acrescimo do item.",IF(AND(ISNUMBER(SEARCH("NOVO",D186)),OR(N186="",ISERROR(MATCH(N186,{"C0","C1","C2","C3","C4"},0)))),"ALERTA: BASE_VU_OBRIGATORIA",IF(AND(NOT(ISNUMBER(SEARCH("NOVO",D186))),N186&lt;&gt;""),"ALERTA: BASE_VU_NAO_APLICAVEL",IF(AND(UPPER(H186)="SIM",NOT(ISNUMBER(I186))),"ALERTA: BASE_VU_INVALIDA_OU_POSTERIOR_AO_FATOR_ALVO","OK"))))))))))</f>
        <v/>
      </c>
      <c r="N186" s="608"/>
      <c r="O186" s="610" t="str">
        <f>IFERROR(IF((COUNTIFS($A$2:$A$200,$A186,$D$2:$D$200,"*novo*",$N$2:$N$200,"C0")+COUNTIFS($A$2:$A$200,$A186,$D$2:$D$200,"*novo*",$N$2:$N$200,"C1")+COUNTIFS($A$2:$A$200,$A186,$D$2:$D$200,"*novo*",$N$2:$N$200,"C2")+COUNTIFS($A$2:$A$200,$A186,$D$2:$D$200,"*novo*",$N$2:$N$200,"C3")+COUNTIFS($A$2:$A$200,$A186,$D$2:$D$200,"*novo*",$N$2:$N$200,"C4"))=1,IF(COUNTIFS($A$2:$A$200,$A186,$D$2:$D$200,"*novo*",$N$2:$N$200,"C4")&gt;0,4,IF(COUNTIFS($A$2:$A$200,$A186,$D$2:$D$200,"*novo*",$N$2:$N$200,"C3")&gt;0,3,IF(COUNTIFS($A$2:$A$200,$A186,$D$2:$D$200,"*novo*",$N$2:$N$200,"C2")&gt;0,2,IF(COUNTIFS($A$2:$A$200,$A186,$D$2:$D$200,"*novo*",$N$2:$N$200,"C1")&gt;0,1,IF(COUNTIFS($A$2:$A$200,$A186,$D$2:$D$200,"*novo*",$N$2:$N$200,"C0")&gt;0,0,""))))),IF(AND((COUNTIFS($A$2:$A$200,$A186,$D$2:$D$200,"*novo*",$N$2:$N$200,"C0")+COUNTIFS($A$2:$A$200,$A186,$D$2:$D$200,"*novo*",$N$2:$N$200,"C1")+COUNTIFS($A$2:$A$200,$A186,$D$2:$D$200,"*novo*",$N$2:$N$200,"C2")+COUNTIFS($A$2:$A$200,$A186,$D$2:$D$200,"*novo*",$N$2:$N$200,"C3")+COUNTIFS($A$2:$A$200,$A186,$D$2:$D$200,"*novo*",$N$2:$N$200,"C4"))=0,INDEX(posicao_contratual!$Y$2:$Y$200,MATCH($A186,posicao_contratual!$A$2:$A$200,0))=0),0,"")),"")</f>
        <v/>
      </c>
    </row>
    <row r="187" spans="1:15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IF(OR($A187="",$C187=""),"",IF(OR(($O187)="",($O187)&gt;(MIN(MATCH($C187,{"C0","C1","C2","C3","C4"},0)-1,COUNT(parametros!$F$2:$F$6)-1)),NOT(ISNUMBER(INDEX(parametros!$F$2:$F$6,(MIN(MATCH($C187,{"C0","C1","C2","C3","C4"},0)-1,COUNT(parametros!$F$2:$F$6)-1))+1))),NOT(ISNUMBER(INDEX(parametros!$F$2:$F$6,($O187)+1)))),"",INDEX(parametros!$F$2:$F$6,(MIN(MATCH($C187,{"C0","C1","C2","C3","C4"},0)-1,COUNT(parametros!$F$2:$F$6)-1))+1)/INDEX(parametros!$F$2:$F$6,($O187)+1))),"")</f>
        <v/>
      </c>
      <c r="J187" s="107" t="str">
        <f>IF(OR(L187="",F187=""),"",IF(UPPER(H187)="SIM",IF(ISNUMBER(I187),ROUND(L187*ROUND(F187*I187,2),2),""),ROUND(L187*F187,2)))</f>
        <v/>
      </c>
      <c r="K187" s="105"/>
      <c r="L187" s="85" t="str">
        <f t="shared" si="11"/>
        <v/>
      </c>
      <c r="M187" s="606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TIPO_INVALIDO",IF(AND(ISNUMBER(SEARCH("NOVO",D187)),OR(INDEX(posicao_contratual!$C$2:$C$200,MATCH(A187,posicao_contratual!$A$2:$A$200,0))&lt;&gt;0,F187="",COUNTIFS($A$2:$A$200,A187,$B$2:$B$200,"&lt;"&amp;B187,$L$2:$L$200,"&gt;0")&gt;0)),"ALERTA: NOVO ITEM INVALIDO - use Acrescimo se o item ja existia; novo item exige QTD_BASE_ORIGINAL 0, VU_ORIGINAL e ser o 1o acrescimo do item.",IF(AND(ISNUMBER(SEARCH("NOVO",D187)),OR(N187="",ISERROR(MATCH(N187,{"C0","C1","C2","C3","C4"},0)))),"ALERTA: BASE_VU_OBRIGATORIA",IF(AND(NOT(ISNUMBER(SEARCH("NOVO",D187))),N187&lt;&gt;""),"ALERTA: BASE_VU_NAO_APLICAVEL",IF(AND(UPPER(H187)="SIM",NOT(ISNUMBER(I187))),"ALERTA: BASE_VU_INVALIDA_OU_POSTERIOR_AO_FATOR_ALVO","OK"))))))))))</f>
        <v/>
      </c>
      <c r="N187" s="608"/>
      <c r="O187" s="610" t="str">
        <f>IFERROR(IF((COUNTIFS($A$2:$A$200,$A187,$D$2:$D$200,"*novo*",$N$2:$N$200,"C0")+COUNTIFS($A$2:$A$200,$A187,$D$2:$D$200,"*novo*",$N$2:$N$200,"C1")+COUNTIFS($A$2:$A$200,$A187,$D$2:$D$200,"*novo*",$N$2:$N$200,"C2")+COUNTIFS($A$2:$A$200,$A187,$D$2:$D$200,"*novo*",$N$2:$N$200,"C3")+COUNTIFS($A$2:$A$200,$A187,$D$2:$D$200,"*novo*",$N$2:$N$200,"C4"))=1,IF(COUNTIFS($A$2:$A$200,$A187,$D$2:$D$200,"*novo*",$N$2:$N$200,"C4")&gt;0,4,IF(COUNTIFS($A$2:$A$200,$A187,$D$2:$D$200,"*novo*",$N$2:$N$200,"C3")&gt;0,3,IF(COUNTIFS($A$2:$A$200,$A187,$D$2:$D$200,"*novo*",$N$2:$N$200,"C2")&gt;0,2,IF(COUNTIFS($A$2:$A$200,$A187,$D$2:$D$200,"*novo*",$N$2:$N$200,"C1")&gt;0,1,IF(COUNTIFS($A$2:$A$200,$A187,$D$2:$D$200,"*novo*",$N$2:$N$200,"C0")&gt;0,0,""))))),IF(AND((COUNTIFS($A$2:$A$200,$A187,$D$2:$D$200,"*novo*",$N$2:$N$200,"C0")+COUNTIFS($A$2:$A$200,$A187,$D$2:$D$200,"*novo*",$N$2:$N$200,"C1")+COUNTIFS($A$2:$A$200,$A187,$D$2:$D$200,"*novo*",$N$2:$N$200,"C2")+COUNTIFS($A$2:$A$200,$A187,$D$2:$D$200,"*novo*",$N$2:$N$200,"C3")+COUNTIFS($A$2:$A$200,$A187,$D$2:$D$200,"*novo*",$N$2:$N$200,"C4"))=0,INDEX(posicao_contratual!$Y$2:$Y$200,MATCH($A187,posicao_contratual!$A$2:$A$200,0))=0),0,"")),"")</f>
        <v/>
      </c>
    </row>
    <row r="188" spans="1:15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IF(OR($A188="",$C188=""),"",IF(OR(($O188)="",($O188)&gt;(MIN(MATCH($C188,{"C0","C1","C2","C3","C4"},0)-1,COUNT(parametros!$F$2:$F$6)-1)),NOT(ISNUMBER(INDEX(parametros!$F$2:$F$6,(MIN(MATCH($C188,{"C0","C1","C2","C3","C4"},0)-1,COUNT(parametros!$F$2:$F$6)-1))+1))),NOT(ISNUMBER(INDEX(parametros!$F$2:$F$6,($O188)+1)))),"",INDEX(parametros!$F$2:$F$6,(MIN(MATCH($C188,{"C0","C1","C2","C3","C4"},0)-1,COUNT(parametros!$F$2:$F$6)-1))+1)/INDEX(parametros!$F$2:$F$6,($O188)+1))),"")</f>
        <v/>
      </c>
      <c r="J188" s="107" t="str">
        <f>IF(OR(L188="",F188=""),"",IF(UPPER(H188)="SIM",IF(ISNUMBER(I188),ROUND(L188*ROUND(F188*I188,2),2),""),ROUND(L188*F188,2)))</f>
        <v/>
      </c>
      <c r="K188" s="105"/>
      <c r="L188" s="85" t="str">
        <f t="shared" si="11"/>
        <v/>
      </c>
      <c r="M188" s="606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TIPO_INVALIDO",IF(AND(ISNUMBER(SEARCH("NOVO",D188)),OR(INDEX(posicao_contratual!$C$2:$C$200,MATCH(A188,posicao_contratual!$A$2:$A$200,0))&lt;&gt;0,F188="",COUNTIFS($A$2:$A$200,A188,$B$2:$B$200,"&lt;"&amp;B188,$L$2:$L$200,"&gt;0")&gt;0)),"ALERTA: NOVO ITEM INVALIDO - use Acrescimo se o item ja existia; novo item exige QTD_BASE_ORIGINAL 0, VU_ORIGINAL e ser o 1o acrescimo do item.",IF(AND(ISNUMBER(SEARCH("NOVO",D188)),OR(N188="",ISERROR(MATCH(N188,{"C0","C1","C2","C3","C4"},0)))),"ALERTA: BASE_VU_OBRIGATORIA",IF(AND(NOT(ISNUMBER(SEARCH("NOVO",D188))),N188&lt;&gt;""),"ALERTA: BASE_VU_NAO_APLICAVEL",IF(AND(UPPER(H188)="SIM",NOT(ISNUMBER(I188))),"ALERTA: BASE_VU_INVALIDA_OU_POSTERIOR_AO_FATOR_ALVO","OK"))))))))))</f>
        <v/>
      </c>
      <c r="N188" s="608"/>
      <c r="O188" s="610" t="str">
        <f>IFERROR(IF((COUNTIFS($A$2:$A$200,$A188,$D$2:$D$200,"*novo*",$N$2:$N$200,"C0")+COUNTIFS($A$2:$A$200,$A188,$D$2:$D$200,"*novo*",$N$2:$N$200,"C1")+COUNTIFS($A$2:$A$200,$A188,$D$2:$D$200,"*novo*",$N$2:$N$200,"C2")+COUNTIFS($A$2:$A$200,$A188,$D$2:$D$200,"*novo*",$N$2:$N$200,"C3")+COUNTIFS($A$2:$A$200,$A188,$D$2:$D$200,"*novo*",$N$2:$N$200,"C4"))=1,IF(COUNTIFS($A$2:$A$200,$A188,$D$2:$D$200,"*novo*",$N$2:$N$200,"C4")&gt;0,4,IF(COUNTIFS($A$2:$A$200,$A188,$D$2:$D$200,"*novo*",$N$2:$N$200,"C3")&gt;0,3,IF(COUNTIFS($A$2:$A$200,$A188,$D$2:$D$200,"*novo*",$N$2:$N$200,"C2")&gt;0,2,IF(COUNTIFS($A$2:$A$200,$A188,$D$2:$D$200,"*novo*",$N$2:$N$200,"C1")&gt;0,1,IF(COUNTIFS($A$2:$A$200,$A188,$D$2:$D$200,"*novo*",$N$2:$N$200,"C0")&gt;0,0,""))))),IF(AND((COUNTIFS($A$2:$A$200,$A188,$D$2:$D$200,"*novo*",$N$2:$N$200,"C0")+COUNTIFS($A$2:$A$200,$A188,$D$2:$D$200,"*novo*",$N$2:$N$200,"C1")+COUNTIFS($A$2:$A$200,$A188,$D$2:$D$200,"*novo*",$N$2:$N$200,"C2")+COUNTIFS($A$2:$A$200,$A188,$D$2:$D$200,"*novo*",$N$2:$N$200,"C3")+COUNTIFS($A$2:$A$200,$A188,$D$2:$D$200,"*novo*",$N$2:$N$200,"C4"))=0,INDEX(posicao_contratual!$Y$2:$Y$200,MATCH($A188,posicao_contratual!$A$2:$A$200,0))=0),0,"")),"")</f>
        <v/>
      </c>
    </row>
    <row r="189" spans="1:15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IF(OR($A189="",$C189=""),"",IF(OR(($O189)="",($O189)&gt;(MIN(MATCH($C189,{"C0","C1","C2","C3","C4"},0)-1,COUNT(parametros!$F$2:$F$6)-1)),NOT(ISNUMBER(INDEX(parametros!$F$2:$F$6,(MIN(MATCH($C189,{"C0","C1","C2","C3","C4"},0)-1,COUNT(parametros!$F$2:$F$6)-1))+1))),NOT(ISNUMBER(INDEX(parametros!$F$2:$F$6,($O189)+1)))),"",INDEX(parametros!$F$2:$F$6,(MIN(MATCH($C189,{"C0","C1","C2","C3","C4"},0)-1,COUNT(parametros!$F$2:$F$6)-1))+1)/INDEX(parametros!$F$2:$F$6,($O189)+1))),"")</f>
        <v/>
      </c>
      <c r="J189" s="107" t="str">
        <f>IF(OR(L189="",F189=""),"",IF(UPPER(H189)="SIM",IF(ISNUMBER(I189),ROUND(L189*ROUND(F189*I189,2),2),""),ROUND(L189*F189,2)))</f>
        <v/>
      </c>
      <c r="K189" s="105"/>
      <c r="L189" s="85" t="str">
        <f t="shared" si="11"/>
        <v/>
      </c>
      <c r="M189" s="606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TIPO_INVALIDO",IF(AND(ISNUMBER(SEARCH("NOVO",D189)),OR(INDEX(posicao_contratual!$C$2:$C$200,MATCH(A189,posicao_contratual!$A$2:$A$200,0))&lt;&gt;0,F189="",COUNTIFS($A$2:$A$200,A189,$B$2:$B$200,"&lt;"&amp;B189,$L$2:$L$200,"&gt;0")&gt;0)),"ALERTA: NOVO ITEM INVALIDO - use Acrescimo se o item ja existia; novo item exige QTD_BASE_ORIGINAL 0, VU_ORIGINAL e ser o 1o acrescimo do item.",IF(AND(ISNUMBER(SEARCH("NOVO",D189)),OR(N189="",ISERROR(MATCH(N189,{"C0","C1","C2","C3","C4"},0)))),"ALERTA: BASE_VU_OBRIGATORIA",IF(AND(NOT(ISNUMBER(SEARCH("NOVO",D189))),N189&lt;&gt;""),"ALERTA: BASE_VU_NAO_APLICAVEL",IF(AND(UPPER(H189)="SIM",NOT(ISNUMBER(I189))),"ALERTA: BASE_VU_INVALIDA_OU_POSTERIOR_AO_FATOR_ALVO","OK"))))))))))</f>
        <v/>
      </c>
      <c r="N189" s="608"/>
      <c r="O189" s="610" t="str">
        <f>IFERROR(IF((COUNTIFS($A$2:$A$200,$A189,$D$2:$D$200,"*novo*",$N$2:$N$200,"C0")+COUNTIFS($A$2:$A$200,$A189,$D$2:$D$200,"*novo*",$N$2:$N$200,"C1")+COUNTIFS($A$2:$A$200,$A189,$D$2:$D$200,"*novo*",$N$2:$N$200,"C2")+COUNTIFS($A$2:$A$200,$A189,$D$2:$D$200,"*novo*",$N$2:$N$200,"C3")+COUNTIFS($A$2:$A$200,$A189,$D$2:$D$200,"*novo*",$N$2:$N$200,"C4"))=1,IF(COUNTIFS($A$2:$A$200,$A189,$D$2:$D$200,"*novo*",$N$2:$N$200,"C4")&gt;0,4,IF(COUNTIFS($A$2:$A$200,$A189,$D$2:$D$200,"*novo*",$N$2:$N$200,"C3")&gt;0,3,IF(COUNTIFS($A$2:$A$200,$A189,$D$2:$D$200,"*novo*",$N$2:$N$200,"C2")&gt;0,2,IF(COUNTIFS($A$2:$A$200,$A189,$D$2:$D$200,"*novo*",$N$2:$N$200,"C1")&gt;0,1,IF(COUNTIFS($A$2:$A$200,$A189,$D$2:$D$200,"*novo*",$N$2:$N$200,"C0")&gt;0,0,""))))),IF(AND((COUNTIFS($A$2:$A$200,$A189,$D$2:$D$200,"*novo*",$N$2:$N$200,"C0")+COUNTIFS($A$2:$A$200,$A189,$D$2:$D$200,"*novo*",$N$2:$N$200,"C1")+COUNTIFS($A$2:$A$200,$A189,$D$2:$D$200,"*novo*",$N$2:$N$200,"C2")+COUNTIFS($A$2:$A$200,$A189,$D$2:$D$200,"*novo*",$N$2:$N$200,"C3")+COUNTIFS($A$2:$A$200,$A189,$D$2:$D$200,"*novo*",$N$2:$N$200,"C4"))=0,INDEX(posicao_contratual!$Y$2:$Y$200,MATCH($A189,posicao_contratual!$A$2:$A$200,0))=0),0,"")),"")</f>
        <v/>
      </c>
    </row>
    <row r="190" spans="1:15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IF(OR($A190="",$C190=""),"",IF(OR(($O190)="",($O190)&gt;(MIN(MATCH($C190,{"C0","C1","C2","C3","C4"},0)-1,COUNT(parametros!$F$2:$F$6)-1)),NOT(ISNUMBER(INDEX(parametros!$F$2:$F$6,(MIN(MATCH($C190,{"C0","C1","C2","C3","C4"},0)-1,COUNT(parametros!$F$2:$F$6)-1))+1))),NOT(ISNUMBER(INDEX(parametros!$F$2:$F$6,($O190)+1)))),"",INDEX(parametros!$F$2:$F$6,(MIN(MATCH($C190,{"C0","C1","C2","C3","C4"},0)-1,COUNT(parametros!$F$2:$F$6)-1))+1)/INDEX(parametros!$F$2:$F$6,($O190)+1))),"")</f>
        <v/>
      </c>
      <c r="J190" s="107" t="str">
        <f>IF(OR(L190="",F190=""),"",IF(UPPER(H190)="SIM",IF(ISNUMBER(I190),ROUND(L190*ROUND(F190*I190,2),2),""),ROUND(L190*F190,2)))</f>
        <v/>
      </c>
      <c r="K190" s="105"/>
      <c r="L190" s="85" t="str">
        <f t="shared" si="11"/>
        <v/>
      </c>
      <c r="M190" s="606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TIPO_INVALIDO",IF(AND(ISNUMBER(SEARCH("NOVO",D190)),OR(INDEX(posicao_contratual!$C$2:$C$200,MATCH(A190,posicao_contratual!$A$2:$A$200,0))&lt;&gt;0,F190="",COUNTIFS($A$2:$A$200,A190,$B$2:$B$200,"&lt;"&amp;B190,$L$2:$L$200,"&gt;0")&gt;0)),"ALERTA: NOVO ITEM INVALIDO - use Acrescimo se o item ja existia; novo item exige QTD_BASE_ORIGINAL 0, VU_ORIGINAL e ser o 1o acrescimo do item.",IF(AND(ISNUMBER(SEARCH("NOVO",D190)),OR(N190="",ISERROR(MATCH(N190,{"C0","C1","C2","C3","C4"},0)))),"ALERTA: BASE_VU_OBRIGATORIA",IF(AND(NOT(ISNUMBER(SEARCH("NOVO",D190))),N190&lt;&gt;""),"ALERTA: BASE_VU_NAO_APLICAVEL",IF(AND(UPPER(H190)="SIM",NOT(ISNUMBER(I190))),"ALERTA: BASE_VU_INVALIDA_OU_POSTERIOR_AO_FATOR_ALVO","OK"))))))))))</f>
        <v/>
      </c>
      <c r="N190" s="608"/>
      <c r="O190" s="610" t="str">
        <f>IFERROR(IF((COUNTIFS($A$2:$A$200,$A190,$D$2:$D$200,"*novo*",$N$2:$N$200,"C0")+COUNTIFS($A$2:$A$200,$A190,$D$2:$D$200,"*novo*",$N$2:$N$200,"C1")+COUNTIFS($A$2:$A$200,$A190,$D$2:$D$200,"*novo*",$N$2:$N$200,"C2")+COUNTIFS($A$2:$A$200,$A190,$D$2:$D$200,"*novo*",$N$2:$N$200,"C3")+COUNTIFS($A$2:$A$200,$A190,$D$2:$D$200,"*novo*",$N$2:$N$200,"C4"))=1,IF(COUNTIFS($A$2:$A$200,$A190,$D$2:$D$200,"*novo*",$N$2:$N$200,"C4")&gt;0,4,IF(COUNTIFS($A$2:$A$200,$A190,$D$2:$D$200,"*novo*",$N$2:$N$200,"C3")&gt;0,3,IF(COUNTIFS($A$2:$A$200,$A190,$D$2:$D$200,"*novo*",$N$2:$N$200,"C2")&gt;0,2,IF(COUNTIFS($A$2:$A$200,$A190,$D$2:$D$200,"*novo*",$N$2:$N$200,"C1")&gt;0,1,IF(COUNTIFS($A$2:$A$200,$A190,$D$2:$D$200,"*novo*",$N$2:$N$200,"C0")&gt;0,0,""))))),IF(AND((COUNTIFS($A$2:$A$200,$A190,$D$2:$D$200,"*novo*",$N$2:$N$200,"C0")+COUNTIFS($A$2:$A$200,$A190,$D$2:$D$200,"*novo*",$N$2:$N$200,"C1")+COUNTIFS($A$2:$A$200,$A190,$D$2:$D$200,"*novo*",$N$2:$N$200,"C2")+COUNTIFS($A$2:$A$200,$A190,$D$2:$D$200,"*novo*",$N$2:$N$200,"C3")+COUNTIFS($A$2:$A$200,$A190,$D$2:$D$200,"*novo*",$N$2:$N$200,"C4"))=0,INDEX(posicao_contratual!$Y$2:$Y$200,MATCH($A190,posicao_contratual!$A$2:$A$200,0))=0),0,"")),"")</f>
        <v/>
      </c>
    </row>
    <row r="191" spans="1:15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IF(OR($A191="",$C191=""),"",IF(OR(($O191)="",($O191)&gt;(MIN(MATCH($C191,{"C0","C1","C2","C3","C4"},0)-1,COUNT(parametros!$F$2:$F$6)-1)),NOT(ISNUMBER(INDEX(parametros!$F$2:$F$6,(MIN(MATCH($C191,{"C0","C1","C2","C3","C4"},0)-1,COUNT(parametros!$F$2:$F$6)-1))+1))),NOT(ISNUMBER(INDEX(parametros!$F$2:$F$6,($O191)+1)))),"",INDEX(parametros!$F$2:$F$6,(MIN(MATCH($C191,{"C0","C1","C2","C3","C4"},0)-1,COUNT(parametros!$F$2:$F$6)-1))+1)/INDEX(parametros!$F$2:$F$6,($O191)+1))),"")</f>
        <v/>
      </c>
      <c r="J191" s="107" t="str">
        <f>IF(OR(L191="",F191=""),"",IF(UPPER(H191)="SIM",IF(ISNUMBER(I191),ROUND(L191*ROUND(F191*I191,2),2),""),ROUND(L191*F191,2)))</f>
        <v/>
      </c>
      <c r="K191" s="105"/>
      <c r="L191" s="85" t="str">
        <f t="shared" si="11"/>
        <v/>
      </c>
      <c r="M191" s="606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TIPO_INVALIDO",IF(AND(ISNUMBER(SEARCH("NOVO",D191)),OR(INDEX(posicao_contratual!$C$2:$C$200,MATCH(A191,posicao_contratual!$A$2:$A$200,0))&lt;&gt;0,F191="",COUNTIFS($A$2:$A$200,A191,$B$2:$B$200,"&lt;"&amp;B191,$L$2:$L$200,"&gt;0")&gt;0)),"ALERTA: NOVO ITEM INVALIDO - use Acrescimo se o item ja existia; novo item exige QTD_BASE_ORIGINAL 0, VU_ORIGINAL e ser o 1o acrescimo do item.",IF(AND(ISNUMBER(SEARCH("NOVO",D191)),OR(N191="",ISERROR(MATCH(N191,{"C0","C1","C2","C3","C4"},0)))),"ALERTA: BASE_VU_OBRIGATORIA",IF(AND(NOT(ISNUMBER(SEARCH("NOVO",D191))),N191&lt;&gt;""),"ALERTA: BASE_VU_NAO_APLICAVEL",IF(AND(UPPER(H191)="SIM",NOT(ISNUMBER(I191))),"ALERTA: BASE_VU_INVALIDA_OU_POSTERIOR_AO_FATOR_ALVO","OK"))))))))))</f>
        <v/>
      </c>
      <c r="N191" s="608"/>
      <c r="O191" s="610" t="str">
        <f>IFERROR(IF((COUNTIFS($A$2:$A$200,$A191,$D$2:$D$200,"*novo*",$N$2:$N$200,"C0")+COUNTIFS($A$2:$A$200,$A191,$D$2:$D$200,"*novo*",$N$2:$N$200,"C1")+COUNTIFS($A$2:$A$200,$A191,$D$2:$D$200,"*novo*",$N$2:$N$200,"C2")+COUNTIFS($A$2:$A$200,$A191,$D$2:$D$200,"*novo*",$N$2:$N$200,"C3")+COUNTIFS($A$2:$A$200,$A191,$D$2:$D$200,"*novo*",$N$2:$N$200,"C4"))=1,IF(COUNTIFS($A$2:$A$200,$A191,$D$2:$D$200,"*novo*",$N$2:$N$200,"C4")&gt;0,4,IF(COUNTIFS($A$2:$A$200,$A191,$D$2:$D$200,"*novo*",$N$2:$N$200,"C3")&gt;0,3,IF(COUNTIFS($A$2:$A$200,$A191,$D$2:$D$200,"*novo*",$N$2:$N$200,"C2")&gt;0,2,IF(COUNTIFS($A$2:$A$200,$A191,$D$2:$D$200,"*novo*",$N$2:$N$200,"C1")&gt;0,1,IF(COUNTIFS($A$2:$A$200,$A191,$D$2:$D$200,"*novo*",$N$2:$N$200,"C0")&gt;0,0,""))))),IF(AND((COUNTIFS($A$2:$A$200,$A191,$D$2:$D$200,"*novo*",$N$2:$N$200,"C0")+COUNTIFS($A$2:$A$200,$A191,$D$2:$D$200,"*novo*",$N$2:$N$200,"C1")+COUNTIFS($A$2:$A$200,$A191,$D$2:$D$200,"*novo*",$N$2:$N$200,"C2")+COUNTIFS($A$2:$A$200,$A191,$D$2:$D$200,"*novo*",$N$2:$N$200,"C3")+COUNTIFS($A$2:$A$200,$A191,$D$2:$D$200,"*novo*",$N$2:$N$200,"C4"))=0,INDEX(posicao_contratual!$Y$2:$Y$200,MATCH($A191,posicao_contratual!$A$2:$A$200,0))=0),0,"")),"")</f>
        <v/>
      </c>
    </row>
    <row r="192" spans="1:15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IF(OR($A192="",$C192=""),"",IF(OR(($O192)="",($O192)&gt;(MIN(MATCH($C192,{"C0","C1","C2","C3","C4"},0)-1,COUNT(parametros!$F$2:$F$6)-1)),NOT(ISNUMBER(INDEX(parametros!$F$2:$F$6,(MIN(MATCH($C192,{"C0","C1","C2","C3","C4"},0)-1,COUNT(parametros!$F$2:$F$6)-1))+1))),NOT(ISNUMBER(INDEX(parametros!$F$2:$F$6,($O192)+1)))),"",INDEX(parametros!$F$2:$F$6,(MIN(MATCH($C192,{"C0","C1","C2","C3","C4"},0)-1,COUNT(parametros!$F$2:$F$6)-1))+1)/INDEX(parametros!$F$2:$F$6,($O192)+1))),"")</f>
        <v/>
      </c>
      <c r="J192" s="107" t="str">
        <f>IF(OR(L192="",F192=""),"",IF(UPPER(H192)="SIM",IF(ISNUMBER(I192),ROUND(L192*ROUND(F192*I192,2),2),""),ROUND(L192*F192,2)))</f>
        <v/>
      </c>
      <c r="K192" s="105"/>
      <c r="L192" s="85" t="str">
        <f t="shared" si="11"/>
        <v/>
      </c>
      <c r="M192" s="606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TIPO_INVALIDO",IF(AND(ISNUMBER(SEARCH("NOVO",D192)),OR(INDEX(posicao_contratual!$C$2:$C$200,MATCH(A192,posicao_contratual!$A$2:$A$200,0))&lt;&gt;0,F192="",COUNTIFS($A$2:$A$200,A192,$B$2:$B$200,"&lt;"&amp;B192,$L$2:$L$200,"&gt;0")&gt;0)),"ALERTA: NOVO ITEM INVALIDO - use Acrescimo se o item ja existia; novo item exige QTD_BASE_ORIGINAL 0, VU_ORIGINAL e ser o 1o acrescimo do item.",IF(AND(ISNUMBER(SEARCH("NOVO",D192)),OR(N192="",ISERROR(MATCH(N192,{"C0","C1","C2","C3","C4"},0)))),"ALERTA: BASE_VU_OBRIGATORIA",IF(AND(NOT(ISNUMBER(SEARCH("NOVO",D192))),N192&lt;&gt;""),"ALERTA: BASE_VU_NAO_APLICAVEL",IF(AND(UPPER(H192)="SIM",NOT(ISNUMBER(I192))),"ALERTA: BASE_VU_INVALIDA_OU_POSTERIOR_AO_FATOR_ALVO","OK"))))))))))</f>
        <v/>
      </c>
      <c r="N192" s="608"/>
      <c r="O192" s="610" t="str">
        <f>IFERROR(IF((COUNTIFS($A$2:$A$200,$A192,$D$2:$D$200,"*novo*",$N$2:$N$200,"C0")+COUNTIFS($A$2:$A$200,$A192,$D$2:$D$200,"*novo*",$N$2:$N$200,"C1")+COUNTIFS($A$2:$A$200,$A192,$D$2:$D$200,"*novo*",$N$2:$N$200,"C2")+COUNTIFS($A$2:$A$200,$A192,$D$2:$D$200,"*novo*",$N$2:$N$200,"C3")+COUNTIFS($A$2:$A$200,$A192,$D$2:$D$200,"*novo*",$N$2:$N$200,"C4"))=1,IF(COUNTIFS($A$2:$A$200,$A192,$D$2:$D$200,"*novo*",$N$2:$N$200,"C4")&gt;0,4,IF(COUNTIFS($A$2:$A$200,$A192,$D$2:$D$200,"*novo*",$N$2:$N$200,"C3")&gt;0,3,IF(COUNTIFS($A$2:$A$200,$A192,$D$2:$D$200,"*novo*",$N$2:$N$200,"C2")&gt;0,2,IF(COUNTIFS($A$2:$A$200,$A192,$D$2:$D$200,"*novo*",$N$2:$N$200,"C1")&gt;0,1,IF(COUNTIFS($A$2:$A$200,$A192,$D$2:$D$200,"*novo*",$N$2:$N$200,"C0")&gt;0,0,""))))),IF(AND((COUNTIFS($A$2:$A$200,$A192,$D$2:$D$200,"*novo*",$N$2:$N$200,"C0")+COUNTIFS($A$2:$A$200,$A192,$D$2:$D$200,"*novo*",$N$2:$N$200,"C1")+COUNTIFS($A$2:$A$200,$A192,$D$2:$D$200,"*novo*",$N$2:$N$200,"C2")+COUNTIFS($A$2:$A$200,$A192,$D$2:$D$200,"*novo*",$N$2:$N$200,"C3")+COUNTIFS($A$2:$A$200,$A192,$D$2:$D$200,"*novo*",$N$2:$N$200,"C4"))=0,INDEX(posicao_contratual!$Y$2:$Y$200,MATCH($A192,posicao_contratual!$A$2:$A$200,0))=0),0,"")),"")</f>
        <v/>
      </c>
    </row>
    <row r="193" spans="1:15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IF(OR($A193="",$C193=""),"",IF(OR(($O193)="",($O193)&gt;(MIN(MATCH($C193,{"C0","C1","C2","C3","C4"},0)-1,COUNT(parametros!$F$2:$F$6)-1)),NOT(ISNUMBER(INDEX(parametros!$F$2:$F$6,(MIN(MATCH($C193,{"C0","C1","C2","C3","C4"},0)-1,COUNT(parametros!$F$2:$F$6)-1))+1))),NOT(ISNUMBER(INDEX(parametros!$F$2:$F$6,($O193)+1)))),"",INDEX(parametros!$F$2:$F$6,(MIN(MATCH($C193,{"C0","C1","C2","C3","C4"},0)-1,COUNT(parametros!$F$2:$F$6)-1))+1)/INDEX(parametros!$F$2:$F$6,($O193)+1))),"")</f>
        <v/>
      </c>
      <c r="J193" s="107" t="str">
        <f>IF(OR(L193="",F193=""),"",IF(UPPER(H193)="SIM",IF(ISNUMBER(I193),ROUND(L193*ROUND(F193*I193,2),2),""),ROUND(L193*F193,2)))</f>
        <v/>
      </c>
      <c r="K193" s="105"/>
      <c r="L193" s="85" t="str">
        <f t="shared" si="11"/>
        <v/>
      </c>
      <c r="M193" s="606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TIPO_INVALIDO",IF(AND(ISNUMBER(SEARCH("NOVO",D193)),OR(INDEX(posicao_contratual!$C$2:$C$200,MATCH(A193,posicao_contratual!$A$2:$A$200,0))&lt;&gt;0,F193="",COUNTIFS($A$2:$A$200,A193,$B$2:$B$200,"&lt;"&amp;B193,$L$2:$L$200,"&gt;0")&gt;0)),"ALERTA: NOVO ITEM INVALIDO - use Acrescimo se o item ja existia; novo item exige QTD_BASE_ORIGINAL 0, VU_ORIGINAL e ser o 1o acrescimo do item.",IF(AND(ISNUMBER(SEARCH("NOVO",D193)),OR(N193="",ISERROR(MATCH(N193,{"C0","C1","C2","C3","C4"},0)))),"ALERTA: BASE_VU_OBRIGATORIA",IF(AND(NOT(ISNUMBER(SEARCH("NOVO",D193))),N193&lt;&gt;""),"ALERTA: BASE_VU_NAO_APLICAVEL",IF(AND(UPPER(H193)="SIM",NOT(ISNUMBER(I193))),"ALERTA: BASE_VU_INVALIDA_OU_POSTERIOR_AO_FATOR_ALVO","OK"))))))))))</f>
        <v/>
      </c>
      <c r="N193" s="608"/>
      <c r="O193" s="610" t="str">
        <f>IFERROR(IF((COUNTIFS($A$2:$A$200,$A193,$D$2:$D$200,"*novo*",$N$2:$N$200,"C0")+COUNTIFS($A$2:$A$200,$A193,$D$2:$D$200,"*novo*",$N$2:$N$200,"C1")+COUNTIFS($A$2:$A$200,$A193,$D$2:$D$200,"*novo*",$N$2:$N$200,"C2")+COUNTIFS($A$2:$A$200,$A193,$D$2:$D$200,"*novo*",$N$2:$N$200,"C3")+COUNTIFS($A$2:$A$200,$A193,$D$2:$D$200,"*novo*",$N$2:$N$200,"C4"))=1,IF(COUNTIFS($A$2:$A$200,$A193,$D$2:$D$200,"*novo*",$N$2:$N$200,"C4")&gt;0,4,IF(COUNTIFS($A$2:$A$200,$A193,$D$2:$D$200,"*novo*",$N$2:$N$200,"C3")&gt;0,3,IF(COUNTIFS($A$2:$A$200,$A193,$D$2:$D$200,"*novo*",$N$2:$N$200,"C2")&gt;0,2,IF(COUNTIFS($A$2:$A$200,$A193,$D$2:$D$200,"*novo*",$N$2:$N$200,"C1")&gt;0,1,IF(COUNTIFS($A$2:$A$200,$A193,$D$2:$D$200,"*novo*",$N$2:$N$200,"C0")&gt;0,0,""))))),IF(AND((COUNTIFS($A$2:$A$200,$A193,$D$2:$D$200,"*novo*",$N$2:$N$200,"C0")+COUNTIFS($A$2:$A$200,$A193,$D$2:$D$200,"*novo*",$N$2:$N$200,"C1")+COUNTIFS($A$2:$A$200,$A193,$D$2:$D$200,"*novo*",$N$2:$N$200,"C2")+COUNTIFS($A$2:$A$200,$A193,$D$2:$D$200,"*novo*",$N$2:$N$200,"C3")+COUNTIFS($A$2:$A$200,$A193,$D$2:$D$200,"*novo*",$N$2:$N$200,"C4"))=0,INDEX(posicao_contratual!$Y$2:$Y$200,MATCH($A193,posicao_contratual!$A$2:$A$200,0))=0),0,"")),"")</f>
        <v/>
      </c>
    </row>
    <row r="194" spans="1:15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IF(OR($A194="",$C194=""),"",IF(OR(($O194)="",($O194)&gt;(MIN(MATCH($C194,{"C0","C1","C2","C3","C4"},0)-1,COUNT(parametros!$F$2:$F$6)-1)),NOT(ISNUMBER(INDEX(parametros!$F$2:$F$6,(MIN(MATCH($C194,{"C0","C1","C2","C3","C4"},0)-1,COUNT(parametros!$F$2:$F$6)-1))+1))),NOT(ISNUMBER(INDEX(parametros!$F$2:$F$6,($O194)+1)))),"",INDEX(parametros!$F$2:$F$6,(MIN(MATCH($C194,{"C0","C1","C2","C3","C4"},0)-1,COUNT(parametros!$F$2:$F$6)-1))+1)/INDEX(parametros!$F$2:$F$6,($O194)+1))),"")</f>
        <v/>
      </c>
      <c r="J194" s="107" t="str">
        <f>IF(OR(L194="",F194=""),"",IF(UPPER(H194)="SIM",IF(ISNUMBER(I194),ROUND(L194*ROUND(F194*I194,2),2),""),ROUND(L194*F194,2)))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606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TIPO_INVALIDO",IF(AND(ISNUMBER(SEARCH("NOVO",D194)),OR(INDEX(posicao_contratual!$C$2:$C$200,MATCH(A194,posicao_contratual!$A$2:$A$200,0))&lt;&gt;0,F194="",COUNTIFS($A$2:$A$200,A194,$B$2:$B$200,"&lt;"&amp;B194,$L$2:$L$200,"&gt;0")&gt;0)),"ALERTA: NOVO ITEM INVALIDO - use Acrescimo se o item ja existia; novo item exige QTD_BASE_ORIGINAL 0, VU_ORIGINAL e ser o 1o acrescimo do item.",IF(AND(ISNUMBER(SEARCH("NOVO",D194)),OR(N194="",ISERROR(MATCH(N194,{"C0","C1","C2","C3","C4"},0)))),"ALERTA: BASE_VU_OBRIGATORIA",IF(AND(NOT(ISNUMBER(SEARCH("NOVO",D194))),N194&lt;&gt;""),"ALERTA: BASE_VU_NAO_APLICAVEL",IF(AND(UPPER(H194)="SIM",NOT(ISNUMBER(I194))),"ALERTA: BASE_VU_INVALIDA_OU_POSTERIOR_AO_FATOR_ALVO","OK"))))))))))</f>
        <v/>
      </c>
      <c r="N194" s="608"/>
      <c r="O194" s="610" t="str">
        <f>IFERROR(IF((COUNTIFS($A$2:$A$200,$A194,$D$2:$D$200,"*novo*",$N$2:$N$200,"C0")+COUNTIFS($A$2:$A$200,$A194,$D$2:$D$200,"*novo*",$N$2:$N$200,"C1")+COUNTIFS($A$2:$A$200,$A194,$D$2:$D$200,"*novo*",$N$2:$N$200,"C2")+COUNTIFS($A$2:$A$200,$A194,$D$2:$D$200,"*novo*",$N$2:$N$200,"C3")+COUNTIFS($A$2:$A$200,$A194,$D$2:$D$200,"*novo*",$N$2:$N$200,"C4"))=1,IF(COUNTIFS($A$2:$A$200,$A194,$D$2:$D$200,"*novo*",$N$2:$N$200,"C4")&gt;0,4,IF(COUNTIFS($A$2:$A$200,$A194,$D$2:$D$200,"*novo*",$N$2:$N$200,"C3")&gt;0,3,IF(COUNTIFS($A$2:$A$200,$A194,$D$2:$D$200,"*novo*",$N$2:$N$200,"C2")&gt;0,2,IF(COUNTIFS($A$2:$A$200,$A194,$D$2:$D$200,"*novo*",$N$2:$N$200,"C1")&gt;0,1,IF(COUNTIFS($A$2:$A$200,$A194,$D$2:$D$200,"*novo*",$N$2:$N$200,"C0")&gt;0,0,""))))),IF(AND((COUNTIFS($A$2:$A$200,$A194,$D$2:$D$200,"*novo*",$N$2:$N$200,"C0")+COUNTIFS($A$2:$A$200,$A194,$D$2:$D$200,"*novo*",$N$2:$N$200,"C1")+COUNTIFS($A$2:$A$200,$A194,$D$2:$D$200,"*novo*",$N$2:$N$200,"C2")+COUNTIFS($A$2:$A$200,$A194,$D$2:$D$200,"*novo*",$N$2:$N$200,"C3")+COUNTIFS($A$2:$A$200,$A194,$D$2:$D$200,"*novo*",$N$2:$N$200,"C4"))=0,INDEX(posicao_contratual!$Y$2:$Y$200,MATCH($A194,posicao_contratual!$A$2:$A$200,0))=0),0,"")),"")</f>
        <v/>
      </c>
    </row>
    <row r="195" spans="1:15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IF(OR($A195="",$C195=""),"",IF(OR(($O195)="",($O195)&gt;(MIN(MATCH($C195,{"C0","C1","C2","C3","C4"},0)-1,COUNT(parametros!$F$2:$F$6)-1)),NOT(ISNUMBER(INDEX(parametros!$F$2:$F$6,(MIN(MATCH($C195,{"C0","C1","C2","C3","C4"},0)-1,COUNT(parametros!$F$2:$F$6)-1))+1))),NOT(ISNUMBER(INDEX(parametros!$F$2:$F$6,($O195)+1)))),"",INDEX(parametros!$F$2:$F$6,(MIN(MATCH($C195,{"C0","C1","C2","C3","C4"},0)-1,COUNT(parametros!$F$2:$F$6)-1))+1)/INDEX(parametros!$F$2:$F$6,($O195)+1))),"")</f>
        <v/>
      </c>
      <c r="J195" s="107" t="str">
        <f>IF(OR(L195="",F195=""),"",IF(UPPER(H195)="SIM",IF(ISNUMBER(I195),ROUND(L195*ROUND(F195*I195,2),2),""),ROUND(L195*F195,2)))</f>
        <v/>
      </c>
      <c r="K195" s="105"/>
      <c r="L195" s="85" t="str">
        <f t="shared" si="13"/>
        <v/>
      </c>
      <c r="M195" s="606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TIPO_INVALIDO",IF(AND(ISNUMBER(SEARCH("NOVO",D195)),OR(INDEX(posicao_contratual!$C$2:$C$200,MATCH(A195,posicao_contratual!$A$2:$A$200,0))&lt;&gt;0,F195="",COUNTIFS($A$2:$A$200,A195,$B$2:$B$200,"&lt;"&amp;B195,$L$2:$L$200,"&gt;0")&gt;0)),"ALERTA: NOVO ITEM INVALIDO - use Acrescimo se o item ja existia; novo item exige QTD_BASE_ORIGINAL 0, VU_ORIGINAL e ser o 1o acrescimo do item.",IF(AND(ISNUMBER(SEARCH("NOVO",D195)),OR(N195="",ISERROR(MATCH(N195,{"C0","C1","C2","C3","C4"},0)))),"ALERTA: BASE_VU_OBRIGATORIA",IF(AND(NOT(ISNUMBER(SEARCH("NOVO",D195))),N195&lt;&gt;""),"ALERTA: BASE_VU_NAO_APLICAVEL",IF(AND(UPPER(H195)="SIM",NOT(ISNUMBER(I195))),"ALERTA: BASE_VU_INVALIDA_OU_POSTERIOR_AO_FATOR_ALVO","OK"))))))))))</f>
        <v/>
      </c>
      <c r="N195" s="608"/>
      <c r="O195" s="610" t="str">
        <f>IFERROR(IF((COUNTIFS($A$2:$A$200,$A195,$D$2:$D$200,"*novo*",$N$2:$N$200,"C0")+COUNTIFS($A$2:$A$200,$A195,$D$2:$D$200,"*novo*",$N$2:$N$200,"C1")+COUNTIFS($A$2:$A$200,$A195,$D$2:$D$200,"*novo*",$N$2:$N$200,"C2")+COUNTIFS($A$2:$A$200,$A195,$D$2:$D$200,"*novo*",$N$2:$N$200,"C3")+COUNTIFS($A$2:$A$200,$A195,$D$2:$D$200,"*novo*",$N$2:$N$200,"C4"))=1,IF(COUNTIFS($A$2:$A$200,$A195,$D$2:$D$200,"*novo*",$N$2:$N$200,"C4")&gt;0,4,IF(COUNTIFS($A$2:$A$200,$A195,$D$2:$D$200,"*novo*",$N$2:$N$200,"C3")&gt;0,3,IF(COUNTIFS($A$2:$A$200,$A195,$D$2:$D$200,"*novo*",$N$2:$N$200,"C2")&gt;0,2,IF(COUNTIFS($A$2:$A$200,$A195,$D$2:$D$200,"*novo*",$N$2:$N$200,"C1")&gt;0,1,IF(COUNTIFS($A$2:$A$200,$A195,$D$2:$D$200,"*novo*",$N$2:$N$200,"C0")&gt;0,0,""))))),IF(AND((COUNTIFS($A$2:$A$200,$A195,$D$2:$D$200,"*novo*",$N$2:$N$200,"C0")+COUNTIFS($A$2:$A$200,$A195,$D$2:$D$200,"*novo*",$N$2:$N$200,"C1")+COUNTIFS($A$2:$A$200,$A195,$D$2:$D$200,"*novo*",$N$2:$N$200,"C2")+COUNTIFS($A$2:$A$200,$A195,$D$2:$D$200,"*novo*",$N$2:$N$200,"C3")+COUNTIFS($A$2:$A$200,$A195,$D$2:$D$200,"*novo*",$N$2:$N$200,"C4"))=0,INDEX(posicao_contratual!$Y$2:$Y$200,MATCH($A195,posicao_contratual!$A$2:$A$200,0))=0),0,"")),"")</f>
        <v/>
      </c>
    </row>
    <row r="196" spans="1:15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IF(OR($A196="",$C196=""),"",IF(OR(($O196)="",($O196)&gt;(MIN(MATCH($C196,{"C0","C1","C2","C3","C4"},0)-1,COUNT(parametros!$F$2:$F$6)-1)),NOT(ISNUMBER(INDEX(parametros!$F$2:$F$6,(MIN(MATCH($C196,{"C0","C1","C2","C3","C4"},0)-1,COUNT(parametros!$F$2:$F$6)-1))+1))),NOT(ISNUMBER(INDEX(parametros!$F$2:$F$6,($O196)+1)))),"",INDEX(parametros!$F$2:$F$6,(MIN(MATCH($C196,{"C0","C1","C2","C3","C4"},0)-1,COUNT(parametros!$F$2:$F$6)-1))+1)/INDEX(parametros!$F$2:$F$6,($O196)+1))),"")</f>
        <v/>
      </c>
      <c r="J196" s="107" t="str">
        <f>IF(OR(L196="",F196=""),"",IF(UPPER(H196)="SIM",IF(ISNUMBER(I196),ROUND(L196*ROUND(F196*I196,2),2),""),ROUND(L196*F196,2)))</f>
        <v/>
      </c>
      <c r="K196" s="105"/>
      <c r="L196" s="85" t="str">
        <f t="shared" si="13"/>
        <v/>
      </c>
      <c r="M196" s="606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TIPO_INVALIDO",IF(AND(ISNUMBER(SEARCH("NOVO",D196)),OR(INDEX(posicao_contratual!$C$2:$C$200,MATCH(A196,posicao_contratual!$A$2:$A$200,0))&lt;&gt;0,F196="",COUNTIFS($A$2:$A$200,A196,$B$2:$B$200,"&lt;"&amp;B196,$L$2:$L$200,"&gt;0")&gt;0)),"ALERTA: NOVO ITEM INVALIDO - use Acrescimo se o item ja existia; novo item exige QTD_BASE_ORIGINAL 0, VU_ORIGINAL e ser o 1o acrescimo do item.",IF(AND(ISNUMBER(SEARCH("NOVO",D196)),OR(N196="",ISERROR(MATCH(N196,{"C0","C1","C2","C3","C4"},0)))),"ALERTA: BASE_VU_OBRIGATORIA",IF(AND(NOT(ISNUMBER(SEARCH("NOVO",D196))),N196&lt;&gt;""),"ALERTA: BASE_VU_NAO_APLICAVEL",IF(AND(UPPER(H196)="SIM",NOT(ISNUMBER(I196))),"ALERTA: BASE_VU_INVALIDA_OU_POSTERIOR_AO_FATOR_ALVO","OK"))))))))))</f>
        <v/>
      </c>
      <c r="N196" s="608"/>
      <c r="O196" s="610" t="str">
        <f>IFERROR(IF((COUNTIFS($A$2:$A$200,$A196,$D$2:$D$200,"*novo*",$N$2:$N$200,"C0")+COUNTIFS($A$2:$A$200,$A196,$D$2:$D$200,"*novo*",$N$2:$N$200,"C1")+COUNTIFS($A$2:$A$200,$A196,$D$2:$D$200,"*novo*",$N$2:$N$200,"C2")+COUNTIFS($A$2:$A$200,$A196,$D$2:$D$200,"*novo*",$N$2:$N$200,"C3")+COUNTIFS($A$2:$A$200,$A196,$D$2:$D$200,"*novo*",$N$2:$N$200,"C4"))=1,IF(COUNTIFS($A$2:$A$200,$A196,$D$2:$D$200,"*novo*",$N$2:$N$200,"C4")&gt;0,4,IF(COUNTIFS($A$2:$A$200,$A196,$D$2:$D$200,"*novo*",$N$2:$N$200,"C3")&gt;0,3,IF(COUNTIFS($A$2:$A$200,$A196,$D$2:$D$200,"*novo*",$N$2:$N$200,"C2")&gt;0,2,IF(COUNTIFS($A$2:$A$200,$A196,$D$2:$D$200,"*novo*",$N$2:$N$200,"C1")&gt;0,1,IF(COUNTIFS($A$2:$A$200,$A196,$D$2:$D$200,"*novo*",$N$2:$N$200,"C0")&gt;0,0,""))))),IF(AND((COUNTIFS($A$2:$A$200,$A196,$D$2:$D$200,"*novo*",$N$2:$N$200,"C0")+COUNTIFS($A$2:$A$200,$A196,$D$2:$D$200,"*novo*",$N$2:$N$200,"C1")+COUNTIFS($A$2:$A$200,$A196,$D$2:$D$200,"*novo*",$N$2:$N$200,"C2")+COUNTIFS($A$2:$A$200,$A196,$D$2:$D$200,"*novo*",$N$2:$N$200,"C3")+COUNTIFS($A$2:$A$200,$A196,$D$2:$D$200,"*novo*",$N$2:$N$200,"C4"))=0,INDEX(posicao_contratual!$Y$2:$Y$200,MATCH($A196,posicao_contratual!$A$2:$A$200,0))=0),0,"")),"")</f>
        <v/>
      </c>
    </row>
    <row r="197" spans="1:15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IF(OR($A197="",$C197=""),"",IF(OR(($O197)="",($O197)&gt;(MIN(MATCH($C197,{"C0","C1","C2","C3","C4"},0)-1,COUNT(parametros!$F$2:$F$6)-1)),NOT(ISNUMBER(INDEX(parametros!$F$2:$F$6,(MIN(MATCH($C197,{"C0","C1","C2","C3","C4"},0)-1,COUNT(parametros!$F$2:$F$6)-1))+1))),NOT(ISNUMBER(INDEX(parametros!$F$2:$F$6,($O197)+1)))),"",INDEX(parametros!$F$2:$F$6,(MIN(MATCH($C197,{"C0","C1","C2","C3","C4"},0)-1,COUNT(parametros!$F$2:$F$6)-1))+1)/INDEX(parametros!$F$2:$F$6,($O197)+1))),"")</f>
        <v/>
      </c>
      <c r="J197" s="107" t="str">
        <f>IF(OR(L197="",F197=""),"",IF(UPPER(H197)="SIM",IF(ISNUMBER(I197),ROUND(L197*ROUND(F197*I197,2),2),""),ROUND(L197*F197,2)))</f>
        <v/>
      </c>
      <c r="K197" s="105"/>
      <c r="L197" s="85" t="str">
        <f t="shared" si="13"/>
        <v/>
      </c>
      <c r="M197" s="606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TIPO_INVALIDO",IF(AND(ISNUMBER(SEARCH("NOVO",D197)),OR(INDEX(posicao_contratual!$C$2:$C$200,MATCH(A197,posicao_contratual!$A$2:$A$200,0))&lt;&gt;0,F197="",COUNTIFS($A$2:$A$200,A197,$B$2:$B$200,"&lt;"&amp;B197,$L$2:$L$200,"&gt;0")&gt;0)),"ALERTA: NOVO ITEM INVALIDO - use Acrescimo se o item ja existia; novo item exige QTD_BASE_ORIGINAL 0, VU_ORIGINAL e ser o 1o acrescimo do item.",IF(AND(ISNUMBER(SEARCH("NOVO",D197)),OR(N197="",ISERROR(MATCH(N197,{"C0","C1","C2","C3","C4"},0)))),"ALERTA: BASE_VU_OBRIGATORIA",IF(AND(NOT(ISNUMBER(SEARCH("NOVO",D197))),N197&lt;&gt;""),"ALERTA: BASE_VU_NAO_APLICAVEL",IF(AND(UPPER(H197)="SIM",NOT(ISNUMBER(I197))),"ALERTA: BASE_VU_INVALIDA_OU_POSTERIOR_AO_FATOR_ALVO","OK"))))))))))</f>
        <v/>
      </c>
      <c r="N197" s="608"/>
      <c r="O197" s="610" t="str">
        <f>IFERROR(IF((COUNTIFS($A$2:$A$200,$A197,$D$2:$D$200,"*novo*",$N$2:$N$200,"C0")+COUNTIFS($A$2:$A$200,$A197,$D$2:$D$200,"*novo*",$N$2:$N$200,"C1")+COUNTIFS($A$2:$A$200,$A197,$D$2:$D$200,"*novo*",$N$2:$N$200,"C2")+COUNTIFS($A$2:$A$200,$A197,$D$2:$D$200,"*novo*",$N$2:$N$200,"C3")+COUNTIFS($A$2:$A$200,$A197,$D$2:$D$200,"*novo*",$N$2:$N$200,"C4"))=1,IF(COUNTIFS($A$2:$A$200,$A197,$D$2:$D$200,"*novo*",$N$2:$N$200,"C4")&gt;0,4,IF(COUNTIFS($A$2:$A$200,$A197,$D$2:$D$200,"*novo*",$N$2:$N$200,"C3")&gt;0,3,IF(COUNTIFS($A$2:$A$200,$A197,$D$2:$D$200,"*novo*",$N$2:$N$200,"C2")&gt;0,2,IF(COUNTIFS($A$2:$A$200,$A197,$D$2:$D$200,"*novo*",$N$2:$N$200,"C1")&gt;0,1,IF(COUNTIFS($A$2:$A$200,$A197,$D$2:$D$200,"*novo*",$N$2:$N$200,"C0")&gt;0,0,""))))),IF(AND((COUNTIFS($A$2:$A$200,$A197,$D$2:$D$200,"*novo*",$N$2:$N$200,"C0")+COUNTIFS($A$2:$A$200,$A197,$D$2:$D$200,"*novo*",$N$2:$N$200,"C1")+COUNTIFS($A$2:$A$200,$A197,$D$2:$D$200,"*novo*",$N$2:$N$200,"C2")+COUNTIFS($A$2:$A$200,$A197,$D$2:$D$200,"*novo*",$N$2:$N$200,"C3")+COUNTIFS($A$2:$A$200,$A197,$D$2:$D$200,"*novo*",$N$2:$N$200,"C4"))=0,INDEX(posicao_contratual!$Y$2:$Y$200,MATCH($A197,posicao_contratual!$A$2:$A$200,0))=0),0,"")),"")</f>
        <v/>
      </c>
    </row>
    <row r="198" spans="1:15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IF(OR($A198="",$C198=""),"",IF(OR(($O198)="",($O198)&gt;(MIN(MATCH($C198,{"C0","C1","C2","C3","C4"},0)-1,COUNT(parametros!$F$2:$F$6)-1)),NOT(ISNUMBER(INDEX(parametros!$F$2:$F$6,(MIN(MATCH($C198,{"C0","C1","C2","C3","C4"},0)-1,COUNT(parametros!$F$2:$F$6)-1))+1))),NOT(ISNUMBER(INDEX(parametros!$F$2:$F$6,($O198)+1)))),"",INDEX(parametros!$F$2:$F$6,(MIN(MATCH($C198,{"C0","C1","C2","C3","C4"},0)-1,COUNT(parametros!$F$2:$F$6)-1))+1)/INDEX(parametros!$F$2:$F$6,($O198)+1))),"")</f>
        <v/>
      </c>
      <c r="J198" s="107" t="str">
        <f>IF(OR(L198="",F198=""),"",IF(UPPER(H198)="SIM",IF(ISNUMBER(I198),ROUND(L198*ROUND(F198*I198,2),2),""),ROUND(L198*F198,2)))</f>
        <v/>
      </c>
      <c r="K198" s="105"/>
      <c r="L198" s="85" t="str">
        <f t="shared" si="13"/>
        <v/>
      </c>
      <c r="M198" s="606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TIPO_INVALIDO",IF(AND(ISNUMBER(SEARCH("NOVO",D198)),OR(INDEX(posicao_contratual!$C$2:$C$200,MATCH(A198,posicao_contratual!$A$2:$A$200,0))&lt;&gt;0,F198="",COUNTIFS($A$2:$A$200,A198,$B$2:$B$200,"&lt;"&amp;B198,$L$2:$L$200,"&gt;0")&gt;0)),"ALERTA: NOVO ITEM INVALIDO - use Acrescimo se o item ja existia; novo item exige QTD_BASE_ORIGINAL 0, VU_ORIGINAL e ser o 1o acrescimo do item.",IF(AND(ISNUMBER(SEARCH("NOVO",D198)),OR(N198="",ISERROR(MATCH(N198,{"C0","C1","C2","C3","C4"},0)))),"ALERTA: BASE_VU_OBRIGATORIA",IF(AND(NOT(ISNUMBER(SEARCH("NOVO",D198))),N198&lt;&gt;""),"ALERTA: BASE_VU_NAO_APLICAVEL",IF(AND(UPPER(H198)="SIM",NOT(ISNUMBER(I198))),"ALERTA: BASE_VU_INVALIDA_OU_POSTERIOR_AO_FATOR_ALVO","OK"))))))))))</f>
        <v/>
      </c>
      <c r="N198" s="608"/>
      <c r="O198" s="610" t="str">
        <f>IFERROR(IF((COUNTIFS($A$2:$A$200,$A198,$D$2:$D$200,"*novo*",$N$2:$N$200,"C0")+COUNTIFS($A$2:$A$200,$A198,$D$2:$D$200,"*novo*",$N$2:$N$200,"C1")+COUNTIFS($A$2:$A$200,$A198,$D$2:$D$200,"*novo*",$N$2:$N$200,"C2")+COUNTIFS($A$2:$A$200,$A198,$D$2:$D$200,"*novo*",$N$2:$N$200,"C3")+COUNTIFS($A$2:$A$200,$A198,$D$2:$D$200,"*novo*",$N$2:$N$200,"C4"))=1,IF(COUNTIFS($A$2:$A$200,$A198,$D$2:$D$200,"*novo*",$N$2:$N$200,"C4")&gt;0,4,IF(COUNTIFS($A$2:$A$200,$A198,$D$2:$D$200,"*novo*",$N$2:$N$200,"C3")&gt;0,3,IF(COUNTIFS($A$2:$A$200,$A198,$D$2:$D$200,"*novo*",$N$2:$N$200,"C2")&gt;0,2,IF(COUNTIFS($A$2:$A$200,$A198,$D$2:$D$200,"*novo*",$N$2:$N$200,"C1")&gt;0,1,IF(COUNTIFS($A$2:$A$200,$A198,$D$2:$D$200,"*novo*",$N$2:$N$200,"C0")&gt;0,0,""))))),IF(AND((COUNTIFS($A$2:$A$200,$A198,$D$2:$D$200,"*novo*",$N$2:$N$200,"C0")+COUNTIFS($A$2:$A$200,$A198,$D$2:$D$200,"*novo*",$N$2:$N$200,"C1")+COUNTIFS($A$2:$A$200,$A198,$D$2:$D$200,"*novo*",$N$2:$N$200,"C2")+COUNTIFS($A$2:$A$200,$A198,$D$2:$D$200,"*novo*",$N$2:$N$200,"C3")+COUNTIFS($A$2:$A$200,$A198,$D$2:$D$200,"*novo*",$N$2:$N$200,"C4"))=0,INDEX(posicao_contratual!$Y$2:$Y$200,MATCH($A198,posicao_contratual!$A$2:$A$200,0))=0),0,"")),"")</f>
        <v/>
      </c>
    </row>
    <row r="199" spans="1:15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IF(OR($A199="",$C199=""),"",IF(OR(($O199)="",($O199)&gt;(MIN(MATCH($C199,{"C0","C1","C2","C3","C4"},0)-1,COUNT(parametros!$F$2:$F$6)-1)),NOT(ISNUMBER(INDEX(parametros!$F$2:$F$6,(MIN(MATCH($C199,{"C0","C1","C2","C3","C4"},0)-1,COUNT(parametros!$F$2:$F$6)-1))+1))),NOT(ISNUMBER(INDEX(parametros!$F$2:$F$6,($O199)+1)))),"",INDEX(parametros!$F$2:$F$6,(MIN(MATCH($C199,{"C0","C1","C2","C3","C4"},0)-1,COUNT(parametros!$F$2:$F$6)-1))+1)/INDEX(parametros!$F$2:$F$6,($O199)+1))),"")</f>
        <v/>
      </c>
      <c r="J199" s="107" t="str">
        <f>IF(OR(L199="",F199=""),"",IF(UPPER(H199)="SIM",IF(ISNUMBER(I199),ROUND(L199*ROUND(F199*I199,2),2),""),ROUND(L199*F199,2)))</f>
        <v/>
      </c>
      <c r="K199" s="105"/>
      <c r="L199" s="85" t="str">
        <f t="shared" si="13"/>
        <v/>
      </c>
      <c r="M199" s="606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TIPO_INVALIDO",IF(AND(ISNUMBER(SEARCH("NOVO",D199)),OR(INDEX(posicao_contratual!$C$2:$C$200,MATCH(A199,posicao_contratual!$A$2:$A$200,0))&lt;&gt;0,F199="",COUNTIFS($A$2:$A$200,A199,$B$2:$B$200,"&lt;"&amp;B199,$L$2:$L$200,"&gt;0")&gt;0)),"ALERTA: NOVO ITEM INVALIDO - use Acrescimo se o item ja existia; novo item exige QTD_BASE_ORIGINAL 0, VU_ORIGINAL e ser o 1o acrescimo do item.",IF(AND(ISNUMBER(SEARCH("NOVO",D199)),OR(N199="",ISERROR(MATCH(N199,{"C0","C1","C2","C3","C4"},0)))),"ALERTA: BASE_VU_OBRIGATORIA",IF(AND(NOT(ISNUMBER(SEARCH("NOVO",D199))),N199&lt;&gt;""),"ALERTA: BASE_VU_NAO_APLICAVEL",IF(AND(UPPER(H199)="SIM",NOT(ISNUMBER(I199))),"ALERTA: BASE_VU_INVALIDA_OU_POSTERIOR_AO_FATOR_ALVO","OK"))))))))))</f>
        <v/>
      </c>
      <c r="N199" s="608"/>
      <c r="O199" s="610" t="str">
        <f>IFERROR(IF((COUNTIFS($A$2:$A$200,$A199,$D$2:$D$200,"*novo*",$N$2:$N$200,"C0")+COUNTIFS($A$2:$A$200,$A199,$D$2:$D$200,"*novo*",$N$2:$N$200,"C1")+COUNTIFS($A$2:$A$200,$A199,$D$2:$D$200,"*novo*",$N$2:$N$200,"C2")+COUNTIFS($A$2:$A$200,$A199,$D$2:$D$200,"*novo*",$N$2:$N$200,"C3")+COUNTIFS($A$2:$A$200,$A199,$D$2:$D$200,"*novo*",$N$2:$N$200,"C4"))=1,IF(COUNTIFS($A$2:$A$200,$A199,$D$2:$D$200,"*novo*",$N$2:$N$200,"C4")&gt;0,4,IF(COUNTIFS($A$2:$A$200,$A199,$D$2:$D$200,"*novo*",$N$2:$N$200,"C3")&gt;0,3,IF(COUNTIFS($A$2:$A$200,$A199,$D$2:$D$200,"*novo*",$N$2:$N$200,"C2")&gt;0,2,IF(COUNTIFS($A$2:$A$200,$A199,$D$2:$D$200,"*novo*",$N$2:$N$200,"C1")&gt;0,1,IF(COUNTIFS($A$2:$A$200,$A199,$D$2:$D$200,"*novo*",$N$2:$N$200,"C0")&gt;0,0,""))))),IF(AND((COUNTIFS($A$2:$A$200,$A199,$D$2:$D$200,"*novo*",$N$2:$N$200,"C0")+COUNTIFS($A$2:$A$200,$A199,$D$2:$D$200,"*novo*",$N$2:$N$200,"C1")+COUNTIFS($A$2:$A$200,$A199,$D$2:$D$200,"*novo*",$N$2:$N$200,"C2")+COUNTIFS($A$2:$A$200,$A199,$D$2:$D$200,"*novo*",$N$2:$N$200,"C3")+COUNTIFS($A$2:$A$200,$A199,$D$2:$D$200,"*novo*",$N$2:$N$200,"C4"))=0,INDEX(posicao_contratual!$Y$2:$Y$200,MATCH($A199,posicao_contratual!$A$2:$A$200,0))=0),0,"")),"")</f>
        <v/>
      </c>
    </row>
    <row r="200" spans="1:15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IF(OR($A200="",$C200=""),"",IF(OR(($O200)="",($O200)&gt;(MIN(MATCH($C200,{"C0","C1","C2","C3","C4"},0)-1,COUNT(parametros!$F$2:$F$6)-1)),NOT(ISNUMBER(INDEX(parametros!$F$2:$F$6,(MIN(MATCH($C200,{"C0","C1","C2","C3","C4"},0)-1,COUNT(parametros!$F$2:$F$6)-1))+1))),NOT(ISNUMBER(INDEX(parametros!$F$2:$F$6,($O200)+1)))),"",INDEX(parametros!$F$2:$F$6,(MIN(MATCH($C200,{"C0","C1","C2","C3","C4"},0)-1,COUNT(parametros!$F$2:$F$6)-1))+1)/INDEX(parametros!$F$2:$F$6,($O200)+1))),"")</f>
        <v/>
      </c>
      <c r="J200" s="107" t="str">
        <f>IF(OR(L200="",F200=""),"",IF(UPPER(H200)="SIM",IF(ISNUMBER(I200),ROUND(L200*ROUND(F200*I200,2),2),""),ROUND(L200*F200,2)))</f>
        <v/>
      </c>
      <c r="K200" s="105"/>
      <c r="L200" s="85" t="str">
        <f t="shared" si="13"/>
        <v/>
      </c>
      <c r="M200" s="606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TIPO_INVALIDO",IF(AND(ISNUMBER(SEARCH("NOVO",D200)),OR(INDEX(posicao_contratual!$C$2:$C$200,MATCH(A200,posicao_contratual!$A$2:$A$200,0))&lt;&gt;0,F200="",COUNTIFS($A$2:$A$200,A200,$B$2:$B$200,"&lt;"&amp;B200,$L$2:$L$200,"&gt;0")&gt;0)),"ALERTA: NOVO ITEM INVALIDO - use Acrescimo se o item ja existia; novo item exige QTD_BASE_ORIGINAL 0, VU_ORIGINAL e ser o 1o acrescimo do item.",IF(AND(ISNUMBER(SEARCH("NOVO",D200)),OR(N200="",ISERROR(MATCH(N200,{"C0","C1","C2","C3","C4"},0)))),"ALERTA: BASE_VU_OBRIGATORIA",IF(AND(NOT(ISNUMBER(SEARCH("NOVO",D200))),N200&lt;&gt;""),"ALERTA: BASE_VU_NAO_APLICAVEL",IF(AND(UPPER(H200)="SIM",NOT(ISNUMBER(I200))),"ALERTA: BASE_VU_INVALIDA_OU_POSTERIOR_AO_FATOR_ALVO","OK"))))))))))</f>
        <v/>
      </c>
      <c r="N200" s="608"/>
      <c r="O200" s="610" t="str">
        <f>IFERROR(IF((COUNTIFS($A$2:$A$200,$A200,$D$2:$D$200,"*novo*",$N$2:$N$200,"C0")+COUNTIFS($A$2:$A$200,$A200,$D$2:$D$200,"*novo*",$N$2:$N$200,"C1")+COUNTIFS($A$2:$A$200,$A200,$D$2:$D$200,"*novo*",$N$2:$N$200,"C2")+COUNTIFS($A$2:$A$200,$A200,$D$2:$D$200,"*novo*",$N$2:$N$200,"C3")+COUNTIFS($A$2:$A$200,$A200,$D$2:$D$200,"*novo*",$N$2:$N$200,"C4"))=1,IF(COUNTIFS($A$2:$A$200,$A200,$D$2:$D$200,"*novo*",$N$2:$N$200,"C4")&gt;0,4,IF(COUNTIFS($A$2:$A$200,$A200,$D$2:$D$200,"*novo*",$N$2:$N$200,"C3")&gt;0,3,IF(COUNTIFS($A$2:$A$200,$A200,$D$2:$D$200,"*novo*",$N$2:$N$200,"C2")&gt;0,2,IF(COUNTIFS($A$2:$A$200,$A200,$D$2:$D$200,"*novo*",$N$2:$N$200,"C1")&gt;0,1,IF(COUNTIFS($A$2:$A$200,$A200,$D$2:$D$200,"*novo*",$N$2:$N$200,"C0")&gt;0,0,""))))),IF(AND((COUNTIFS($A$2:$A$200,$A200,$D$2:$D$200,"*novo*",$N$2:$N$200,"C0")+COUNTIFS($A$2:$A$200,$A200,$D$2:$D$200,"*novo*",$N$2:$N$200,"C1")+COUNTIFS($A$2:$A$200,$A200,$D$2:$D$200,"*novo*",$N$2:$N$200,"C2")+COUNTIFS($A$2:$A$200,$A200,$D$2:$D$200,"*novo*",$N$2:$N$200,"C3")+COUNTIFS($A$2:$A$200,$A200,$D$2:$D$200,"*novo*",$N$2:$N$200,"C4"))=0,INDEX(posicao_contratual!$Y$2:$Y$200,MATCH($A200,posicao_contratual!$A$2:$A$200,0))=0),0,"")),"")</f>
        <v/>
      </c>
    </row>
  </sheetData>
  <conditionalFormatting sqref="A2:K200">
    <cfRule type="expression" dxfId="85" priority="7">
      <formula>OR(LEFT(UPPER($D2),6)="SUPRES",LEFT(UPPER($D2),4)="DECR")</formula>
    </cfRule>
    <cfRule type="expression" dxfId="84" priority="7">
      <formula>OR(LEFT(UPPER($D2),6)="SUPRES",LEFT(UPPER($D2),4)="DECR")</formula>
    </cfRule>
  </conditionalFormatting>
  <conditionalFormatting sqref="C2:C200">
    <cfRule type="expression" dxfId="83" priority="15">
      <formula>UPPER($C2)="C0"</formula>
    </cfRule>
    <cfRule type="expression" dxfId="82" priority="15">
      <formula>UPPER($C2)="C1"</formula>
    </cfRule>
    <cfRule type="expression" dxfId="81" priority="15">
      <formula>UPPER($C2)="C2"</formula>
    </cfRule>
    <cfRule type="expression" dxfId="80" priority="15">
      <formula>UPPER($C2)="C3"</formula>
    </cfRule>
    <cfRule type="expression" dxfId="79" priority="15">
      <formula>UPPER($C2)="C4"</formula>
    </cfRule>
  </conditionalFormatting>
  <conditionalFormatting sqref="N2:N200">
    <cfRule type="expression" dxfId="1" priority="17" stopIfTrue="1">
      <formula>AND($A2&lt;&gt;"",ISERROR(SEARCH("NOVO",$D2)))</formula>
    </cfRule>
  </conditionalFormatting>
  <dataValidations count="5">
    <dataValidation type="list" allowBlank="1" sqref="H2:H200 K2:K200" xr:uid="{00000000-0002-0000-0700-000000000000}">
      <formula1>"Sim,Nao"</formula1>
    </dataValidation>
    <dataValidation type="list" allowBlank="1" showInputMessage="1" showErrorMessage="1" promptTitle="ITEM NOVO" prompt="Use &quot;Acréscimo - novo item&quot; somente no aditivo em que o item nasce no contrato, com toda a quantidade inicial._x000a_Novo aumento desse item depois: use apenas &quot;Acrescimo&quot;._x000a_Item já existente: &quot;Acrescimo&quot; ou &quot;Supressao&quot;." sqref="D2:D200" xr:uid="{00000000-0002-0000-0700-000001000000}">
      <formula1>"Acrescimo,Acréscimo - novo item,Supressao"</formula1>
    </dataValidation>
    <dataValidation allowBlank="1" showInputMessage="1" showErrorMessage="1" promptTitle="ITEM DO ADITIVO" prompt="Use o mesmo código de itens_Remanesc._x000a_Item novo: cadastre-o ANTES em itens_Remanesc (ex.: N001, quantidade-base 0, VU de inclusão) e só depois registre aqui o aditivo em que ele nasce." sqref="A2:A200" xr:uid="{6ED77311-B96C-4FD2-9B46-C91AC08F68E4}"/>
    <dataValidation allowBlank="1" showInputMessage="1" showErrorMessage="1" promptTitle="QUANTIDADE DO ADITIVO" prompt="Informe só a VARIAÇÃO deste aditivo (ex.: base 100 + Acrescimo 20 = 120)._x000a_Nascimento: toda a quantidade inicial (N003: 1.851, nunca 3.702)._x000a_Aumento posterior: só o adicional (+200 -&gt; 2.051)." sqref="E2:E200" xr:uid="{976A3289-54B3-4FCE-A49F-C279381AAD0D}"/>
    <dataValidation type="list" allowBlank="1" showInputMessage="1" showErrorMessage="1" errorTitle="Base econômica inválida" error="Escolha C0, C1, C2, C3 ou C4." promptTitle="Base econômica do VU" prompt="Informe o último reajuste já incorporado ao VU. C0 significa nenhum reajuste incorporado." sqref="N2:N200" xr:uid="{17F4211C-5521-4290-8F87-5F7ADED94B89}">
      <formula1>"C0,C1,C2,C3,C4"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8" t="s">
        <v>157</v>
      </c>
      <c r="I1" s="219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0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1" t="str">
        <f>IF(A2="","",IF($I$5="","POSICAO DE REFERENCIA INDISPONIVEL",ROUND(IF(itens_Remanesc!B2="",0,itens_Remanesc!B2)+SUMIFS(aditivos!$L$2:$L$200,aditivos!$A$2:$A$200,A2,aditivos!$B$2:$B$200,"&lt;="&amp;$I$5),2)))</f>
        <v/>
      </c>
      <c r="D2" s="221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2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3" t="s">
        <v>158</v>
      </c>
      <c r="I2" s="224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0" t="str">
        <f t="shared" ca="1" si="0"/>
        <v/>
      </c>
      <c r="C3" s="221" t="str">
        <f>IF(A3="","",IF($I$5="","POSICAO DE REFERENCIA INDISPONIVEL",ROUND(IF(itens_Remanesc!B3="",0,itens_Remanesc!B3)+SUMIFS(aditivos!$L$2:$L$200,aditivos!$A$2:$A$200,A3,aditivos!$B$2:$B$200,"&lt;="&amp;$I$5),2)))</f>
        <v/>
      </c>
      <c r="D3" s="221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2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3" t="s">
        <v>159</v>
      </c>
      <c r="I3" s="224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0" t="str">
        <f t="shared" ca="1" si="0"/>
        <v/>
      </c>
      <c r="C4" s="221" t="str">
        <f>IF(A4="","",IF($I$5="","POSICAO DE REFERENCIA INDISPONIVEL",ROUND(IF(itens_Remanesc!B4="",0,itens_Remanesc!B4)+SUMIFS(aditivos!$L$2:$L$200,aditivos!$A$2:$A$200,A4,aditivos!$B$2:$B$200,"&lt;="&amp;$I$5),2)))</f>
        <v/>
      </c>
      <c r="D4" s="221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2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3" t="s">
        <v>160</v>
      </c>
      <c r="I4" s="224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0" t="str">
        <f t="shared" ca="1" si="0"/>
        <v/>
      </c>
      <c r="C5" s="221" t="str">
        <f>IF(A5="","",IF($I$5="","POSICAO DE REFERENCIA INDISPONIVEL",ROUND(IF(itens_Remanesc!B5="",0,itens_Remanesc!B5)+SUMIFS(aditivos!$L$2:$L$200,aditivos!$A$2:$A$200,A5,aditivos!$B$2:$B$200,"&lt;="&amp;$I$5),2)))</f>
        <v/>
      </c>
      <c r="D5" s="221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2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3" t="s">
        <v>161</v>
      </c>
      <c r="I5" s="225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0" t="str">
        <f t="shared" ca="1" si="0"/>
        <v/>
      </c>
      <c r="C6" s="221" t="str">
        <f>IF(A6="","",IF($I$5="","POSICAO DE REFERENCIA INDISPONIVEL",ROUND(IF(itens_Remanesc!B6="",0,itens_Remanesc!B6)+SUMIFS(aditivos!$L$2:$L$200,aditivos!$A$2:$A$200,A6,aditivos!$B$2:$B$200,"&lt;="&amp;$I$5),2)))</f>
        <v/>
      </c>
      <c r="D6" s="221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2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3" t="s">
        <v>162</v>
      </c>
      <c r="I6" s="225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0" t="str">
        <f t="shared" ca="1" si="0"/>
        <v/>
      </c>
      <c r="C7" s="221" t="str">
        <f>IF(A7="","",IF($I$5="","POSICAO DE REFERENCIA INDISPONIVEL",ROUND(IF(itens_Remanesc!B7="",0,itens_Remanesc!B7)+SUMIFS(aditivos!$L$2:$L$200,aditivos!$A$2:$A$200,A7,aditivos!$B$2:$B$200,"&lt;="&amp;$I$5),2)))</f>
        <v/>
      </c>
      <c r="D7" s="221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2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3" t="s">
        <v>163</v>
      </c>
      <c r="I7" s="226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0" t="str">
        <f t="shared" ca="1" si="0"/>
        <v/>
      </c>
      <c r="C8" s="221" t="str">
        <f>IF(A8="","",IF($I$5="","POSICAO DE REFERENCIA INDISPONIVEL",ROUND(IF(itens_Remanesc!B8="",0,itens_Remanesc!B8)+SUMIFS(aditivos!$L$2:$L$200,aditivos!$A$2:$A$200,A8,aditivos!$B$2:$B$200,"&lt;="&amp;$I$5),2)))</f>
        <v/>
      </c>
      <c r="D8" s="221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2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3" t="s">
        <v>164</v>
      </c>
      <c r="I8" s="224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0" t="str">
        <f t="shared" ca="1" si="0"/>
        <v/>
      </c>
      <c r="C9" s="221" t="str">
        <f>IF(A9="","",IF($I$5="","POSICAO DE REFERENCIA INDISPONIVEL",ROUND(IF(itens_Remanesc!B9="",0,itens_Remanesc!B9)+SUMIFS(aditivos!$L$2:$L$200,aditivos!$A$2:$A$200,A9,aditivos!$B$2:$B$200,"&lt;="&amp;$I$5),2)))</f>
        <v/>
      </c>
      <c r="D9" s="221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2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3" t="s">
        <v>165</v>
      </c>
      <c r="I9" s="225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0" t="str">
        <f t="shared" ca="1" si="0"/>
        <v/>
      </c>
      <c r="C10" s="221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1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2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3" t="s">
        <v>166</v>
      </c>
      <c r="I10" s="224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0" t="str">
        <f t="shared" ca="1" si="0"/>
        <v/>
      </c>
      <c r="C11" s="221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1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2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7" t="s">
        <v>167</v>
      </c>
      <c r="I11" s="228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0" t="str">
        <f t="shared" ca="1" si="0"/>
        <v/>
      </c>
      <c r="C12" s="221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1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2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29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0" t="str">
        <f t="shared" ca="1" si="0"/>
        <v/>
      </c>
      <c r="C13" s="221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1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2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29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0" t="str">
        <f t="shared" ca="1" si="0"/>
        <v/>
      </c>
      <c r="C14" s="221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1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2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29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0" t="str">
        <f t="shared" ca="1" si="0"/>
        <v/>
      </c>
      <c r="C15" s="221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1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2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29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0" t="str">
        <f t="shared" ca="1" si="0"/>
        <v/>
      </c>
      <c r="C16" s="221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1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2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29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0" t="str">
        <f t="shared" ca="1" si="0"/>
        <v/>
      </c>
      <c r="C17" s="221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1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2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29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0" t="str">
        <f t="shared" ca="1" si="0"/>
        <v/>
      </c>
      <c r="C18" s="221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1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2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29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0" t="str">
        <f t="shared" ca="1" si="0"/>
        <v/>
      </c>
      <c r="C19" s="221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1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2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29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0" t="str">
        <f t="shared" ca="1" si="0"/>
        <v/>
      </c>
      <c r="C20" s="221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1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2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29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0" t="str">
        <f t="shared" ca="1" si="0"/>
        <v/>
      </c>
      <c r="C21" s="221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1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2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29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0" t="str">
        <f t="shared" ca="1" si="0"/>
        <v/>
      </c>
      <c r="C22" s="221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1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2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29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0" t="str">
        <f t="shared" ca="1" si="0"/>
        <v/>
      </c>
      <c r="C23" s="221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1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2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29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0" t="str">
        <f t="shared" ca="1" si="0"/>
        <v/>
      </c>
      <c r="C24" s="221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1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2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29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0" t="str">
        <f t="shared" ca="1" si="0"/>
        <v/>
      </c>
      <c r="C25" s="221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1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2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29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0" t="str">
        <f t="shared" ca="1" si="0"/>
        <v/>
      </c>
      <c r="C26" s="221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1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2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29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0" t="str">
        <f t="shared" ca="1" si="0"/>
        <v/>
      </c>
      <c r="C27" s="221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1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2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29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0" t="str">
        <f t="shared" ca="1" si="0"/>
        <v/>
      </c>
      <c r="C28" s="221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1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2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29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0" t="str">
        <f t="shared" ca="1" si="0"/>
        <v/>
      </c>
      <c r="C29" s="221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1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2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29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0" t="str">
        <f t="shared" ca="1" si="0"/>
        <v/>
      </c>
      <c r="C30" s="221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1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2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29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0" t="str">
        <f t="shared" ca="1" si="0"/>
        <v/>
      </c>
      <c r="C31" s="221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1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2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29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0" t="str">
        <f t="shared" ca="1" si="0"/>
        <v/>
      </c>
      <c r="C32" s="221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1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2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29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0" t="str">
        <f t="shared" ca="1" si="0"/>
        <v/>
      </c>
      <c r="C33" s="221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1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2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29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0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1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1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2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29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0" t="str">
        <f t="shared" ca="1" si="4"/>
        <v/>
      </c>
      <c r="C35" s="221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1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2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29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0" t="str">
        <f t="shared" ca="1" si="4"/>
        <v/>
      </c>
      <c r="C36" s="221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1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2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29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0" t="str">
        <f t="shared" ca="1" si="4"/>
        <v/>
      </c>
      <c r="C37" s="221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1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2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29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0" t="str">
        <f t="shared" ca="1" si="4"/>
        <v/>
      </c>
      <c r="C38" s="221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1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2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29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0" t="str">
        <f t="shared" ca="1" si="4"/>
        <v/>
      </c>
      <c r="C39" s="221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1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2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29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0" t="str">
        <f t="shared" ca="1" si="4"/>
        <v/>
      </c>
      <c r="C40" s="221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1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2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29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0" t="str">
        <f t="shared" ca="1" si="4"/>
        <v/>
      </c>
      <c r="C41" s="221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1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2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0" t="str">
        <f t="shared" ca="1" si="4"/>
        <v/>
      </c>
      <c r="C42" s="221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1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2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0" t="str">
        <f t="shared" ca="1" si="4"/>
        <v/>
      </c>
      <c r="C43" s="221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1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2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0" t="str">
        <f t="shared" ca="1" si="4"/>
        <v/>
      </c>
      <c r="C44" s="221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1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2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0" t="str">
        <f t="shared" ca="1" si="4"/>
        <v/>
      </c>
      <c r="C45" s="221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1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2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0" t="str">
        <f t="shared" ca="1" si="4"/>
        <v/>
      </c>
      <c r="C46" s="221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1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2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0" t="str">
        <f t="shared" ca="1" si="4"/>
        <v/>
      </c>
      <c r="C47" s="221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1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2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0" t="str">
        <f t="shared" ca="1" si="4"/>
        <v/>
      </c>
      <c r="C48" s="221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1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2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0" t="str">
        <f t="shared" ca="1" si="4"/>
        <v/>
      </c>
      <c r="C49" s="221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1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2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0" t="str">
        <f t="shared" ca="1" si="4"/>
        <v/>
      </c>
      <c r="C50" s="221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1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2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0" t="str">
        <f t="shared" ca="1" si="4"/>
        <v/>
      </c>
      <c r="C51" s="221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1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2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0" t="str">
        <f t="shared" ca="1" si="4"/>
        <v/>
      </c>
      <c r="C52" s="221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1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2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0" t="str">
        <f t="shared" ca="1" si="4"/>
        <v/>
      </c>
      <c r="C53" s="221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1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2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0" t="str">
        <f t="shared" ca="1" si="4"/>
        <v/>
      </c>
      <c r="C54" s="221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1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2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0" t="str">
        <f t="shared" ca="1" si="4"/>
        <v/>
      </c>
      <c r="C55" s="221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1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2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0" t="str">
        <f t="shared" ca="1" si="4"/>
        <v/>
      </c>
      <c r="C56" s="221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1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2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0" t="str">
        <f t="shared" ca="1" si="4"/>
        <v/>
      </c>
      <c r="C57" s="221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1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2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0" t="str">
        <f t="shared" ca="1" si="4"/>
        <v/>
      </c>
      <c r="C58" s="221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1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2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0" t="str">
        <f t="shared" ca="1" si="4"/>
        <v/>
      </c>
      <c r="C59" s="221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1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2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0" t="str">
        <f t="shared" ca="1" si="4"/>
        <v/>
      </c>
      <c r="C60" s="221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1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2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0" t="str">
        <f t="shared" ca="1" si="4"/>
        <v/>
      </c>
      <c r="C61" s="221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1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2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0" t="str">
        <f t="shared" ca="1" si="4"/>
        <v/>
      </c>
      <c r="C62" s="221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1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2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0" t="str">
        <f t="shared" ca="1" si="4"/>
        <v/>
      </c>
      <c r="C63" s="221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1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2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0" t="str">
        <f t="shared" ca="1" si="4"/>
        <v/>
      </c>
      <c r="C64" s="221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1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2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0" t="str">
        <f t="shared" ca="1" si="4"/>
        <v/>
      </c>
      <c r="C65" s="221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1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2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0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1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1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2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0" t="str">
        <f t="shared" ca="1" si="8"/>
        <v/>
      </c>
      <c r="C67" s="221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1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2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0" t="str">
        <f t="shared" ca="1" si="8"/>
        <v/>
      </c>
      <c r="C68" s="221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1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2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0" t="str">
        <f t="shared" ca="1" si="8"/>
        <v/>
      </c>
      <c r="C69" s="221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1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2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0" t="str">
        <f t="shared" ca="1" si="8"/>
        <v/>
      </c>
      <c r="C70" s="221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1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2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0" t="str">
        <f t="shared" ca="1" si="8"/>
        <v/>
      </c>
      <c r="C71" s="221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1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2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0" t="str">
        <f t="shared" ca="1" si="8"/>
        <v/>
      </c>
      <c r="C72" s="221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1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2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0" t="str">
        <f t="shared" ca="1" si="8"/>
        <v/>
      </c>
      <c r="C73" s="221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1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2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0" t="str">
        <f t="shared" ca="1" si="8"/>
        <v/>
      </c>
      <c r="C74" s="221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1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2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0" t="str">
        <f t="shared" ca="1" si="8"/>
        <v/>
      </c>
      <c r="C75" s="221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1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2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0" t="str">
        <f t="shared" ca="1" si="8"/>
        <v/>
      </c>
      <c r="C76" s="221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1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2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0" t="str">
        <f t="shared" ca="1" si="8"/>
        <v/>
      </c>
      <c r="C77" s="221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1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2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0" t="str">
        <f t="shared" ca="1" si="8"/>
        <v/>
      </c>
      <c r="C78" s="221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1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2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0" t="str">
        <f t="shared" ca="1" si="8"/>
        <v/>
      </c>
      <c r="C79" s="221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1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2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0" t="str">
        <f t="shared" ca="1" si="8"/>
        <v/>
      </c>
      <c r="C80" s="221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1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2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0" t="str">
        <f t="shared" ca="1" si="8"/>
        <v/>
      </c>
      <c r="C81" s="221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1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2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0" t="str">
        <f t="shared" ca="1" si="8"/>
        <v/>
      </c>
      <c r="C82" s="221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1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2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0" t="str">
        <f t="shared" ca="1" si="8"/>
        <v/>
      </c>
      <c r="C83" s="221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1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2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0" t="str">
        <f t="shared" ca="1" si="8"/>
        <v/>
      </c>
      <c r="C84" s="221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1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2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0" t="str">
        <f t="shared" ca="1" si="8"/>
        <v/>
      </c>
      <c r="C85" s="221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1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2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0" t="str">
        <f t="shared" ca="1" si="8"/>
        <v/>
      </c>
      <c r="C86" s="221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1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2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0" t="str">
        <f t="shared" ca="1" si="8"/>
        <v/>
      </c>
      <c r="C87" s="221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1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2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0" t="str">
        <f t="shared" ca="1" si="8"/>
        <v/>
      </c>
      <c r="C88" s="221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1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2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0" t="str">
        <f t="shared" ca="1" si="8"/>
        <v/>
      </c>
      <c r="C89" s="221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1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2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0" t="str">
        <f t="shared" ca="1" si="8"/>
        <v/>
      </c>
      <c r="C90" s="221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1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2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0" t="str">
        <f t="shared" ca="1" si="8"/>
        <v/>
      </c>
      <c r="C91" s="221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1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2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0" t="str">
        <f t="shared" ca="1" si="8"/>
        <v/>
      </c>
      <c r="C92" s="221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1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2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0" t="str">
        <f t="shared" ca="1" si="8"/>
        <v/>
      </c>
      <c r="C93" s="221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1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2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0" t="str">
        <f t="shared" ca="1" si="8"/>
        <v/>
      </c>
      <c r="C94" s="221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1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2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0" t="str">
        <f t="shared" ca="1" si="8"/>
        <v/>
      </c>
      <c r="C95" s="221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1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2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0" t="str">
        <f t="shared" ca="1" si="8"/>
        <v/>
      </c>
      <c r="C96" s="221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1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2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0" t="str">
        <f t="shared" ca="1" si="8"/>
        <v/>
      </c>
      <c r="C97" s="221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1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2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0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1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1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2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0" t="str">
        <f t="shared" ca="1" si="12"/>
        <v/>
      </c>
      <c r="C99" s="221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1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2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0" t="str">
        <f t="shared" ca="1" si="12"/>
        <v/>
      </c>
      <c r="C100" s="221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1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2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0" t="str">
        <f t="shared" ca="1" si="12"/>
        <v/>
      </c>
      <c r="C101" s="221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1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2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0" t="str">
        <f t="shared" ca="1" si="12"/>
        <v/>
      </c>
      <c r="C102" s="221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1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2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0" t="str">
        <f t="shared" ca="1" si="12"/>
        <v/>
      </c>
      <c r="C103" s="221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1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2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0" t="str">
        <f t="shared" ca="1" si="12"/>
        <v/>
      </c>
      <c r="C104" s="221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1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2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0" t="str">
        <f t="shared" ca="1" si="12"/>
        <v/>
      </c>
      <c r="C105" s="221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1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2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0" t="str">
        <f t="shared" ca="1" si="12"/>
        <v/>
      </c>
      <c r="C106" s="221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1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2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0" t="str">
        <f t="shared" ca="1" si="12"/>
        <v/>
      </c>
      <c r="C107" s="221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1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2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0" t="str">
        <f t="shared" ca="1" si="12"/>
        <v/>
      </c>
      <c r="C108" s="221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1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2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0" t="str">
        <f t="shared" ca="1" si="12"/>
        <v/>
      </c>
      <c r="C109" s="221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1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2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0" t="str">
        <f t="shared" ca="1" si="12"/>
        <v/>
      </c>
      <c r="C110" s="221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1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2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0" t="str">
        <f t="shared" ca="1" si="12"/>
        <v/>
      </c>
      <c r="C111" s="221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1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2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0" t="str">
        <f t="shared" ca="1" si="12"/>
        <v/>
      </c>
      <c r="C112" s="221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1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2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0" t="str">
        <f t="shared" ca="1" si="12"/>
        <v/>
      </c>
      <c r="C113" s="221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1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2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0" t="str">
        <f t="shared" ca="1" si="12"/>
        <v/>
      </c>
      <c r="C114" s="221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1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2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0" t="str">
        <f t="shared" ca="1" si="12"/>
        <v/>
      </c>
      <c r="C115" s="221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1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2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0" t="str">
        <f t="shared" ca="1" si="12"/>
        <v/>
      </c>
      <c r="C116" s="221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1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2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0" t="str">
        <f t="shared" ca="1" si="12"/>
        <v/>
      </c>
      <c r="C117" s="221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1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2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0" t="str">
        <f t="shared" ca="1" si="12"/>
        <v/>
      </c>
      <c r="C118" s="221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1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2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0" t="str">
        <f t="shared" ca="1" si="12"/>
        <v/>
      </c>
      <c r="C119" s="221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1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2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0" t="str">
        <f t="shared" ca="1" si="12"/>
        <v/>
      </c>
      <c r="C120" s="221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1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2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0" t="str">
        <f t="shared" ca="1" si="12"/>
        <v/>
      </c>
      <c r="C121" s="221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1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2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0" t="str">
        <f t="shared" ca="1" si="12"/>
        <v/>
      </c>
      <c r="C122" s="221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1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2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0" t="str">
        <f t="shared" ca="1" si="12"/>
        <v/>
      </c>
      <c r="C123" s="221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1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2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0" t="str">
        <f t="shared" ca="1" si="12"/>
        <v/>
      </c>
      <c r="C124" s="221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1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2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0" t="str">
        <f t="shared" ca="1" si="12"/>
        <v/>
      </c>
      <c r="C125" s="221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1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2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0" t="str">
        <f t="shared" ca="1" si="12"/>
        <v/>
      </c>
      <c r="C126" s="221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1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2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0" t="str">
        <f t="shared" ca="1" si="12"/>
        <v/>
      </c>
      <c r="C127" s="221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1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2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0" t="str">
        <f t="shared" ca="1" si="12"/>
        <v/>
      </c>
      <c r="C128" s="221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1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2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0" t="str">
        <f t="shared" ca="1" si="12"/>
        <v/>
      </c>
      <c r="C129" s="221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1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2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0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1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1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2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0" t="str">
        <f t="shared" ca="1" si="16"/>
        <v/>
      </c>
      <c r="C131" s="221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1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2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0" t="str">
        <f t="shared" ca="1" si="16"/>
        <v/>
      </c>
      <c r="C132" s="221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1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2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0" t="str">
        <f t="shared" ca="1" si="16"/>
        <v/>
      </c>
      <c r="C133" s="221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1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2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0" t="str">
        <f t="shared" ca="1" si="16"/>
        <v/>
      </c>
      <c r="C134" s="221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1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2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0" t="str">
        <f t="shared" ca="1" si="16"/>
        <v/>
      </c>
      <c r="C135" s="221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1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2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0" t="str">
        <f t="shared" ca="1" si="16"/>
        <v/>
      </c>
      <c r="C136" s="221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1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2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0" t="str">
        <f t="shared" ca="1" si="16"/>
        <v/>
      </c>
      <c r="C137" s="221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1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2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0" t="str">
        <f t="shared" ca="1" si="16"/>
        <v/>
      </c>
      <c r="C138" s="221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1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2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0" t="str">
        <f t="shared" ca="1" si="16"/>
        <v/>
      </c>
      <c r="C139" s="221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1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2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0" t="str">
        <f t="shared" ca="1" si="16"/>
        <v/>
      </c>
      <c r="C140" s="221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1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2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0" t="str">
        <f t="shared" ca="1" si="16"/>
        <v/>
      </c>
      <c r="C141" s="221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1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2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0" t="str">
        <f t="shared" ca="1" si="16"/>
        <v/>
      </c>
      <c r="C142" s="221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1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2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0" t="str">
        <f t="shared" ca="1" si="16"/>
        <v/>
      </c>
      <c r="C143" s="221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1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2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0" t="str">
        <f t="shared" ca="1" si="16"/>
        <v/>
      </c>
      <c r="C144" s="221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1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2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0" t="str">
        <f t="shared" ca="1" si="16"/>
        <v/>
      </c>
      <c r="C145" s="221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1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2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0" t="str">
        <f t="shared" ca="1" si="16"/>
        <v/>
      </c>
      <c r="C146" s="221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1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2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0" t="str">
        <f t="shared" ca="1" si="16"/>
        <v/>
      </c>
      <c r="C147" s="221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1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2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0" t="str">
        <f t="shared" ca="1" si="16"/>
        <v/>
      </c>
      <c r="C148" s="221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1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2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0" t="str">
        <f t="shared" ca="1" si="16"/>
        <v/>
      </c>
      <c r="C149" s="221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1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2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0" t="str">
        <f t="shared" ca="1" si="16"/>
        <v/>
      </c>
      <c r="C150" s="221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1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2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0" t="str">
        <f t="shared" ca="1" si="16"/>
        <v/>
      </c>
      <c r="C151" s="221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1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2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0" t="str">
        <f t="shared" ca="1" si="16"/>
        <v/>
      </c>
      <c r="C152" s="221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1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2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0" t="str">
        <f t="shared" ca="1" si="16"/>
        <v/>
      </c>
      <c r="C153" s="221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1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2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0" t="str">
        <f t="shared" ca="1" si="16"/>
        <v/>
      </c>
      <c r="C154" s="221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1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2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0" t="str">
        <f t="shared" ca="1" si="16"/>
        <v/>
      </c>
      <c r="C155" s="221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1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2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0" t="str">
        <f t="shared" ca="1" si="16"/>
        <v/>
      </c>
      <c r="C156" s="221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1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2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0" t="str">
        <f t="shared" ca="1" si="16"/>
        <v/>
      </c>
      <c r="C157" s="221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1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2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0" t="str">
        <f t="shared" ca="1" si="16"/>
        <v/>
      </c>
      <c r="C158" s="221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1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2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0" t="str">
        <f t="shared" ca="1" si="16"/>
        <v/>
      </c>
      <c r="C159" s="221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1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2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0" t="str">
        <f t="shared" ca="1" si="16"/>
        <v/>
      </c>
      <c r="C160" s="221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1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2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0" t="str">
        <f t="shared" ca="1" si="16"/>
        <v/>
      </c>
      <c r="C161" s="221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1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2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0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1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1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2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0" t="str">
        <f t="shared" ca="1" si="20"/>
        <v/>
      </c>
      <c r="C163" s="221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1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2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0" t="str">
        <f t="shared" ca="1" si="20"/>
        <v/>
      </c>
      <c r="C164" s="221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1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2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0" t="str">
        <f t="shared" ca="1" si="20"/>
        <v/>
      </c>
      <c r="C165" s="221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1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2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0" t="str">
        <f t="shared" ca="1" si="20"/>
        <v/>
      </c>
      <c r="C166" s="221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1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2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0" t="str">
        <f t="shared" ca="1" si="20"/>
        <v/>
      </c>
      <c r="C167" s="221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1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2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0" t="str">
        <f t="shared" ca="1" si="20"/>
        <v/>
      </c>
      <c r="C168" s="221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1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2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0" t="str">
        <f t="shared" ca="1" si="20"/>
        <v/>
      </c>
      <c r="C169" s="221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1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2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0" t="str">
        <f t="shared" ca="1" si="20"/>
        <v/>
      </c>
      <c r="C170" s="221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1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2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0" t="str">
        <f t="shared" ca="1" si="20"/>
        <v/>
      </c>
      <c r="C171" s="221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1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2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0" t="str">
        <f t="shared" ca="1" si="20"/>
        <v/>
      </c>
      <c r="C172" s="221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1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2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0" t="str">
        <f t="shared" ca="1" si="20"/>
        <v/>
      </c>
      <c r="C173" s="221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1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2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0" t="str">
        <f t="shared" ca="1" si="20"/>
        <v/>
      </c>
      <c r="C174" s="221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1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2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0" t="str">
        <f t="shared" ca="1" si="20"/>
        <v/>
      </c>
      <c r="C175" s="221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1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2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0" t="str">
        <f t="shared" ca="1" si="20"/>
        <v/>
      </c>
      <c r="C176" s="221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1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2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0" t="str">
        <f t="shared" ca="1" si="20"/>
        <v/>
      </c>
      <c r="C177" s="221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1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2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0" t="str">
        <f t="shared" ca="1" si="20"/>
        <v/>
      </c>
      <c r="C178" s="221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1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2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0" t="str">
        <f t="shared" ca="1" si="20"/>
        <v/>
      </c>
      <c r="C179" s="221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1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2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0" t="str">
        <f t="shared" ca="1" si="20"/>
        <v/>
      </c>
      <c r="C180" s="221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1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2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0" t="str">
        <f t="shared" ca="1" si="20"/>
        <v/>
      </c>
      <c r="C181" s="221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1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2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0" t="str">
        <f t="shared" ca="1" si="20"/>
        <v/>
      </c>
      <c r="C182" s="221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1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2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0" t="str">
        <f t="shared" ca="1" si="20"/>
        <v/>
      </c>
      <c r="C183" s="221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1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2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0" t="str">
        <f t="shared" ca="1" si="20"/>
        <v/>
      </c>
      <c r="C184" s="221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1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2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0" t="str">
        <f t="shared" ca="1" si="20"/>
        <v/>
      </c>
      <c r="C185" s="221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1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2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0" t="str">
        <f t="shared" ca="1" si="20"/>
        <v/>
      </c>
      <c r="C186" s="221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1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2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0" t="str">
        <f t="shared" ca="1" si="20"/>
        <v/>
      </c>
      <c r="C187" s="221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1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2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0" t="str">
        <f t="shared" ca="1" si="20"/>
        <v/>
      </c>
      <c r="C188" s="221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1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2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0" t="str">
        <f t="shared" ca="1" si="20"/>
        <v/>
      </c>
      <c r="C189" s="221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1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2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0" t="str">
        <f t="shared" ca="1" si="20"/>
        <v/>
      </c>
      <c r="C190" s="221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1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2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0" t="str">
        <f t="shared" ca="1" si="20"/>
        <v/>
      </c>
      <c r="C191" s="221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1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2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0" t="str">
        <f t="shared" ca="1" si="20"/>
        <v/>
      </c>
      <c r="C192" s="221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1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2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0" t="str">
        <f t="shared" ca="1" si="20"/>
        <v/>
      </c>
      <c r="C193" s="221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1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2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0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1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1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2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0" t="str">
        <f t="shared" ca="1" si="24"/>
        <v/>
      </c>
      <c r="C195" s="221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1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2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0" t="str">
        <f t="shared" ca="1" si="24"/>
        <v/>
      </c>
      <c r="C196" s="221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1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2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0" t="str">
        <f t="shared" ca="1" si="24"/>
        <v/>
      </c>
      <c r="C197" s="221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1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2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0" t="str">
        <f t="shared" ca="1" si="24"/>
        <v/>
      </c>
      <c r="C198" s="221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1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2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0" t="str">
        <f t="shared" ca="1" si="24"/>
        <v/>
      </c>
      <c r="C199" s="221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1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2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0" t="str">
        <f t="shared" ca="1" si="24"/>
        <v/>
      </c>
      <c r="C200" s="221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1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2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78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1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1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1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1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1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1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1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1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1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1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1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1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1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1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1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1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1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1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1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1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1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1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1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1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1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1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1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1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1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1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1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1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1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1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1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1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1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1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1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1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1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1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1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1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1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1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1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1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1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1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1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1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1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1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1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1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1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1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1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1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1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1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1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1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1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1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1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1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1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1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1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1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1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1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1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1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1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1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1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1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1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1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1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1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1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1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1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1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1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1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1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1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1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1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1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1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1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1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1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1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1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1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1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1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1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1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1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1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1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1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1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1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1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1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1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1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1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1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1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1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1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1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1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1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1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1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1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1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1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1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1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1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1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1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1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1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1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1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1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1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1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1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1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1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1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1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1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1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1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1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1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1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1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1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1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1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1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1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1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1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1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1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1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1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1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1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1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1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1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1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1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1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1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1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1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1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1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1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1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1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1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1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1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1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1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1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1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1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1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1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1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1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1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1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1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1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1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1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1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505" t="s">
        <v>198</v>
      </c>
      <c r="B1" s="505" t="s">
        <v>199</v>
      </c>
      <c r="C1" s="506"/>
      <c r="D1" s="506"/>
      <c r="E1" s="506"/>
      <c r="F1" s="506"/>
      <c r="G1" s="506"/>
      <c r="H1" s="506"/>
      <c r="I1" s="506"/>
      <c r="J1" s="506"/>
      <c r="K1" s="506"/>
      <c r="L1" s="506"/>
      <c r="M1" s="506"/>
      <c r="N1" s="506"/>
      <c r="O1" s="506"/>
      <c r="P1" s="507"/>
      <c r="Q1" s="503" t="s">
        <v>200</v>
      </c>
      <c r="R1" s="504"/>
      <c r="S1" s="504"/>
      <c r="T1" s="504"/>
      <c r="U1" s="504"/>
      <c r="V1" s="504"/>
      <c r="W1" s="504"/>
      <c r="X1" s="504"/>
      <c r="Y1" s="504"/>
      <c r="Z1" s="508" t="s">
        <v>201</v>
      </c>
      <c r="AA1" s="504"/>
      <c r="AB1" s="504"/>
      <c r="AC1" s="504"/>
      <c r="AE1" s="509" t="s">
        <v>202</v>
      </c>
    </row>
    <row r="2" spans="1:31" ht="43.5" customHeight="1" x14ac:dyDescent="0.35">
      <c r="A2" s="510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09" t="s">
        <v>218</v>
      </c>
      <c r="R2" s="209" t="s">
        <v>219</v>
      </c>
      <c r="S2" s="209" t="s">
        <v>220</v>
      </c>
      <c r="T2" s="209" t="s">
        <v>221</v>
      </c>
      <c r="U2" s="209" t="s">
        <v>222</v>
      </c>
      <c r="V2" s="209" t="s">
        <v>223</v>
      </c>
      <c r="W2" s="209" t="s">
        <v>224</v>
      </c>
      <c r="X2" s="209" t="s">
        <v>225</v>
      </c>
      <c r="Y2" s="209" t="s">
        <v>226</v>
      </c>
      <c r="Z2" s="212" t="s">
        <v>227</v>
      </c>
      <c r="AA2" s="212" t="s">
        <v>228</v>
      </c>
      <c r="AB2" s="212" t="s">
        <v>229</v>
      </c>
      <c r="AC2" s="212" t="s">
        <v>230</v>
      </c>
      <c r="AE2" s="504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0" t="str">
        <f t="shared" ref="S3:S34" ca="1" si="1">IF($A3="","",IFERROR(IF(INDIRECT("CICLO_EM_EXECUCAO!B"&amp;(ROW()+10))="","",INDIRECT("CICLO_EM_EXECUCAO!B"&amp;(ROW()+10))),""))</f>
        <v/>
      </c>
      <c r="T3" s="210" t="str">
        <f t="shared" ref="T3:T34" ca="1" si="2">IF($A3="","",IFERROR(IF(INDIRECT("CICLO_EM_EXECUCAO!D"&amp;(ROW()+10))="","",INDIRECT("CICLO_EM_EXECUCAO!D"&amp;(ROW()+10))),""))</f>
        <v/>
      </c>
      <c r="U3" s="210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1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0" t="str">
        <f t="shared" ca="1" si="1"/>
        <v/>
      </c>
      <c r="T4" s="210" t="str">
        <f t="shared" ca="1" si="2"/>
        <v/>
      </c>
      <c r="U4" s="210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1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0" t="str">
        <f t="shared" ca="1" si="1"/>
        <v/>
      </c>
      <c r="T5" s="210" t="str">
        <f t="shared" ca="1" si="2"/>
        <v/>
      </c>
      <c r="U5" s="210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1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0" t="str">
        <f t="shared" ca="1" si="1"/>
        <v/>
      </c>
      <c r="T6" s="210" t="str">
        <f t="shared" ca="1" si="2"/>
        <v/>
      </c>
      <c r="U6" s="210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1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0" t="str">
        <f t="shared" ca="1" si="1"/>
        <v/>
      </c>
      <c r="T7" s="210" t="str">
        <f t="shared" ca="1" si="2"/>
        <v/>
      </c>
      <c r="U7" s="210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1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0" t="str">
        <f t="shared" ca="1" si="1"/>
        <v/>
      </c>
      <c r="T8" s="210" t="str">
        <f t="shared" ca="1" si="2"/>
        <v/>
      </c>
      <c r="U8" s="210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1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0" t="str">
        <f t="shared" ca="1" si="1"/>
        <v/>
      </c>
      <c r="T9" s="210" t="str">
        <f t="shared" ca="1" si="2"/>
        <v/>
      </c>
      <c r="U9" s="210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1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0" t="str">
        <f t="shared" ca="1" si="1"/>
        <v/>
      </c>
      <c r="T10" s="210" t="str">
        <f t="shared" ca="1" si="2"/>
        <v/>
      </c>
      <c r="U10" s="210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1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0" t="str">
        <f t="shared" ca="1" si="1"/>
        <v/>
      </c>
      <c r="T11" s="210" t="str">
        <f t="shared" ca="1" si="2"/>
        <v/>
      </c>
      <c r="U11" s="210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1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0" t="str">
        <f t="shared" ca="1" si="1"/>
        <v/>
      </c>
      <c r="T12" s="210" t="str">
        <f t="shared" ca="1" si="2"/>
        <v/>
      </c>
      <c r="U12" s="210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1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0" t="str">
        <f t="shared" ca="1" si="1"/>
        <v/>
      </c>
      <c r="T13" s="210" t="str">
        <f t="shared" ca="1" si="2"/>
        <v/>
      </c>
      <c r="U13" s="210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1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0" t="str">
        <f t="shared" ca="1" si="1"/>
        <v/>
      </c>
      <c r="T14" s="210" t="str">
        <f t="shared" ca="1" si="2"/>
        <v/>
      </c>
      <c r="U14" s="210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1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0" t="str">
        <f t="shared" ca="1" si="1"/>
        <v/>
      </c>
      <c r="T15" s="210" t="str">
        <f t="shared" ca="1" si="2"/>
        <v/>
      </c>
      <c r="U15" s="210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1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0" t="str">
        <f t="shared" ca="1" si="1"/>
        <v/>
      </c>
      <c r="T16" s="210" t="str">
        <f t="shared" ca="1" si="2"/>
        <v/>
      </c>
      <c r="U16" s="210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1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0" t="str">
        <f t="shared" ca="1" si="1"/>
        <v/>
      </c>
      <c r="T17" s="210" t="str">
        <f t="shared" ca="1" si="2"/>
        <v/>
      </c>
      <c r="U17" s="210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1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0" t="str">
        <f t="shared" ca="1" si="1"/>
        <v/>
      </c>
      <c r="T18" s="210" t="str">
        <f t="shared" ca="1" si="2"/>
        <v/>
      </c>
      <c r="U18" s="210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1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0" t="str">
        <f t="shared" ca="1" si="1"/>
        <v/>
      </c>
      <c r="T19" s="210" t="str">
        <f t="shared" ca="1" si="2"/>
        <v/>
      </c>
      <c r="U19" s="210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1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0" t="str">
        <f t="shared" ca="1" si="1"/>
        <v/>
      </c>
      <c r="T20" s="210" t="str">
        <f t="shared" ca="1" si="2"/>
        <v/>
      </c>
      <c r="U20" s="210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1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0" t="str">
        <f t="shared" ca="1" si="1"/>
        <v/>
      </c>
      <c r="T21" s="210" t="str">
        <f t="shared" ca="1" si="2"/>
        <v/>
      </c>
      <c r="U21" s="210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1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0" t="str">
        <f t="shared" ca="1" si="1"/>
        <v/>
      </c>
      <c r="T22" s="210" t="str">
        <f t="shared" ca="1" si="2"/>
        <v/>
      </c>
      <c r="U22" s="210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1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0" t="str">
        <f t="shared" ca="1" si="1"/>
        <v/>
      </c>
      <c r="T23" s="210" t="str">
        <f t="shared" ca="1" si="2"/>
        <v/>
      </c>
      <c r="U23" s="210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1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0" t="str">
        <f t="shared" ca="1" si="1"/>
        <v/>
      </c>
      <c r="T24" s="210" t="str">
        <f t="shared" ca="1" si="2"/>
        <v/>
      </c>
      <c r="U24" s="210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1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0" t="str">
        <f t="shared" ca="1" si="1"/>
        <v/>
      </c>
      <c r="T25" s="210" t="str">
        <f t="shared" ca="1" si="2"/>
        <v/>
      </c>
      <c r="U25" s="210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1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0" t="str">
        <f t="shared" ca="1" si="1"/>
        <v/>
      </c>
      <c r="T26" s="210" t="str">
        <f t="shared" ca="1" si="2"/>
        <v/>
      </c>
      <c r="U26" s="210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1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0" t="str">
        <f t="shared" ca="1" si="1"/>
        <v/>
      </c>
      <c r="T27" s="210" t="str">
        <f t="shared" ca="1" si="2"/>
        <v/>
      </c>
      <c r="U27" s="210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1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0" t="str">
        <f t="shared" ca="1" si="1"/>
        <v/>
      </c>
      <c r="T28" s="210" t="str">
        <f t="shared" ca="1" si="2"/>
        <v/>
      </c>
      <c r="U28" s="210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1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0" t="str">
        <f t="shared" ca="1" si="1"/>
        <v/>
      </c>
      <c r="T29" s="210" t="str">
        <f t="shared" ca="1" si="2"/>
        <v/>
      </c>
      <c r="U29" s="210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1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0" t="str">
        <f t="shared" ca="1" si="1"/>
        <v/>
      </c>
      <c r="T30" s="210" t="str">
        <f t="shared" ca="1" si="2"/>
        <v/>
      </c>
      <c r="U30" s="210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1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0" t="str">
        <f t="shared" ca="1" si="1"/>
        <v/>
      </c>
      <c r="T31" s="210" t="str">
        <f t="shared" ca="1" si="2"/>
        <v/>
      </c>
      <c r="U31" s="210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1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0" t="str">
        <f t="shared" ca="1" si="1"/>
        <v/>
      </c>
      <c r="T32" s="210" t="str">
        <f t="shared" ca="1" si="2"/>
        <v/>
      </c>
      <c r="U32" s="210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1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0" t="str">
        <f t="shared" ca="1" si="1"/>
        <v/>
      </c>
      <c r="T33" s="210" t="str">
        <f t="shared" ca="1" si="2"/>
        <v/>
      </c>
      <c r="U33" s="210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1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0" t="str">
        <f t="shared" ca="1" si="1"/>
        <v/>
      </c>
      <c r="T34" s="210" t="str">
        <f t="shared" ca="1" si="2"/>
        <v/>
      </c>
      <c r="U34" s="210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1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0" t="str">
        <f t="shared" ref="S35:S66" ca="1" si="9">IF($A35="","",IFERROR(IF(INDIRECT("CICLO_EM_EXECUCAO!B"&amp;(ROW()+10))="","",INDIRECT("CICLO_EM_EXECUCAO!B"&amp;(ROW()+10))),""))</f>
        <v/>
      </c>
      <c r="T35" s="210" t="str">
        <f t="shared" ref="T35:T66" ca="1" si="10">IF($A35="","",IFERROR(IF(INDIRECT("CICLO_EM_EXECUCAO!D"&amp;(ROW()+10))="","",INDIRECT("CICLO_EM_EXECUCAO!D"&amp;(ROW()+10))),""))</f>
        <v/>
      </c>
      <c r="U35" s="210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1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0" t="str">
        <f t="shared" ca="1" si="9"/>
        <v/>
      </c>
      <c r="T36" s="210" t="str">
        <f t="shared" ca="1" si="10"/>
        <v/>
      </c>
      <c r="U36" s="210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1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0" t="str">
        <f t="shared" ca="1" si="9"/>
        <v/>
      </c>
      <c r="T37" s="210" t="str">
        <f t="shared" ca="1" si="10"/>
        <v/>
      </c>
      <c r="U37" s="210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1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0" t="str">
        <f t="shared" ca="1" si="9"/>
        <v/>
      </c>
      <c r="T38" s="210" t="str">
        <f t="shared" ca="1" si="10"/>
        <v/>
      </c>
      <c r="U38" s="210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1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0" t="str">
        <f t="shared" ca="1" si="9"/>
        <v/>
      </c>
      <c r="T39" s="210" t="str">
        <f t="shared" ca="1" si="10"/>
        <v/>
      </c>
      <c r="U39" s="210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1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0" t="str">
        <f t="shared" ca="1" si="9"/>
        <v/>
      </c>
      <c r="T40" s="210" t="str">
        <f t="shared" ca="1" si="10"/>
        <v/>
      </c>
      <c r="U40" s="210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1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0" t="str">
        <f t="shared" ca="1" si="9"/>
        <v/>
      </c>
      <c r="T41" s="210" t="str">
        <f t="shared" ca="1" si="10"/>
        <v/>
      </c>
      <c r="U41" s="210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1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0" t="str">
        <f t="shared" ca="1" si="9"/>
        <v/>
      </c>
      <c r="T42" s="210" t="str">
        <f t="shared" ca="1" si="10"/>
        <v/>
      </c>
      <c r="U42" s="210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1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0" t="str">
        <f t="shared" ca="1" si="9"/>
        <v/>
      </c>
      <c r="T43" s="210" t="str">
        <f t="shared" ca="1" si="10"/>
        <v/>
      </c>
      <c r="U43" s="210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1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0" t="str">
        <f t="shared" ca="1" si="9"/>
        <v/>
      </c>
      <c r="T44" s="210" t="str">
        <f t="shared" ca="1" si="10"/>
        <v/>
      </c>
      <c r="U44" s="210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1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0" t="str">
        <f t="shared" ca="1" si="9"/>
        <v/>
      </c>
      <c r="T45" s="210" t="str">
        <f t="shared" ca="1" si="10"/>
        <v/>
      </c>
      <c r="U45" s="210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1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0" t="str">
        <f t="shared" ca="1" si="9"/>
        <v/>
      </c>
      <c r="T46" s="210" t="str">
        <f t="shared" ca="1" si="10"/>
        <v/>
      </c>
      <c r="U46" s="210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1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0" t="str">
        <f t="shared" ca="1" si="9"/>
        <v/>
      </c>
      <c r="T47" s="210" t="str">
        <f t="shared" ca="1" si="10"/>
        <v/>
      </c>
      <c r="U47" s="210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1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0" t="str">
        <f t="shared" ca="1" si="9"/>
        <v/>
      </c>
      <c r="T48" s="210" t="str">
        <f t="shared" ca="1" si="10"/>
        <v/>
      </c>
      <c r="U48" s="210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1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0" t="str">
        <f t="shared" ca="1" si="9"/>
        <v/>
      </c>
      <c r="T49" s="210" t="str">
        <f t="shared" ca="1" si="10"/>
        <v/>
      </c>
      <c r="U49" s="210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1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0" t="str">
        <f t="shared" ca="1" si="9"/>
        <v/>
      </c>
      <c r="T50" s="210" t="str">
        <f t="shared" ca="1" si="10"/>
        <v/>
      </c>
      <c r="U50" s="210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1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0" t="str">
        <f t="shared" ca="1" si="9"/>
        <v/>
      </c>
      <c r="T51" s="210" t="str">
        <f t="shared" ca="1" si="10"/>
        <v/>
      </c>
      <c r="U51" s="210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1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0" t="str">
        <f t="shared" ca="1" si="9"/>
        <v/>
      </c>
      <c r="T52" s="210" t="str">
        <f t="shared" ca="1" si="10"/>
        <v/>
      </c>
      <c r="U52" s="210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1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0" t="str">
        <f t="shared" ca="1" si="9"/>
        <v/>
      </c>
      <c r="T53" s="210" t="str">
        <f t="shared" ca="1" si="10"/>
        <v/>
      </c>
      <c r="U53" s="210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1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0" t="str">
        <f t="shared" ca="1" si="9"/>
        <v/>
      </c>
      <c r="T54" s="210" t="str">
        <f t="shared" ca="1" si="10"/>
        <v/>
      </c>
      <c r="U54" s="210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1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0" t="str">
        <f t="shared" ca="1" si="9"/>
        <v/>
      </c>
      <c r="T55" s="210" t="str">
        <f t="shared" ca="1" si="10"/>
        <v/>
      </c>
      <c r="U55" s="210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1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0" t="str">
        <f t="shared" ca="1" si="9"/>
        <v/>
      </c>
      <c r="T56" s="210" t="str">
        <f t="shared" ca="1" si="10"/>
        <v/>
      </c>
      <c r="U56" s="210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1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0" t="str">
        <f t="shared" ca="1" si="9"/>
        <v/>
      </c>
      <c r="T57" s="210" t="str">
        <f t="shared" ca="1" si="10"/>
        <v/>
      </c>
      <c r="U57" s="210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1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0" t="str">
        <f t="shared" ca="1" si="9"/>
        <v/>
      </c>
      <c r="T58" s="210" t="str">
        <f t="shared" ca="1" si="10"/>
        <v/>
      </c>
      <c r="U58" s="210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1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0" t="str">
        <f t="shared" ca="1" si="9"/>
        <v/>
      </c>
      <c r="T59" s="210" t="str">
        <f t="shared" ca="1" si="10"/>
        <v/>
      </c>
      <c r="U59" s="210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1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0" t="str">
        <f t="shared" ca="1" si="9"/>
        <v/>
      </c>
      <c r="T60" s="210" t="str">
        <f t="shared" ca="1" si="10"/>
        <v/>
      </c>
      <c r="U60" s="210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1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0" t="str">
        <f t="shared" ca="1" si="9"/>
        <v/>
      </c>
      <c r="T61" s="210" t="str">
        <f t="shared" ca="1" si="10"/>
        <v/>
      </c>
      <c r="U61" s="210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1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0" t="str">
        <f t="shared" ca="1" si="9"/>
        <v/>
      </c>
      <c r="T62" s="210" t="str">
        <f t="shared" ca="1" si="10"/>
        <v/>
      </c>
      <c r="U62" s="210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1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0" t="str">
        <f t="shared" ca="1" si="9"/>
        <v/>
      </c>
      <c r="T63" s="210" t="str">
        <f t="shared" ca="1" si="10"/>
        <v/>
      </c>
      <c r="U63" s="210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1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0" t="str">
        <f t="shared" ca="1" si="9"/>
        <v/>
      </c>
      <c r="T64" s="210" t="str">
        <f t="shared" ca="1" si="10"/>
        <v/>
      </c>
      <c r="U64" s="210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1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0" t="str">
        <f t="shared" ca="1" si="9"/>
        <v/>
      </c>
      <c r="T65" s="210" t="str">
        <f t="shared" ca="1" si="10"/>
        <v/>
      </c>
      <c r="U65" s="210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1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0" t="str">
        <f t="shared" ca="1" si="9"/>
        <v/>
      </c>
      <c r="T66" s="210" t="str">
        <f t="shared" ca="1" si="10"/>
        <v/>
      </c>
      <c r="U66" s="210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1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0" t="str">
        <f t="shared" ref="S67:S98" ca="1" si="17">IF($A67="","",IFERROR(IF(INDIRECT("CICLO_EM_EXECUCAO!B"&amp;(ROW()+10))="","",INDIRECT("CICLO_EM_EXECUCAO!B"&amp;(ROW()+10))),""))</f>
        <v/>
      </c>
      <c r="T67" s="210" t="str">
        <f t="shared" ref="T67:T98" ca="1" si="18">IF($A67="","",IFERROR(IF(INDIRECT("CICLO_EM_EXECUCAO!D"&amp;(ROW()+10))="","",INDIRECT("CICLO_EM_EXECUCAO!D"&amp;(ROW()+10))),""))</f>
        <v/>
      </c>
      <c r="U67" s="210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1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0" t="str">
        <f t="shared" ca="1" si="17"/>
        <v/>
      </c>
      <c r="T68" s="210" t="str">
        <f t="shared" ca="1" si="18"/>
        <v/>
      </c>
      <c r="U68" s="210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1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0" t="str">
        <f t="shared" ca="1" si="17"/>
        <v/>
      </c>
      <c r="T69" s="210" t="str">
        <f t="shared" ca="1" si="18"/>
        <v/>
      </c>
      <c r="U69" s="210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1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0" t="str">
        <f t="shared" ca="1" si="17"/>
        <v/>
      </c>
      <c r="T70" s="210" t="str">
        <f t="shared" ca="1" si="18"/>
        <v/>
      </c>
      <c r="U70" s="210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1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0" t="str">
        <f t="shared" ca="1" si="17"/>
        <v/>
      </c>
      <c r="T71" s="210" t="str">
        <f t="shared" ca="1" si="18"/>
        <v/>
      </c>
      <c r="U71" s="210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1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0" t="str">
        <f t="shared" ca="1" si="17"/>
        <v/>
      </c>
      <c r="T72" s="210" t="str">
        <f t="shared" ca="1" si="18"/>
        <v/>
      </c>
      <c r="U72" s="210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1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0" t="str">
        <f t="shared" ca="1" si="17"/>
        <v/>
      </c>
      <c r="T73" s="210" t="str">
        <f t="shared" ca="1" si="18"/>
        <v/>
      </c>
      <c r="U73" s="210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1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0" t="str">
        <f t="shared" ca="1" si="17"/>
        <v/>
      </c>
      <c r="T74" s="210" t="str">
        <f t="shared" ca="1" si="18"/>
        <v/>
      </c>
      <c r="U74" s="210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1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0" t="str">
        <f t="shared" ca="1" si="17"/>
        <v/>
      </c>
      <c r="T75" s="210" t="str">
        <f t="shared" ca="1" si="18"/>
        <v/>
      </c>
      <c r="U75" s="210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1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0" t="str">
        <f t="shared" ca="1" si="17"/>
        <v/>
      </c>
      <c r="T76" s="210" t="str">
        <f t="shared" ca="1" si="18"/>
        <v/>
      </c>
      <c r="U76" s="210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1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0" t="str">
        <f t="shared" ca="1" si="17"/>
        <v/>
      </c>
      <c r="T77" s="210" t="str">
        <f t="shared" ca="1" si="18"/>
        <v/>
      </c>
      <c r="U77" s="210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1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0" t="str">
        <f t="shared" ca="1" si="17"/>
        <v/>
      </c>
      <c r="T78" s="210" t="str">
        <f t="shared" ca="1" si="18"/>
        <v/>
      </c>
      <c r="U78" s="210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1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0" t="str">
        <f t="shared" ca="1" si="17"/>
        <v/>
      </c>
      <c r="T79" s="210" t="str">
        <f t="shared" ca="1" si="18"/>
        <v/>
      </c>
      <c r="U79" s="210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1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0" t="str">
        <f t="shared" ca="1" si="17"/>
        <v/>
      </c>
      <c r="T80" s="210" t="str">
        <f t="shared" ca="1" si="18"/>
        <v/>
      </c>
      <c r="U80" s="210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1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0" t="str">
        <f t="shared" ca="1" si="17"/>
        <v/>
      </c>
      <c r="T81" s="210" t="str">
        <f t="shared" ca="1" si="18"/>
        <v/>
      </c>
      <c r="U81" s="210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1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0" t="str">
        <f t="shared" ca="1" si="17"/>
        <v/>
      </c>
      <c r="T82" s="210" t="str">
        <f t="shared" ca="1" si="18"/>
        <v/>
      </c>
      <c r="U82" s="210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1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0" t="str">
        <f t="shared" ca="1" si="17"/>
        <v/>
      </c>
      <c r="T83" s="210" t="str">
        <f t="shared" ca="1" si="18"/>
        <v/>
      </c>
      <c r="U83" s="210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1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0" t="str">
        <f t="shared" ca="1" si="17"/>
        <v/>
      </c>
      <c r="T84" s="210" t="str">
        <f t="shared" ca="1" si="18"/>
        <v/>
      </c>
      <c r="U84" s="210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1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0" t="str">
        <f t="shared" ca="1" si="17"/>
        <v/>
      </c>
      <c r="T85" s="210" t="str">
        <f t="shared" ca="1" si="18"/>
        <v/>
      </c>
      <c r="U85" s="210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1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0" t="str">
        <f t="shared" ca="1" si="17"/>
        <v/>
      </c>
      <c r="T86" s="210" t="str">
        <f t="shared" ca="1" si="18"/>
        <v/>
      </c>
      <c r="U86" s="210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1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0" t="str">
        <f t="shared" ca="1" si="17"/>
        <v/>
      </c>
      <c r="T87" s="210" t="str">
        <f t="shared" ca="1" si="18"/>
        <v/>
      </c>
      <c r="U87" s="210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1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0" t="str">
        <f t="shared" ca="1" si="17"/>
        <v/>
      </c>
      <c r="T88" s="210" t="str">
        <f t="shared" ca="1" si="18"/>
        <v/>
      </c>
      <c r="U88" s="210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1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0" t="str">
        <f t="shared" ca="1" si="17"/>
        <v/>
      </c>
      <c r="T89" s="210" t="str">
        <f t="shared" ca="1" si="18"/>
        <v/>
      </c>
      <c r="U89" s="210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1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0" t="str">
        <f t="shared" ca="1" si="17"/>
        <v/>
      </c>
      <c r="T90" s="210" t="str">
        <f t="shared" ca="1" si="18"/>
        <v/>
      </c>
      <c r="U90" s="210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1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0" t="str">
        <f t="shared" ca="1" si="17"/>
        <v/>
      </c>
      <c r="T91" s="210" t="str">
        <f t="shared" ca="1" si="18"/>
        <v/>
      </c>
      <c r="U91" s="210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1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0" t="str">
        <f t="shared" ca="1" si="17"/>
        <v/>
      </c>
      <c r="T92" s="210" t="str">
        <f t="shared" ca="1" si="18"/>
        <v/>
      </c>
      <c r="U92" s="210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1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0" t="str">
        <f t="shared" ca="1" si="17"/>
        <v/>
      </c>
      <c r="T93" s="210" t="str">
        <f t="shared" ca="1" si="18"/>
        <v/>
      </c>
      <c r="U93" s="210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1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0" t="str">
        <f t="shared" ca="1" si="17"/>
        <v/>
      </c>
      <c r="T94" s="210" t="str">
        <f t="shared" ca="1" si="18"/>
        <v/>
      </c>
      <c r="U94" s="210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1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0" t="str">
        <f t="shared" ca="1" si="17"/>
        <v/>
      </c>
      <c r="T95" s="210" t="str">
        <f t="shared" ca="1" si="18"/>
        <v/>
      </c>
      <c r="U95" s="210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1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0" t="str">
        <f t="shared" ca="1" si="17"/>
        <v/>
      </c>
      <c r="T96" s="210" t="str">
        <f t="shared" ca="1" si="18"/>
        <v/>
      </c>
      <c r="U96" s="210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1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0" t="str">
        <f t="shared" ca="1" si="17"/>
        <v/>
      </c>
      <c r="T97" s="210" t="str">
        <f t="shared" ca="1" si="18"/>
        <v/>
      </c>
      <c r="U97" s="210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1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0" t="str">
        <f t="shared" ca="1" si="17"/>
        <v/>
      </c>
      <c r="T98" s="210" t="str">
        <f t="shared" ca="1" si="18"/>
        <v/>
      </c>
      <c r="U98" s="210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1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0" t="str">
        <f t="shared" ref="S99:S130" ca="1" si="25">IF($A99="","",IFERROR(IF(INDIRECT("CICLO_EM_EXECUCAO!B"&amp;(ROW()+10))="","",INDIRECT("CICLO_EM_EXECUCAO!B"&amp;(ROW()+10))),""))</f>
        <v/>
      </c>
      <c r="T99" s="210" t="str">
        <f t="shared" ref="T99:T130" ca="1" si="26">IF($A99="","",IFERROR(IF(INDIRECT("CICLO_EM_EXECUCAO!D"&amp;(ROW()+10))="","",INDIRECT("CICLO_EM_EXECUCAO!D"&amp;(ROW()+10))),""))</f>
        <v/>
      </c>
      <c r="U99" s="210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1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0" t="str">
        <f t="shared" ca="1" si="25"/>
        <v/>
      </c>
      <c r="T100" s="210" t="str">
        <f t="shared" ca="1" si="26"/>
        <v/>
      </c>
      <c r="U100" s="210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1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0" t="str">
        <f t="shared" ca="1" si="25"/>
        <v/>
      </c>
      <c r="T101" s="210" t="str">
        <f t="shared" ca="1" si="26"/>
        <v/>
      </c>
      <c r="U101" s="210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1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0" t="str">
        <f t="shared" ca="1" si="25"/>
        <v/>
      </c>
      <c r="T102" s="210" t="str">
        <f t="shared" ca="1" si="26"/>
        <v/>
      </c>
      <c r="U102" s="210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1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0" t="str">
        <f t="shared" ca="1" si="25"/>
        <v/>
      </c>
      <c r="T103" s="210" t="str">
        <f t="shared" ca="1" si="26"/>
        <v/>
      </c>
      <c r="U103" s="210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1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0" t="str">
        <f t="shared" ca="1" si="25"/>
        <v/>
      </c>
      <c r="T104" s="210" t="str">
        <f t="shared" ca="1" si="26"/>
        <v/>
      </c>
      <c r="U104" s="210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1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0" t="str">
        <f t="shared" ca="1" si="25"/>
        <v/>
      </c>
      <c r="T105" s="210" t="str">
        <f t="shared" ca="1" si="26"/>
        <v/>
      </c>
      <c r="U105" s="210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1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0" t="str">
        <f t="shared" ca="1" si="25"/>
        <v/>
      </c>
      <c r="T106" s="210" t="str">
        <f t="shared" ca="1" si="26"/>
        <v/>
      </c>
      <c r="U106" s="210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1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0" t="str">
        <f t="shared" ca="1" si="25"/>
        <v/>
      </c>
      <c r="T107" s="210" t="str">
        <f t="shared" ca="1" si="26"/>
        <v/>
      </c>
      <c r="U107" s="210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1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0" t="str">
        <f t="shared" ca="1" si="25"/>
        <v/>
      </c>
      <c r="T108" s="210" t="str">
        <f t="shared" ca="1" si="26"/>
        <v/>
      </c>
      <c r="U108" s="210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1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0" t="str">
        <f t="shared" ca="1" si="25"/>
        <v/>
      </c>
      <c r="T109" s="210" t="str">
        <f t="shared" ca="1" si="26"/>
        <v/>
      </c>
      <c r="U109" s="210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1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0" t="str">
        <f t="shared" ca="1" si="25"/>
        <v/>
      </c>
      <c r="T110" s="210" t="str">
        <f t="shared" ca="1" si="26"/>
        <v/>
      </c>
      <c r="U110" s="210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1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0" t="str">
        <f t="shared" ca="1" si="25"/>
        <v/>
      </c>
      <c r="T111" s="210" t="str">
        <f t="shared" ca="1" si="26"/>
        <v/>
      </c>
      <c r="U111" s="210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1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0" t="str">
        <f t="shared" ca="1" si="25"/>
        <v/>
      </c>
      <c r="T112" s="210" t="str">
        <f t="shared" ca="1" si="26"/>
        <v/>
      </c>
      <c r="U112" s="210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1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0" t="str">
        <f t="shared" ca="1" si="25"/>
        <v/>
      </c>
      <c r="T113" s="210" t="str">
        <f t="shared" ca="1" si="26"/>
        <v/>
      </c>
      <c r="U113" s="210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1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0" t="str">
        <f t="shared" ca="1" si="25"/>
        <v/>
      </c>
      <c r="T114" s="210" t="str">
        <f t="shared" ca="1" si="26"/>
        <v/>
      </c>
      <c r="U114" s="210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1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0" t="str">
        <f t="shared" ca="1" si="25"/>
        <v/>
      </c>
      <c r="T115" s="210" t="str">
        <f t="shared" ca="1" si="26"/>
        <v/>
      </c>
      <c r="U115" s="210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1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0" t="str">
        <f t="shared" ca="1" si="25"/>
        <v/>
      </c>
      <c r="T116" s="210" t="str">
        <f t="shared" ca="1" si="26"/>
        <v/>
      </c>
      <c r="U116" s="210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1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0" t="str">
        <f t="shared" ca="1" si="25"/>
        <v/>
      </c>
      <c r="T117" s="210" t="str">
        <f t="shared" ca="1" si="26"/>
        <v/>
      </c>
      <c r="U117" s="210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1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0" t="str">
        <f t="shared" ca="1" si="25"/>
        <v/>
      </c>
      <c r="T118" s="210" t="str">
        <f t="shared" ca="1" si="26"/>
        <v/>
      </c>
      <c r="U118" s="210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1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0" t="str">
        <f t="shared" ca="1" si="25"/>
        <v/>
      </c>
      <c r="T119" s="210" t="str">
        <f t="shared" ca="1" si="26"/>
        <v/>
      </c>
      <c r="U119" s="210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1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0" t="str">
        <f t="shared" ca="1" si="25"/>
        <v/>
      </c>
      <c r="T120" s="210" t="str">
        <f t="shared" ca="1" si="26"/>
        <v/>
      </c>
      <c r="U120" s="210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1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0" t="str">
        <f t="shared" ca="1" si="25"/>
        <v/>
      </c>
      <c r="T121" s="210" t="str">
        <f t="shared" ca="1" si="26"/>
        <v/>
      </c>
      <c r="U121" s="210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1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0" t="str">
        <f t="shared" ca="1" si="25"/>
        <v/>
      </c>
      <c r="T122" s="210" t="str">
        <f t="shared" ca="1" si="26"/>
        <v/>
      </c>
      <c r="U122" s="210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1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0" t="str">
        <f t="shared" ca="1" si="25"/>
        <v/>
      </c>
      <c r="T123" s="210" t="str">
        <f t="shared" ca="1" si="26"/>
        <v/>
      </c>
      <c r="U123" s="210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1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0" t="str">
        <f t="shared" ca="1" si="25"/>
        <v/>
      </c>
      <c r="T124" s="210" t="str">
        <f t="shared" ca="1" si="26"/>
        <v/>
      </c>
      <c r="U124" s="210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1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0" t="str">
        <f t="shared" ca="1" si="25"/>
        <v/>
      </c>
      <c r="T125" s="210" t="str">
        <f t="shared" ca="1" si="26"/>
        <v/>
      </c>
      <c r="U125" s="210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1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0" t="str">
        <f t="shared" ca="1" si="25"/>
        <v/>
      </c>
      <c r="T126" s="210" t="str">
        <f t="shared" ca="1" si="26"/>
        <v/>
      </c>
      <c r="U126" s="210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1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0" t="str">
        <f t="shared" ca="1" si="25"/>
        <v/>
      </c>
      <c r="T127" s="210" t="str">
        <f t="shared" ca="1" si="26"/>
        <v/>
      </c>
      <c r="U127" s="210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1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0" t="str">
        <f t="shared" ca="1" si="25"/>
        <v/>
      </c>
      <c r="T128" s="210" t="str">
        <f t="shared" ca="1" si="26"/>
        <v/>
      </c>
      <c r="U128" s="210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1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0" t="str">
        <f t="shared" ca="1" si="25"/>
        <v/>
      </c>
      <c r="T129" s="210" t="str">
        <f t="shared" ca="1" si="26"/>
        <v/>
      </c>
      <c r="U129" s="210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1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0" t="str">
        <f t="shared" ca="1" si="25"/>
        <v/>
      </c>
      <c r="T130" s="210" t="str">
        <f t="shared" ca="1" si="26"/>
        <v/>
      </c>
      <c r="U130" s="210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1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0" t="str">
        <f t="shared" ref="S131:S162" ca="1" si="33">IF($A131="","",IFERROR(IF(INDIRECT("CICLO_EM_EXECUCAO!B"&amp;(ROW()+10))="","",INDIRECT("CICLO_EM_EXECUCAO!B"&amp;(ROW()+10))),""))</f>
        <v/>
      </c>
      <c r="T131" s="210" t="str">
        <f t="shared" ref="T131:T162" ca="1" si="34">IF($A131="","",IFERROR(IF(INDIRECT("CICLO_EM_EXECUCAO!D"&amp;(ROW()+10))="","",INDIRECT("CICLO_EM_EXECUCAO!D"&amp;(ROW()+10))),""))</f>
        <v/>
      </c>
      <c r="U131" s="210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1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0" t="str">
        <f t="shared" ca="1" si="33"/>
        <v/>
      </c>
      <c r="T132" s="210" t="str">
        <f t="shared" ca="1" si="34"/>
        <v/>
      </c>
      <c r="U132" s="210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1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0" t="str">
        <f t="shared" ca="1" si="33"/>
        <v/>
      </c>
      <c r="T133" s="210" t="str">
        <f t="shared" ca="1" si="34"/>
        <v/>
      </c>
      <c r="U133" s="210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1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0" t="str">
        <f t="shared" ca="1" si="33"/>
        <v/>
      </c>
      <c r="T134" s="210" t="str">
        <f t="shared" ca="1" si="34"/>
        <v/>
      </c>
      <c r="U134" s="210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1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0" t="str">
        <f t="shared" ca="1" si="33"/>
        <v/>
      </c>
      <c r="T135" s="210" t="str">
        <f t="shared" ca="1" si="34"/>
        <v/>
      </c>
      <c r="U135" s="210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1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0" t="str">
        <f t="shared" ca="1" si="33"/>
        <v/>
      </c>
      <c r="T136" s="210" t="str">
        <f t="shared" ca="1" si="34"/>
        <v/>
      </c>
      <c r="U136" s="210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1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0" t="str">
        <f t="shared" ca="1" si="33"/>
        <v/>
      </c>
      <c r="T137" s="210" t="str">
        <f t="shared" ca="1" si="34"/>
        <v/>
      </c>
      <c r="U137" s="210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1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0" t="str">
        <f t="shared" ca="1" si="33"/>
        <v/>
      </c>
      <c r="T138" s="210" t="str">
        <f t="shared" ca="1" si="34"/>
        <v/>
      </c>
      <c r="U138" s="210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1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0" t="str">
        <f t="shared" ca="1" si="33"/>
        <v/>
      </c>
      <c r="T139" s="210" t="str">
        <f t="shared" ca="1" si="34"/>
        <v/>
      </c>
      <c r="U139" s="210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1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0" t="str">
        <f t="shared" ca="1" si="33"/>
        <v/>
      </c>
      <c r="T140" s="210" t="str">
        <f t="shared" ca="1" si="34"/>
        <v/>
      </c>
      <c r="U140" s="210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1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0" t="str">
        <f t="shared" ca="1" si="33"/>
        <v/>
      </c>
      <c r="T141" s="210" t="str">
        <f t="shared" ca="1" si="34"/>
        <v/>
      </c>
      <c r="U141" s="210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1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0" t="str">
        <f t="shared" ca="1" si="33"/>
        <v/>
      </c>
      <c r="T142" s="210" t="str">
        <f t="shared" ca="1" si="34"/>
        <v/>
      </c>
      <c r="U142" s="210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1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0" t="str">
        <f t="shared" ca="1" si="33"/>
        <v/>
      </c>
      <c r="T143" s="210" t="str">
        <f t="shared" ca="1" si="34"/>
        <v/>
      </c>
      <c r="U143" s="210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1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0" t="str">
        <f t="shared" ca="1" si="33"/>
        <v/>
      </c>
      <c r="T144" s="210" t="str">
        <f t="shared" ca="1" si="34"/>
        <v/>
      </c>
      <c r="U144" s="210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1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0" t="str">
        <f t="shared" ca="1" si="33"/>
        <v/>
      </c>
      <c r="T145" s="210" t="str">
        <f t="shared" ca="1" si="34"/>
        <v/>
      </c>
      <c r="U145" s="210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1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0" t="str">
        <f t="shared" ca="1" si="33"/>
        <v/>
      </c>
      <c r="T146" s="210" t="str">
        <f t="shared" ca="1" si="34"/>
        <v/>
      </c>
      <c r="U146" s="210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1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0" t="str">
        <f t="shared" ca="1" si="33"/>
        <v/>
      </c>
      <c r="T147" s="210" t="str">
        <f t="shared" ca="1" si="34"/>
        <v/>
      </c>
      <c r="U147" s="210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1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0" t="str">
        <f t="shared" ca="1" si="33"/>
        <v/>
      </c>
      <c r="T148" s="210" t="str">
        <f t="shared" ca="1" si="34"/>
        <v/>
      </c>
      <c r="U148" s="210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1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0" t="str">
        <f t="shared" ca="1" si="33"/>
        <v/>
      </c>
      <c r="T149" s="210" t="str">
        <f t="shared" ca="1" si="34"/>
        <v/>
      </c>
      <c r="U149" s="210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1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0" t="str">
        <f t="shared" ca="1" si="33"/>
        <v/>
      </c>
      <c r="T150" s="210" t="str">
        <f t="shared" ca="1" si="34"/>
        <v/>
      </c>
      <c r="U150" s="210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1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0" t="str">
        <f t="shared" ca="1" si="33"/>
        <v/>
      </c>
      <c r="T151" s="210" t="str">
        <f t="shared" ca="1" si="34"/>
        <v/>
      </c>
      <c r="U151" s="210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1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0" t="str">
        <f t="shared" ca="1" si="33"/>
        <v/>
      </c>
      <c r="T152" s="210" t="str">
        <f t="shared" ca="1" si="34"/>
        <v/>
      </c>
      <c r="U152" s="210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1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0" t="str">
        <f t="shared" ca="1" si="33"/>
        <v/>
      </c>
      <c r="T153" s="210" t="str">
        <f t="shared" ca="1" si="34"/>
        <v/>
      </c>
      <c r="U153" s="210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1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0" t="str">
        <f t="shared" ca="1" si="33"/>
        <v/>
      </c>
      <c r="T154" s="210" t="str">
        <f t="shared" ca="1" si="34"/>
        <v/>
      </c>
      <c r="U154" s="210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1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0" t="str">
        <f t="shared" ca="1" si="33"/>
        <v/>
      </c>
      <c r="T155" s="210" t="str">
        <f t="shared" ca="1" si="34"/>
        <v/>
      </c>
      <c r="U155" s="210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1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0" t="str">
        <f t="shared" ca="1" si="33"/>
        <v/>
      </c>
      <c r="T156" s="210" t="str">
        <f t="shared" ca="1" si="34"/>
        <v/>
      </c>
      <c r="U156" s="210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1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0" t="str">
        <f t="shared" ca="1" si="33"/>
        <v/>
      </c>
      <c r="T157" s="210" t="str">
        <f t="shared" ca="1" si="34"/>
        <v/>
      </c>
      <c r="U157" s="210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1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0" t="str">
        <f t="shared" ca="1" si="33"/>
        <v/>
      </c>
      <c r="T158" s="210" t="str">
        <f t="shared" ca="1" si="34"/>
        <v/>
      </c>
      <c r="U158" s="210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1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0" t="str">
        <f t="shared" ca="1" si="33"/>
        <v/>
      </c>
      <c r="T159" s="210" t="str">
        <f t="shared" ca="1" si="34"/>
        <v/>
      </c>
      <c r="U159" s="210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1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0" t="str">
        <f t="shared" ca="1" si="33"/>
        <v/>
      </c>
      <c r="T160" s="210" t="str">
        <f t="shared" ca="1" si="34"/>
        <v/>
      </c>
      <c r="U160" s="210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1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0" t="str">
        <f t="shared" ca="1" si="33"/>
        <v/>
      </c>
      <c r="T161" s="210" t="str">
        <f t="shared" ca="1" si="34"/>
        <v/>
      </c>
      <c r="U161" s="210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1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0" t="str">
        <f t="shared" ca="1" si="33"/>
        <v/>
      </c>
      <c r="T162" s="210" t="str">
        <f t="shared" ca="1" si="34"/>
        <v/>
      </c>
      <c r="U162" s="210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1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0" t="str">
        <f t="shared" ref="S163:S194" ca="1" si="41">IF($A163="","",IFERROR(IF(INDIRECT("CICLO_EM_EXECUCAO!B"&amp;(ROW()+10))="","",INDIRECT("CICLO_EM_EXECUCAO!B"&amp;(ROW()+10))),""))</f>
        <v/>
      </c>
      <c r="T163" s="210" t="str">
        <f t="shared" ref="T163:T194" ca="1" si="42">IF($A163="","",IFERROR(IF(INDIRECT("CICLO_EM_EXECUCAO!D"&amp;(ROW()+10))="","",INDIRECT("CICLO_EM_EXECUCAO!D"&amp;(ROW()+10))),""))</f>
        <v/>
      </c>
      <c r="U163" s="210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1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0" t="str">
        <f t="shared" ca="1" si="41"/>
        <v/>
      </c>
      <c r="T164" s="210" t="str">
        <f t="shared" ca="1" si="42"/>
        <v/>
      </c>
      <c r="U164" s="210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1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0" t="str">
        <f t="shared" ca="1" si="41"/>
        <v/>
      </c>
      <c r="T165" s="210" t="str">
        <f t="shared" ca="1" si="42"/>
        <v/>
      </c>
      <c r="U165" s="210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1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0" t="str">
        <f t="shared" ca="1" si="41"/>
        <v/>
      </c>
      <c r="T166" s="210" t="str">
        <f t="shared" ca="1" si="42"/>
        <v/>
      </c>
      <c r="U166" s="210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1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0" t="str">
        <f t="shared" ca="1" si="41"/>
        <v/>
      </c>
      <c r="T167" s="210" t="str">
        <f t="shared" ca="1" si="42"/>
        <v/>
      </c>
      <c r="U167" s="210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1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0" t="str">
        <f t="shared" ca="1" si="41"/>
        <v/>
      </c>
      <c r="T168" s="210" t="str">
        <f t="shared" ca="1" si="42"/>
        <v/>
      </c>
      <c r="U168" s="210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1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0" t="str">
        <f t="shared" ca="1" si="41"/>
        <v/>
      </c>
      <c r="T169" s="210" t="str">
        <f t="shared" ca="1" si="42"/>
        <v/>
      </c>
      <c r="U169" s="210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1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0" t="str">
        <f t="shared" ca="1" si="41"/>
        <v/>
      </c>
      <c r="T170" s="210" t="str">
        <f t="shared" ca="1" si="42"/>
        <v/>
      </c>
      <c r="U170" s="210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1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0" t="str">
        <f t="shared" ca="1" si="41"/>
        <v/>
      </c>
      <c r="T171" s="210" t="str">
        <f t="shared" ca="1" si="42"/>
        <v/>
      </c>
      <c r="U171" s="210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1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0" t="str">
        <f t="shared" ca="1" si="41"/>
        <v/>
      </c>
      <c r="T172" s="210" t="str">
        <f t="shared" ca="1" si="42"/>
        <v/>
      </c>
      <c r="U172" s="210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1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0" t="str">
        <f t="shared" ca="1" si="41"/>
        <v/>
      </c>
      <c r="T173" s="210" t="str">
        <f t="shared" ca="1" si="42"/>
        <v/>
      </c>
      <c r="U173" s="210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1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0" t="str">
        <f t="shared" ca="1" si="41"/>
        <v/>
      </c>
      <c r="T174" s="210" t="str">
        <f t="shared" ca="1" si="42"/>
        <v/>
      </c>
      <c r="U174" s="210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1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0" t="str">
        <f t="shared" ca="1" si="41"/>
        <v/>
      </c>
      <c r="T175" s="210" t="str">
        <f t="shared" ca="1" si="42"/>
        <v/>
      </c>
      <c r="U175" s="210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1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0" t="str">
        <f t="shared" ca="1" si="41"/>
        <v/>
      </c>
      <c r="T176" s="210" t="str">
        <f t="shared" ca="1" si="42"/>
        <v/>
      </c>
      <c r="U176" s="210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1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0" t="str">
        <f t="shared" ca="1" si="41"/>
        <v/>
      </c>
      <c r="T177" s="210" t="str">
        <f t="shared" ca="1" si="42"/>
        <v/>
      </c>
      <c r="U177" s="210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1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0" t="str">
        <f t="shared" ca="1" si="41"/>
        <v/>
      </c>
      <c r="T178" s="210" t="str">
        <f t="shared" ca="1" si="42"/>
        <v/>
      </c>
      <c r="U178" s="210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1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0" t="str">
        <f t="shared" ca="1" si="41"/>
        <v/>
      </c>
      <c r="T179" s="210" t="str">
        <f t="shared" ca="1" si="42"/>
        <v/>
      </c>
      <c r="U179" s="210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1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0" t="str">
        <f t="shared" ca="1" si="41"/>
        <v/>
      </c>
      <c r="T180" s="210" t="str">
        <f t="shared" ca="1" si="42"/>
        <v/>
      </c>
      <c r="U180" s="210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1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0" t="str">
        <f t="shared" ca="1" si="41"/>
        <v/>
      </c>
      <c r="T181" s="210" t="str">
        <f t="shared" ca="1" si="42"/>
        <v/>
      </c>
      <c r="U181" s="210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1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0" t="str">
        <f t="shared" ca="1" si="41"/>
        <v/>
      </c>
      <c r="T182" s="210" t="str">
        <f t="shared" ca="1" si="42"/>
        <v/>
      </c>
      <c r="U182" s="210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1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0" t="str">
        <f t="shared" ca="1" si="41"/>
        <v/>
      </c>
      <c r="T183" s="210" t="str">
        <f t="shared" ca="1" si="42"/>
        <v/>
      </c>
      <c r="U183" s="210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1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0" t="str">
        <f t="shared" ca="1" si="41"/>
        <v/>
      </c>
      <c r="T184" s="210" t="str">
        <f t="shared" ca="1" si="42"/>
        <v/>
      </c>
      <c r="U184" s="210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1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0" t="str">
        <f t="shared" ca="1" si="41"/>
        <v/>
      </c>
      <c r="T185" s="210" t="str">
        <f t="shared" ca="1" si="42"/>
        <v/>
      </c>
      <c r="U185" s="210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1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0" t="str">
        <f t="shared" ca="1" si="41"/>
        <v/>
      </c>
      <c r="T186" s="210" t="str">
        <f t="shared" ca="1" si="42"/>
        <v/>
      </c>
      <c r="U186" s="210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1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0" t="str">
        <f t="shared" ca="1" si="41"/>
        <v/>
      </c>
      <c r="T187" s="210" t="str">
        <f t="shared" ca="1" si="42"/>
        <v/>
      </c>
      <c r="U187" s="210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1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0" t="str">
        <f t="shared" ca="1" si="41"/>
        <v/>
      </c>
      <c r="T188" s="210" t="str">
        <f t="shared" ca="1" si="42"/>
        <v/>
      </c>
      <c r="U188" s="210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1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0" t="str">
        <f t="shared" ca="1" si="41"/>
        <v/>
      </c>
      <c r="T189" s="210" t="str">
        <f t="shared" ca="1" si="42"/>
        <v/>
      </c>
      <c r="U189" s="210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1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0" t="str">
        <f t="shared" ca="1" si="41"/>
        <v/>
      </c>
      <c r="T190" s="210" t="str">
        <f t="shared" ca="1" si="42"/>
        <v/>
      </c>
      <c r="U190" s="210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1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0" t="str">
        <f t="shared" ca="1" si="41"/>
        <v/>
      </c>
      <c r="T191" s="210" t="str">
        <f t="shared" ca="1" si="42"/>
        <v/>
      </c>
      <c r="U191" s="210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1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0" t="str">
        <f t="shared" ca="1" si="41"/>
        <v/>
      </c>
      <c r="T192" s="210" t="str">
        <f t="shared" ca="1" si="42"/>
        <v/>
      </c>
      <c r="U192" s="210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1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0" t="str">
        <f t="shared" ca="1" si="41"/>
        <v/>
      </c>
      <c r="T193" s="210" t="str">
        <f t="shared" ca="1" si="42"/>
        <v/>
      </c>
      <c r="U193" s="210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1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0" t="str">
        <f t="shared" ca="1" si="41"/>
        <v/>
      </c>
      <c r="T194" s="210" t="str">
        <f t="shared" ca="1" si="42"/>
        <v/>
      </c>
      <c r="U194" s="210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1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0" t="str">
        <f t="shared" ref="S195:S202" ca="1" si="49">IF($A195="","",IFERROR(IF(INDIRECT("CICLO_EM_EXECUCAO!B"&amp;(ROW()+10))="","",INDIRECT("CICLO_EM_EXECUCAO!B"&amp;(ROW()+10))),""))</f>
        <v/>
      </c>
      <c r="T195" s="210" t="str">
        <f t="shared" ref="T195:T202" ca="1" si="50">IF($A195="","",IFERROR(IF(INDIRECT("CICLO_EM_EXECUCAO!D"&amp;(ROW()+10))="","",INDIRECT("CICLO_EM_EXECUCAO!D"&amp;(ROW()+10))),""))</f>
        <v/>
      </c>
      <c r="U195" s="210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1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0" t="str">
        <f t="shared" ca="1" si="49"/>
        <v/>
      </c>
      <c r="T196" s="210" t="str">
        <f t="shared" ca="1" si="50"/>
        <v/>
      </c>
      <c r="U196" s="210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1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0" t="str">
        <f t="shared" ca="1" si="49"/>
        <v/>
      </c>
      <c r="T197" s="210" t="str">
        <f t="shared" ca="1" si="50"/>
        <v/>
      </c>
      <c r="U197" s="210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1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0" t="str">
        <f t="shared" ca="1" si="49"/>
        <v/>
      </c>
      <c r="T198" s="210" t="str">
        <f t="shared" ca="1" si="50"/>
        <v/>
      </c>
      <c r="U198" s="210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1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0" t="str">
        <f t="shared" ca="1" si="49"/>
        <v/>
      </c>
      <c r="T199" s="210" t="str">
        <f t="shared" ca="1" si="50"/>
        <v/>
      </c>
      <c r="U199" s="210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1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0" t="str">
        <f t="shared" ca="1" si="49"/>
        <v/>
      </c>
      <c r="T200" s="210" t="str">
        <f t="shared" ca="1" si="50"/>
        <v/>
      </c>
      <c r="U200" s="210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1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0" t="str">
        <f t="shared" ca="1" si="49"/>
        <v/>
      </c>
      <c r="T201" s="210" t="str">
        <f t="shared" ca="1" si="50"/>
        <v/>
      </c>
      <c r="U201" s="210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1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0" t="str">
        <f t="shared" ca="1" si="49"/>
        <v/>
      </c>
      <c r="T202" s="210" t="str">
        <f t="shared" ca="1" si="50"/>
        <v/>
      </c>
      <c r="U202" s="210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1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77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6">
        <f ca="1">IF(CONTROLE!$B$14="","",CONTROLE!$B$14)</f>
        <v>46304.602223032409</v>
      </c>
    </row>
    <row r="5" spans="1:3" x14ac:dyDescent="0.35">
      <c r="A5" s="6" t="s">
        <v>247</v>
      </c>
      <c r="B5" s="230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3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7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3" t="s">
        <v>257</v>
      </c>
    </row>
    <row r="15" spans="1:3" x14ac:dyDescent="0.35">
      <c r="A15" s="6" t="s">
        <v>258</v>
      </c>
      <c r="B15" s="307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0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3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0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0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0" t="str">
        <f ca="1">posicao_referencia!$I$8</f>
        <v>POSICAO DE REFERENCIA INDISPONIVEL</v>
      </c>
    </row>
    <row r="23" spans="1:3" x14ac:dyDescent="0.35">
      <c r="A23" s="6" t="s">
        <v>267</v>
      </c>
      <c r="B23" s="308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511" t="s">
        <v>268</v>
      </c>
      <c r="B25" s="512"/>
      <c r="C25" s="513"/>
    </row>
    <row r="26" spans="1:3" x14ac:dyDescent="0.35">
      <c r="A26" s="309" t="s">
        <v>269</v>
      </c>
      <c r="B26" s="518" t="s">
        <v>270</v>
      </c>
      <c r="C26" s="519"/>
    </row>
    <row r="27" spans="1:3" x14ac:dyDescent="0.35">
      <c r="A27" s="310" t="s">
        <v>271</v>
      </c>
      <c r="B27" s="520" t="s">
        <v>272</v>
      </c>
      <c r="C27" s="517"/>
    </row>
    <row r="28" spans="1:3" x14ac:dyDescent="0.35">
      <c r="A28" s="311" t="s">
        <v>273</v>
      </c>
      <c r="B28" s="516" t="s">
        <v>274</v>
      </c>
      <c r="C28" s="517"/>
    </row>
    <row r="29" spans="1:3" x14ac:dyDescent="0.35">
      <c r="A29" s="312" t="s">
        <v>275</v>
      </c>
      <c r="B29" s="514" t="s">
        <v>276</v>
      </c>
      <c r="C29" s="515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G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3" ht="28" customHeight="1" x14ac:dyDescent="0.35">
      <c r="A1" s="521" t="s">
        <v>277</v>
      </c>
      <c r="B1" s="504"/>
      <c r="C1" s="504"/>
      <c r="D1" s="504"/>
      <c r="E1" s="504"/>
      <c r="F1" s="504"/>
      <c r="G1" s="504"/>
      <c r="H1" s="504"/>
      <c r="I1" s="504"/>
      <c r="J1" s="504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  <c r="AF1" t="s">
        <v>623</v>
      </c>
    </row>
    <row r="2" spans="1:33" ht="34" customHeight="1" x14ac:dyDescent="0.35">
      <c r="A2" s="528" t="s">
        <v>281</v>
      </c>
      <c r="B2" s="504"/>
      <c r="C2" s="504"/>
      <c r="D2" s="504"/>
      <c r="E2" s="504"/>
      <c r="F2" s="504"/>
      <c r="G2" s="504"/>
      <c r="H2" s="504"/>
      <c r="I2" s="504"/>
      <c r="J2" s="504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  <c r="AF2" t="s">
        <v>624</v>
      </c>
      <c r="AG2" s="389" t="s">
        <v>625</v>
      </c>
    </row>
    <row r="3" spans="1:33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  <c r="AF3" t="s">
        <v>626</v>
      </c>
      <c r="AG3" s="389" t="s">
        <v>627</v>
      </c>
    </row>
    <row r="4" spans="1:33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  <c r="AF4" t="s">
        <v>628</v>
      </c>
      <c r="AG4" s="389" t="s">
        <v>629</v>
      </c>
    </row>
    <row r="5" spans="1:33" ht="24" customHeight="1" x14ac:dyDescent="0.35">
      <c r="A5" s="117" t="s">
        <v>287</v>
      </c>
      <c r="B5" s="60" t="str">
        <f>IF(AND(RESULTADOS_DETALHE!$G$43="Sim",RESULTADOS_DETALHE!$C$43&lt;&gt;""),RESULTADOS_DETALHE!$C$43,"")</f>
        <v/>
      </c>
      <c r="C5" s="117" t="s">
        <v>288</v>
      </c>
      <c r="D5" s="529" t="str">
        <f>IF(AND(RESULTADOS_DETALHE!$G$43="Sim",RESULTADOS_DETALHE!$D$43&lt;&gt;""),RESULTADOS_DETALHE!$D$43,"")</f>
        <v/>
      </c>
      <c r="E5" s="530"/>
      <c r="F5" s="530"/>
      <c r="G5" s="530"/>
      <c r="H5" s="530"/>
      <c r="I5" s="530"/>
      <c r="J5" s="531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  <c r="AF5" t="s">
        <v>630</v>
      </c>
      <c r="AG5" s="389" t="s">
        <v>631</v>
      </c>
    </row>
    <row r="6" spans="1:33" ht="34" customHeight="1" x14ac:dyDescent="0.35">
      <c r="A6" s="526" t="s">
        <v>289</v>
      </c>
      <c r="B6" s="504"/>
      <c r="C6" s="504"/>
      <c r="D6" s="504"/>
      <c r="E6" s="504"/>
      <c r="F6" s="504"/>
      <c r="G6" s="504"/>
      <c r="H6" s="504"/>
      <c r="I6" s="504"/>
      <c r="J6" s="504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  <c r="AF6" t="s">
        <v>632</v>
      </c>
      <c r="AG6" s="389" t="s">
        <v>633</v>
      </c>
    </row>
    <row r="7" spans="1:33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  <c r="AF7" t="s">
        <v>634</v>
      </c>
      <c r="AG7" s="389" t="s">
        <v>635</v>
      </c>
    </row>
    <row r="8" spans="1:33" ht="24" customHeight="1" x14ac:dyDescent="0.35">
      <c r="A8" s="525" t="s">
        <v>290</v>
      </c>
      <c r="B8" s="504"/>
      <c r="C8" s="504"/>
      <c r="D8" s="504"/>
      <c r="E8" s="504"/>
      <c r="F8" s="504"/>
      <c r="G8" s="504"/>
      <c r="H8" s="504"/>
      <c r="I8" s="504"/>
      <c r="J8" s="504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  <c r="AF8" t="s">
        <v>636</v>
      </c>
      <c r="AG8" s="389" t="s">
        <v>637</v>
      </c>
    </row>
    <row r="9" spans="1:33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  <c r="AF9" t="s">
        <v>638</v>
      </c>
      <c r="AG9" s="389" t="s">
        <v>639</v>
      </c>
    </row>
    <row r="10" spans="1:33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  <c r="AF10" t="s">
        <v>640</v>
      </c>
      <c r="AG10" s="389" t="s">
        <v>641</v>
      </c>
    </row>
    <row r="11" spans="1:33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  <c r="AF11" t="s">
        <v>642</v>
      </c>
      <c r="AG11" s="389" t="s">
        <v>643</v>
      </c>
    </row>
    <row r="12" spans="1:33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  <c r="AF12" t="s">
        <v>644</v>
      </c>
      <c r="AG12" s="389" t="s">
        <v>500</v>
      </c>
    </row>
    <row r="13" spans="1:33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  <c r="AF13" t="s">
        <v>645</v>
      </c>
      <c r="AG13" s="389" t="s">
        <v>646</v>
      </c>
    </row>
    <row r="14" spans="1:33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  <c r="AF14" t="s">
        <v>647</v>
      </c>
      <c r="AG14" s="389" t="s">
        <v>648</v>
      </c>
    </row>
    <row r="15" spans="1:33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  <c r="AF15" t="s">
        <v>649</v>
      </c>
      <c r="AG15" s="389" t="s">
        <v>650</v>
      </c>
    </row>
    <row r="16" spans="1:33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  <c r="AF16" t="s">
        <v>140</v>
      </c>
      <c r="AG16" s="389" t="s">
        <v>651</v>
      </c>
    </row>
    <row r="17" spans="1:33" ht="24" customHeight="1" x14ac:dyDescent="0.35">
      <c r="A17" s="527" t="s">
        <v>300</v>
      </c>
      <c r="B17" s="504"/>
      <c r="C17" s="504"/>
      <c r="D17" s="504"/>
      <c r="E17" s="504"/>
      <c r="F17" s="504"/>
      <c r="G17" s="504"/>
      <c r="H17" s="504"/>
      <c r="I17" s="504"/>
      <c r="J17" s="504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  <c r="AF17" t="s">
        <v>652</v>
      </c>
      <c r="AG17" s="389" t="s">
        <v>653</v>
      </c>
    </row>
    <row r="18" spans="1:33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  <c r="AF18" t="s">
        <v>654</v>
      </c>
      <c r="AG18" s="389" t="s">
        <v>655</v>
      </c>
    </row>
    <row r="19" spans="1:33" ht="24" customHeight="1" x14ac:dyDescent="0.35">
      <c r="A19" s="525" t="s">
        <v>301</v>
      </c>
      <c r="B19" s="504"/>
      <c r="C19" s="504"/>
      <c r="D19" s="504"/>
      <c r="E19" s="504"/>
      <c r="F19" s="504"/>
      <c r="G19" s="504"/>
      <c r="H19" s="504"/>
      <c r="I19" s="504"/>
      <c r="J19" s="504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  <c r="AF19" t="s">
        <v>656</v>
      </c>
      <c r="AG19" s="389" t="s">
        <v>657</v>
      </c>
    </row>
    <row r="20" spans="1:33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461</v>
      </c>
      <c r="D20" s="58" t="str">
        <f>IF(COUNTIF(financeiro!$C$2:$C$73,"&lt;&gt;")=0,"",ROUND(SUM(financeiro!$C$2:$C$73),2))</f>
        <v/>
      </c>
      <c r="E20" s="58" t="s">
        <v>464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  <c r="AF20" t="s">
        <v>658</v>
      </c>
      <c r="AG20" s="389" t="s">
        <v>659</v>
      </c>
    </row>
    <row r="21" spans="1:33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  <c r="AF21" t="s">
        <v>660</v>
      </c>
      <c r="AG21" s="389" t="s">
        <v>445</v>
      </c>
    </row>
    <row r="22" spans="1:33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  <c r="AF22" t="s">
        <v>661</v>
      </c>
      <c r="AG22" s="389" t="s">
        <v>427</v>
      </c>
    </row>
    <row r="23" spans="1:33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  <c r="AF23" t="s">
        <v>662</v>
      </c>
      <c r="AG23" s="389" t="s">
        <v>663</v>
      </c>
    </row>
    <row r="24" spans="1:33" x14ac:dyDescent="0.35">
      <c r="A24" s="117" t="s">
        <v>311</v>
      </c>
      <c r="B24" s="60" t="str">
        <f>IF(AND(RESULTADOS_DETALHE!$G$44="Sim",RESULTADOS_DETALHE!$C$44&lt;&gt;""),RESULTADOS_DETALHE!$C$44,"")</f>
        <v/>
      </c>
      <c r="C24" s="117" t="s">
        <v>312</v>
      </c>
      <c r="D24" s="529" t="str">
        <f>IF(AND(RESULTADOS_DETALHE!$G$44="Sim",RESULTADOS_DETALHE!$D$44&lt;&gt;""),RESULTADOS_DETALHE!$D$44,"")</f>
        <v/>
      </c>
      <c r="E24" s="530"/>
      <c r="F24" s="530"/>
      <c r="G24" s="530"/>
      <c r="H24" s="530"/>
      <c r="I24" s="530"/>
      <c r="J24" s="531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  <c r="AF24" t="s">
        <v>664</v>
      </c>
      <c r="AG24" s="389" t="s">
        <v>665</v>
      </c>
    </row>
    <row r="25" spans="1:33" ht="26" customHeight="1" x14ac:dyDescent="0.35">
      <c r="A25" s="117" t="s">
        <v>314</v>
      </c>
      <c r="B25" s="60" t="str">
        <f>IF(AND(RESULTADOS_DETALHE!$G$45="Sim",RESULTADOS_DETALHE!$C$45&lt;&gt;""),RESULTADOS_DETALHE!$C$45,"")</f>
        <v/>
      </c>
      <c r="C25" s="117" t="s">
        <v>315</v>
      </c>
      <c r="D25" s="529" t="str">
        <f>IF(AND(RESULTADOS_DETALHE!$G$45="Sim",RESULTADOS_DETALHE!$D$45&lt;&gt;""),RESULTADOS_DETALHE!$D$45,"")</f>
        <v/>
      </c>
      <c r="E25" s="530"/>
      <c r="F25" s="530"/>
      <c r="G25" s="530"/>
      <c r="H25" s="530"/>
      <c r="I25" s="530"/>
      <c r="J25" s="531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  <c r="AF25" t="s">
        <v>666</v>
      </c>
      <c r="AG25" s="389" t="s">
        <v>667</v>
      </c>
    </row>
    <row r="26" spans="1:33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534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530"/>
      <c r="G26" s="530"/>
      <c r="H26" s="530"/>
      <c r="I26" s="530"/>
      <c r="J26" s="531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  <c r="AF26" t="s">
        <v>668</v>
      </c>
      <c r="AG26" s="389" t="s">
        <v>669</v>
      </c>
    </row>
    <row r="27" spans="1:33" ht="34" customHeight="1" x14ac:dyDescent="0.35">
      <c r="A27" s="528" t="s">
        <v>319</v>
      </c>
      <c r="B27" s="504"/>
      <c r="C27" s="504"/>
      <c r="D27" s="504"/>
      <c r="E27" s="504"/>
      <c r="F27" s="504"/>
      <c r="G27" s="504"/>
      <c r="H27" s="504"/>
      <c r="I27" s="504"/>
      <c r="J27" s="504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  <c r="AF27" t="s">
        <v>670</v>
      </c>
      <c r="AG27" s="389" t="s">
        <v>671</v>
      </c>
    </row>
    <row r="28" spans="1:33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  <c r="AF28" t="s">
        <v>672</v>
      </c>
      <c r="AG28" s="389" t="s">
        <v>673</v>
      </c>
    </row>
    <row r="29" spans="1:33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  <c r="AF29" t="s">
        <v>674</v>
      </c>
      <c r="AG29" s="389" t="s">
        <v>675</v>
      </c>
    </row>
    <row r="30" spans="1:33" ht="24" customHeight="1" x14ac:dyDescent="0.35">
      <c r="A30" s="525" t="s">
        <v>326</v>
      </c>
      <c r="B30" s="504"/>
      <c r="C30" s="504"/>
      <c r="D30" s="504"/>
      <c r="E30" s="504"/>
      <c r="F30" s="504"/>
      <c r="G30" s="504"/>
      <c r="H30" s="504"/>
      <c r="I30" s="504"/>
      <c r="J30" s="504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  <c r="AF30" t="s">
        <v>676</v>
      </c>
      <c r="AG30" s="389" t="s">
        <v>677</v>
      </c>
    </row>
    <row r="31" spans="1:33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  <c r="AF31" t="s">
        <v>678</v>
      </c>
      <c r="AG31" s="389" t="s">
        <v>679</v>
      </c>
    </row>
    <row r="32" spans="1:33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  <c r="AF32" t="s">
        <v>680</v>
      </c>
      <c r="AG32" s="389" t="s">
        <v>681</v>
      </c>
    </row>
    <row r="33" spans="1:33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  <c r="AF33" t="s">
        <v>682</v>
      </c>
      <c r="AG33" s="389" t="s">
        <v>683</v>
      </c>
    </row>
    <row r="34" spans="1:33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  <c r="AF34" t="s">
        <v>684</v>
      </c>
      <c r="AG34" s="389" t="s">
        <v>685</v>
      </c>
    </row>
    <row r="35" spans="1:33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  <c r="AF35" t="s">
        <v>686</v>
      </c>
      <c r="AG35" s="389" t="s">
        <v>687</v>
      </c>
    </row>
    <row r="36" spans="1:33" x14ac:dyDescent="0.35">
      <c r="A36" s="126" t="s">
        <v>343</v>
      </c>
      <c r="B36" s="522"/>
      <c r="C36" s="523"/>
      <c r="D36" s="523"/>
      <c r="E36" s="524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  <c r="AF36" t="s">
        <v>688</v>
      </c>
      <c r="AG36" s="389" t="s">
        <v>689</v>
      </c>
    </row>
    <row r="37" spans="1:33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  <c r="AF37" t="s">
        <v>690</v>
      </c>
      <c r="AG37" s="389" t="s">
        <v>691</v>
      </c>
    </row>
    <row r="38" spans="1:33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467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  <c r="AF38" t="s">
        <v>692</v>
      </c>
      <c r="AG38" s="389" t="s">
        <v>693</v>
      </c>
    </row>
    <row r="39" spans="1:33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538</v>
      </c>
      <c r="T39" s="374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  <c r="AF39" t="s">
        <v>694</v>
      </c>
      <c r="AG39" s="389" t="s">
        <v>695</v>
      </c>
    </row>
    <row r="40" spans="1:33" ht="24" customHeight="1" x14ac:dyDescent="0.35">
      <c r="A40" s="525" t="s">
        <v>346</v>
      </c>
      <c r="B40" s="504"/>
      <c r="C40" s="504"/>
      <c r="D40" s="504"/>
      <c r="E40" s="504"/>
      <c r="F40" s="504"/>
      <c r="G40" s="504"/>
      <c r="H40" s="504"/>
      <c r="I40" s="504"/>
      <c r="J40" s="504"/>
      <c r="K40" s="57"/>
      <c r="L40" s="57"/>
      <c r="M40" s="57"/>
      <c r="N40" s="57"/>
      <c r="O40" s="57"/>
      <c r="P40" s="57"/>
      <c r="Q40" s="57"/>
      <c r="S40" t="s">
        <v>524</v>
      </c>
      <c r="T40" s="365" t="str">
        <f>IF(OR($T$24=0,$T$20="",$T$26&gt;0,AND(NOT(itens_PC!$P$3&gt;0),$T$27&gt;0)),"",ROUND($T$21+$T$22+$T$23,2))</f>
        <v/>
      </c>
      <c r="V40" s="207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  <c r="AF40" t="s">
        <v>696</v>
      </c>
      <c r="AG40" s="389" t="s">
        <v>643</v>
      </c>
    </row>
    <row r="41" spans="1:33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539</v>
      </c>
      <c r="T41" s="374">
        <f>ROUND(SUM(itens_PC!$S$12:$S$16),2)</f>
        <v>0</v>
      </c>
      <c r="V41" s="208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  <c r="AF41" t="s">
        <v>733</v>
      </c>
      <c r="AG41" t="s">
        <v>734</v>
      </c>
    </row>
    <row r="42" spans="1:33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540</v>
      </c>
      <c r="T42" s="374">
        <f>ROUND(SUMIFS(itens_PC!$J$2:$J$5001,itens_PC!$C$2:$C$5001,"C0",itens_PC!$J$2:$J$5001,"&gt;0",itens_PC!$B$2:$B$5001,"&lt;="&amp;$T$31),2)</f>
        <v>0</v>
      </c>
      <c r="V42" s="208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  <c r="AF42" t="s">
        <v>735</v>
      </c>
      <c r="AG42" t="s">
        <v>736</v>
      </c>
    </row>
    <row r="43" spans="1:33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541</v>
      </c>
      <c r="T43" s="374">
        <f>ROUND(SUMIFS(itens_PC!$J$2:$J$5001,itens_PC!$C$2:$C$5001,"C1",itens_PC!$J$2:$J$5001,"&gt;0",itens_PC!$B$2:$B$5001,"&lt;="&amp;$T$31),2)</f>
        <v>0</v>
      </c>
      <c r="V43" s="208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3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542</v>
      </c>
      <c r="T44" s="374">
        <f>ROUND(SUMIFS(itens_PC!$J$2:$J$5001,itens_PC!$C$2:$C$5001,"C2",itens_PC!$J$2:$J$5001,"&gt;0",itens_PC!$B$2:$B$5001,"&lt;="&amp;$T$31),2)</f>
        <v>0</v>
      </c>
      <c r="V44" s="208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3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543</v>
      </c>
      <c r="T45" s="374">
        <f>ROUND(SUMIFS(itens_PC!$J$2:$J$5001,itens_PC!$C$2:$C$5001,"C3",itens_PC!$J$2:$J$5001,"&gt;0",itens_PC!$B$2:$B$5001,"&lt;="&amp;$T$31),2)</f>
        <v>0</v>
      </c>
      <c r="V45" s="208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3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544</v>
      </c>
      <c r="T46" s="374">
        <f>ROUND(SUMIFS(itens_PC!$J$2:$J$5001,itens_PC!$C$2:$C$5001,"C4",itens_PC!$J$2:$J$5001,"&gt;0",itens_PC!$B$2:$B$5001,"&lt;="&amp;$T$31),2)</f>
        <v>0</v>
      </c>
      <c r="V46" s="208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3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545</v>
      </c>
      <c r="T47" s="374">
        <f>ROUND($T$41-$T$39,2)</f>
        <v>0</v>
      </c>
      <c r="V47" s="208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3" ht="34" customHeight="1" x14ac:dyDescent="0.35">
      <c r="A48" s="526"/>
      <c r="B48" s="504"/>
      <c r="C48" s="504"/>
      <c r="D48" s="504"/>
      <c r="E48" s="504"/>
      <c r="F48" s="504"/>
      <c r="G48" s="504"/>
      <c r="H48" s="504"/>
      <c r="I48" s="504"/>
      <c r="J48" s="504"/>
      <c r="K48" s="57"/>
      <c r="L48" s="57"/>
      <c r="M48" s="57"/>
      <c r="N48" s="57"/>
      <c r="O48" s="57"/>
      <c r="P48" s="57"/>
      <c r="Q48" s="57"/>
      <c r="V48" s="208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526"/>
      <c r="B49" s="504"/>
      <c r="C49" s="504"/>
      <c r="D49" s="504"/>
      <c r="E49" s="504"/>
      <c r="F49" s="504"/>
      <c r="G49" s="504"/>
      <c r="H49" s="504"/>
      <c r="I49" s="504"/>
      <c r="J49" s="504"/>
      <c r="K49" s="57"/>
      <c r="L49" s="57"/>
      <c r="M49" s="57"/>
      <c r="N49" s="57"/>
      <c r="O49" s="57"/>
      <c r="P49" s="57"/>
      <c r="Q49" s="57"/>
      <c r="V49" s="208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8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8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532" t="s">
        <v>374</v>
      </c>
      <c r="B52" s="533"/>
      <c r="C52" s="533"/>
      <c r="D52" s="533"/>
      <c r="E52" s="533"/>
      <c r="F52" s="533"/>
      <c r="G52" s="533"/>
      <c r="H52" s="533"/>
      <c r="I52" s="57"/>
      <c r="J52" s="532" t="s">
        <v>375</v>
      </c>
      <c r="K52" s="533"/>
      <c r="L52" s="533"/>
      <c r="M52" s="533"/>
      <c r="N52" s="533"/>
      <c r="O52" s="533"/>
      <c r="P52" s="533"/>
      <c r="Q52" s="533"/>
      <c r="V52" s="208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7" t="s">
        <v>453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8" t="s">
        <v>454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8" t="s">
        <v>455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8" t="s">
        <v>456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8" t="s">
        <v>457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8" t="s">
        <v>458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8" t="s">
        <v>459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8" t="s">
        <v>460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387" t="s">
        <v>561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562</v>
      </c>
      <c r="T70" s="388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563</v>
      </c>
      <c r="T71" s="388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564</v>
      </c>
      <c r="T72" s="388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565</v>
      </c>
      <c r="T73" s="388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566</v>
      </c>
      <c r="T74" s="388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567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S78" t="s">
        <v>568</v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S79" t="s">
        <v>291</v>
      </c>
      <c r="T79" t="s">
        <v>22</v>
      </c>
      <c r="U79" t="s">
        <v>23</v>
      </c>
      <c r="V79" t="s">
        <v>24</v>
      </c>
      <c r="W79" t="s">
        <v>25</v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S80" t="s">
        <v>569</v>
      </c>
      <c r="T80">
        <f>IF(parametros!$A$3="Sim",1,0)</f>
        <v>0</v>
      </c>
      <c r="U80">
        <f>IF(parametros!$A$4="Sim",1,0)</f>
        <v>0</v>
      </c>
      <c r="V80">
        <f>IF(parametros!$A$5="Sim",1,0)</f>
        <v>0</v>
      </c>
      <c r="W80">
        <f>IF(parametros!$A$6="Sim",1,0)</f>
        <v>0</v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S81" t="s">
        <v>570</v>
      </c>
      <c r="T81" s="183" t="str">
        <f>IF(ISNUMBER(parametros!$C$3),parametros!$C$3,"")</f>
        <v/>
      </c>
      <c r="U81" s="183" t="str">
        <f>IF(ISNUMBER(parametros!$C$4),parametros!$C$4,"")</f>
        <v/>
      </c>
      <c r="V81" s="183" t="str">
        <f>IF(ISNUMBER(parametros!$C$5),parametros!$C$5,"")</f>
        <v/>
      </c>
      <c r="W81" s="183" t="str">
        <f>IF(ISNUMBER(parametros!$C$6),parametros!$C$6,"")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S82" t="s">
        <v>571</v>
      </c>
      <c r="T82" s="183" t="str">
        <f>IF(ISNUMBER(parametros!$H$3),parametros!$H$3,"")</f>
        <v/>
      </c>
      <c r="U82" s="183" t="str">
        <f>IF(ISNUMBER(parametros!$H$4),parametros!$H$4,"")</f>
        <v/>
      </c>
      <c r="V82" s="183" t="str">
        <f>IF(ISNUMBER(parametros!$H$5),parametros!$H$5,"")</f>
        <v/>
      </c>
      <c r="W82" s="183" t="str">
        <f>IF(ISNUMBER(parametros!$H$6),parametros!$H$6,"")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S83" t="s">
        <v>572</v>
      </c>
      <c r="T83" s="183" t="str">
        <f>IF(ISNUMBER(T82),EOMONTH(T82,-1)+1,"")</f>
        <v/>
      </c>
      <c r="U83" s="183" t="str">
        <f>IF(ISNUMBER(U82),EOMONTH(U82,-1)+1,"")</f>
        <v/>
      </c>
      <c r="V83" s="183" t="str">
        <f>IF(ISNUMBER(V82),EOMONTH(V82,-1)+1,"")</f>
        <v/>
      </c>
      <c r="W83" s="183" t="str">
        <f>IF(ISNUMBER(W82),EOMONTH(W82,-1)+1,"")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S84" t="s">
        <v>573</v>
      </c>
      <c r="T84" t="str">
        <f>IF(OR(T80=0,NOT(ISNUMBER(T81)),NOT(ISNUMBER(T82)),AND($B$4&lt;&gt;"Financeiro",$B$4&lt;&gt;"PCs",$B$4&lt;&gt;"Itens")),"",IF($B$4="Financeiro",IF(EOMONTH(T82,-1)&gt;EOMONTH(T81,-1),1,0),IF(T82&gt;T81,1,0)))</f>
        <v/>
      </c>
      <c r="U84" t="str">
        <f>IF(OR(U80=0,NOT(ISNUMBER(U81)),NOT(ISNUMBER(U82)),AND($B$4&lt;&gt;"Financeiro",$B$4&lt;&gt;"PCs",$B$4&lt;&gt;"Itens")),"",IF($B$4="Financeiro",IF(EOMONTH(U82,-1)&gt;EOMONTH(U81,-1),1,0),IF(U82&gt;U81,1,0)))</f>
        <v/>
      </c>
      <c r="V84" t="str">
        <f>IF(OR(V80=0,NOT(ISNUMBER(V81)),NOT(ISNUMBER(V82)),AND($B$4&lt;&gt;"Financeiro",$B$4&lt;&gt;"PCs",$B$4&lt;&gt;"Itens")),"",IF($B$4="Financeiro",IF(EOMONTH(V82,-1)&gt;EOMONTH(V81,-1),1,0),IF(V82&gt;V81,1,0)))</f>
        <v/>
      </c>
      <c r="W84" t="str">
        <f>IF(OR(W80=0,NOT(ISNUMBER(W81)),NOT(ISNUMBER(W82)),AND($B$4&lt;&gt;"Financeiro",$B$4&lt;&gt;"PCs",$B$4&lt;&gt;"Itens")),"",IF($B$4="Financeiro",IF(EOMONTH(W82,-1)&gt;EOMONTH(W81,-1),1,0),IF(W82&gt;W81,1,0)))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S85" t="s">
        <v>574</v>
      </c>
      <c r="T85" t="str">
        <f>IF(T84&lt;&gt;1,"",IF($B$4="PCs",COUNTIFS(itens_PC!$C$2:$C$5001,"C1",itens_PC!$D$2:$D$5001,"&gt;0",itens_PC!$B$2:$B$5001,"&lt;"&amp;T82,itens_PC!$L$2:$L$5001,"Nao"),IF($B$4="Financeiro",COUNTIFS(financeiro!$B$2:$B$73,"c1",financeiro!$A$2:$A$73,"&lt;"&amp;T83,financeiro!$G$2:$G$73,"Nao",financeiro!$C$2:$C$73,"&gt;0"),"")))</f>
        <v/>
      </c>
      <c r="U85" t="str">
        <f>IF(U84&lt;&gt;1,"",IF($B$4="PCs",COUNTIFS(itens_PC!$C$2:$C$5001,"C2",itens_PC!$D$2:$D$5001,"&gt;0",itens_PC!$B$2:$B$5001,"&lt;"&amp;U82,itens_PC!$L$2:$L$5001,"Nao"),IF($B$4="Financeiro",COUNTIFS(financeiro!$B$2:$B$73,"c2",financeiro!$A$2:$A$73,"&lt;"&amp;U83,financeiro!$G$2:$G$73,"Nao",financeiro!$C$2:$C$73,"&gt;0"),"")))</f>
        <v/>
      </c>
      <c r="V85" t="str">
        <f>IF(V84&lt;&gt;1,"",IF($B$4="PCs",COUNTIFS(itens_PC!$C$2:$C$5001,"C3",itens_PC!$D$2:$D$5001,"&gt;0",itens_PC!$B$2:$B$5001,"&lt;"&amp;V82,itens_PC!$L$2:$L$5001,"Nao"),IF($B$4="Financeiro",COUNTIFS(financeiro!$B$2:$B$73,"c3",financeiro!$A$2:$A$73,"&lt;"&amp;V83,financeiro!$G$2:$G$73,"Nao",financeiro!$C$2:$C$73,"&gt;0"),"")))</f>
        <v/>
      </c>
      <c r="W85" t="str">
        <f>IF(W84&lt;&gt;1,"",IF($B$4="PCs",COUNTIFS(itens_PC!$C$2:$C$5001,"C4",itens_PC!$D$2:$D$5001,"&gt;0",itens_PC!$B$2:$B$5001,"&lt;"&amp;W82,itens_PC!$L$2:$L$5001,"Nao"),IF($B$4="Financeiro",COUNTIFS(financeiro!$B$2:$B$73,"c4",financeiro!$A$2:$A$73,"&lt;"&amp;W83,financeiro!$G$2:$G$73,"Nao",financeiro!$C$2:$C$73,"&gt;0"),"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S86" t="s">
        <v>575</v>
      </c>
      <c r="T86" t="str">
        <f>IF(T84&lt;&gt;1,"",IF($B$4="PCs",COUNTIFS(itens_PC!$C$2:$C$5001,"C1",itens_PC!$D$2:$D$5001,"&gt;0",itens_PC!$B$2:$B$5001,"&lt;"&amp;T82,itens_PC!$L$2:$L$5001,"Nao",itens_PC!$F$2:$F$5001,"&gt;0"),IF($B$4="Financeiro",IFERROR(INDEX(financeiro!$D$2:$D$73,MATCH("c1",financeiro!$B$2:$B$73,0)),""),"")))</f>
        <v/>
      </c>
      <c r="U86" t="str">
        <f>IF(U84&lt;&gt;1,"",IF($B$4="PCs",COUNTIFS(itens_PC!$C$2:$C$5001,"C2",itens_PC!$D$2:$D$5001,"&gt;0",itens_PC!$B$2:$B$5001,"&lt;"&amp;U82,itens_PC!$L$2:$L$5001,"Nao",itens_PC!$F$2:$F$5001,"&gt;0"),IF($B$4="Financeiro",IFERROR(INDEX(financeiro!$D$2:$D$73,MATCH("c2",financeiro!$B$2:$B$73,0)),""),"")))</f>
        <v/>
      </c>
      <c r="V86" t="str">
        <f>IF(V84&lt;&gt;1,"",IF($B$4="PCs",COUNTIFS(itens_PC!$C$2:$C$5001,"C3",itens_PC!$D$2:$D$5001,"&gt;0",itens_PC!$B$2:$B$5001,"&lt;"&amp;V82,itens_PC!$L$2:$L$5001,"Nao",itens_PC!$F$2:$F$5001,"&gt;0"),IF($B$4="Financeiro",IFERROR(INDEX(financeiro!$D$2:$D$73,MATCH("c3",financeiro!$B$2:$B$73,0)),""),"")))</f>
        <v/>
      </c>
      <c r="W86" t="str">
        <f>IF(W84&lt;&gt;1,"",IF($B$4="PCs",COUNTIFS(itens_PC!$C$2:$C$5001,"C4",itens_PC!$D$2:$D$5001,"&gt;0",itens_PC!$B$2:$B$5001,"&lt;"&amp;W82,itens_PC!$L$2:$L$5001,"Nao",itens_PC!$F$2:$F$5001,"&gt;0"),IF($B$4="Financeiro",IFERROR(INDEX(financeiro!$D$2:$D$73,MATCH("c4",financeiro!$B$2:$B$73,0)),""),"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S87" t="s">
        <v>576</v>
      </c>
      <c r="T87" t="str">
        <f>IF(T84&lt;&gt;1,"",IF($B$4="PCs",ROUND(SUMIFS(itens_PC!$D$2:$D$5001,itens_PC!$C$2:$C$5001,"C1",itens_PC!$D$2:$D$5001,"&gt;0",itens_PC!$B$2:$B$5001,"&lt;"&amp;T82,itens_PC!$L$2:$L$5001,"Nao"),2),IF($B$4="Financeiro",ROUND(SUMIFS(financeiro!$C$2:$C$73,financeiro!$B$2:$B$73,"c1",financeiro!$A$2:$A$73,"&lt;"&amp;T83,financeiro!$G$2:$G$73,"Nao",financeiro!$C$2:$C$73,"&gt;0"),2),IF(AND($B$4="Itens",ISNUMBER(T90)),IF(T90=0,0,""),""))))</f>
        <v/>
      </c>
      <c r="U87" t="str">
        <f>IF(U84&lt;&gt;1,"",IF($B$4="PCs",ROUND(SUMIFS(itens_PC!$D$2:$D$5001,itens_PC!$C$2:$C$5001,"C2",itens_PC!$D$2:$D$5001,"&gt;0",itens_PC!$B$2:$B$5001,"&lt;"&amp;U82,itens_PC!$L$2:$L$5001,"Nao"),2),IF($B$4="Financeiro",ROUND(SUMIFS(financeiro!$C$2:$C$73,financeiro!$B$2:$B$73,"c2",financeiro!$A$2:$A$73,"&lt;"&amp;U83,financeiro!$G$2:$G$73,"Nao",financeiro!$C$2:$C$73,"&gt;0"),2),IF(AND($B$4="Itens",ISNUMBER(U90)),IF(U90=0,0,""),""))))</f>
        <v/>
      </c>
      <c r="V87" t="str">
        <f>IF(V84&lt;&gt;1,"",IF($B$4="PCs",ROUND(SUMIFS(itens_PC!$D$2:$D$5001,itens_PC!$C$2:$C$5001,"C3",itens_PC!$D$2:$D$5001,"&gt;0",itens_PC!$B$2:$B$5001,"&lt;"&amp;V82,itens_PC!$L$2:$L$5001,"Nao"),2),IF($B$4="Financeiro",ROUND(SUMIFS(financeiro!$C$2:$C$73,financeiro!$B$2:$B$73,"c3",financeiro!$A$2:$A$73,"&lt;"&amp;V83,financeiro!$G$2:$G$73,"Nao",financeiro!$C$2:$C$73,"&gt;0"),2),IF(AND($B$4="Itens",ISNUMBER(V90)),IF(V90=0,0,""),""))))</f>
        <v/>
      </c>
      <c r="W87" t="str">
        <f>IF(W84&lt;&gt;1,"",IF($B$4="PCs",ROUND(SUMIFS(itens_PC!$D$2:$D$5001,itens_PC!$C$2:$C$5001,"C4",itens_PC!$D$2:$D$5001,"&gt;0",itens_PC!$B$2:$B$5001,"&lt;"&amp;W82,itens_PC!$L$2:$L$5001,"Nao"),2),IF($B$4="Financeiro",ROUND(SUMIFS(financeiro!$C$2:$C$73,financeiro!$B$2:$B$73,"c4",financeiro!$A$2:$A$73,"&lt;"&amp;W83,financeiro!$G$2:$G$73,"Nao",financeiro!$C$2:$C$73,"&gt;0"),2),IF(AND($B$4="Itens",ISNUMBER(W90)),IF(W90=0,0,""),"")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S88" t="s">
        <v>577</v>
      </c>
      <c r="T88" t="str">
        <f>IF(T84&lt;&gt;1,"",IF($B$4="PCs",IF(T85=0,0,IF(T86&lt;T85,"",ROUND(SUMIFS(itens_PC!$F$2:$F$5001,itens_PC!$C$2:$C$5001,"C1",itens_PC!$D$2:$D$5001,"&gt;0",itens_PC!$B$2:$B$5001,"&lt;"&amp;T82,itens_PC!$L$2:$L$5001,"Nao"),2))),IF($B$4="Financeiro",IF(T85=0,0,IF(NOT(ISNUMBER(T86)),"",IFERROR(ROUND(SUMPRODUCT((financeiro!$B$2:$B$73="c1")*(financeiro!$A$2:$A$73&lt;T83)*(financeiro!$G$2:$G$73="Nao")*(financeiro!$C$2:$C$73&gt;0)*ROUND(financeiro!$C$2:$C$73*T86,2)),2),""))),IF(AND($B$4="Itens",ISNUMBER(T90)),IF(T90=0,0,""),""))))</f>
        <v/>
      </c>
      <c r="U88" t="str">
        <f>IF(U84&lt;&gt;1,"",IF($B$4="PCs",IF(U85=0,0,IF(U86&lt;U85,"",ROUND(SUMIFS(itens_PC!$F$2:$F$5001,itens_PC!$C$2:$C$5001,"C2",itens_PC!$D$2:$D$5001,"&gt;0",itens_PC!$B$2:$B$5001,"&lt;"&amp;U82,itens_PC!$L$2:$L$5001,"Nao"),2))),IF($B$4="Financeiro",IF(U85=0,0,IF(NOT(ISNUMBER(U86)),"",IFERROR(ROUND(SUMPRODUCT((financeiro!$B$2:$B$73="c2")*(financeiro!$A$2:$A$73&lt;U83)*(financeiro!$G$2:$G$73="Nao")*(financeiro!$C$2:$C$73&gt;0)*ROUND(financeiro!$C$2:$C$73*U86,2)),2),""))),IF(AND($B$4="Itens",ISNUMBER(U90)),IF(U90=0,0,""),""))))</f>
        <v/>
      </c>
      <c r="V88" t="str">
        <f>IF(V84&lt;&gt;1,"",IF($B$4="PCs",IF(V85=0,0,IF(V86&lt;V85,"",ROUND(SUMIFS(itens_PC!$F$2:$F$5001,itens_PC!$C$2:$C$5001,"C3",itens_PC!$D$2:$D$5001,"&gt;0",itens_PC!$B$2:$B$5001,"&lt;"&amp;V82,itens_PC!$L$2:$L$5001,"Nao"),2))),IF($B$4="Financeiro",IF(V85=0,0,IF(NOT(ISNUMBER(V86)),"",IFERROR(ROUND(SUMPRODUCT((financeiro!$B$2:$B$73="c3")*(financeiro!$A$2:$A$73&lt;V83)*(financeiro!$G$2:$G$73="Nao")*(financeiro!$C$2:$C$73&gt;0)*ROUND(financeiro!$C$2:$C$73*V86,2)),2),""))),IF(AND($B$4="Itens",ISNUMBER(V90)),IF(V90=0,0,""),""))))</f>
        <v/>
      </c>
      <c r="W88" t="str">
        <f>IF(W84&lt;&gt;1,"",IF($B$4="PCs",IF(W85=0,0,IF(W86&lt;W85,"",ROUND(SUMIFS(itens_PC!$F$2:$F$5001,itens_PC!$C$2:$C$5001,"C4",itens_PC!$D$2:$D$5001,"&gt;0",itens_PC!$B$2:$B$5001,"&lt;"&amp;W82,itens_PC!$L$2:$L$5001,"Nao"),2))),IF($B$4="Financeiro",IF(W85=0,0,IF(NOT(ISNUMBER(W86)),"",IFERROR(ROUND(SUMPRODUCT((financeiro!$B$2:$B$73="c4")*(financeiro!$A$2:$A$73&lt;W83)*(financeiro!$G$2:$G$73="Nao")*(financeiro!$C$2:$C$73&gt;0)*ROUND(financeiro!$C$2:$C$73*W86,2)),2),""))),IF(AND($B$4="Itens",ISNUMBER(W90)),IF(W90=0,0,""),"")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S89" t="s">
        <v>578</v>
      </c>
      <c r="T89" t="str">
        <f>IF(OR(T87="",T88=""),"",ROUND(T88-T87,2))</f>
        <v/>
      </c>
      <c r="U89" t="str">
        <f>IF(OR(U87="",U88=""),"",ROUND(U88-U87,2))</f>
        <v/>
      </c>
      <c r="V89" t="str">
        <f>IF(OR(V87="",V88=""),"",ROUND(V88-V87,2))</f>
        <v/>
      </c>
      <c r="W89" t="str">
        <f>IF(OR(W87="",W88=""),"",ROUND(W88-W87,2))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S90" t="s">
        <v>579</v>
      </c>
      <c r="T90" t="str">
        <f>IF($B$4="Itens",IF(COUNT(itens_Consumidos!$G$2:$G$200)=0,"",SUM(itens_Consumidos!$G$2:$G$200)),"")</f>
        <v/>
      </c>
      <c r="U90" t="str">
        <f>IF($B$4="Itens",IF(COUNT(itens_Consumidos!$I$2:$I$200)=0,"",SUM(itens_Consumidos!$I$2:$I$200)),"")</f>
        <v/>
      </c>
      <c r="V90" t="str">
        <f>IF($B$4="Itens",IF(COUNT(itens_Consumidos!$K$2:$K$200)=0,"",SUM(itens_Consumidos!$K$2:$K$200)),"")</f>
        <v/>
      </c>
      <c r="W90" t="str">
        <f>IF($B$4="Itens",IF(COUNT(itens_Consumidos!$M$2:$M$200)=0,"",SUM(itens_Consumidos!$M$2:$M$200)),"")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S91" t="s">
        <v>580</v>
      </c>
      <c r="T91" t="str">
        <f>IF(T84="","",IF(T84=0,"D",IF($B$4="Itens",IF(T90="","",IF(T90=0,"B","C")),IF(T85=0,"B",IF(T89="","C","A")))))</f>
        <v/>
      </c>
      <c r="U91" t="str">
        <f>IF(U84="","",IF(U84=0,"D",IF($B$4="Itens",IF(U90="","",IF(U90=0,"B","C")),IF(U85=0,"B",IF(U89="","C","A")))))</f>
        <v/>
      </c>
      <c r="V91" t="str">
        <f>IF(V84="","",IF(V84=0,"D",IF($B$4="Itens",IF(V90="","",IF(V90=0,"B","C")),IF(V85=0,"B",IF(V89="","C","A")))))</f>
        <v/>
      </c>
      <c r="W91" t="str">
        <f>IF(W84="","",IF(W84=0,"D",IF($B$4="Itens",IF(W90="","",IF(W90=0,"B","C")),IF(W85=0,"B",IF(W89="","C","A")))))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S92" t="s">
        <v>581</v>
      </c>
      <c r="T92" s="183" t="str">
        <f>IF(AND(T84=1,$B$4="Financeiro"),IF(COUNTIFS(financeiro!$B$2:$B$73,"c1",financeiro!$A$2:$A$73,"&lt;"&amp;T83,financeiro!$G$2:$G$73,"Nao")&gt;0,_xlfn.MINIFS(financeiro!$A$2:$A$73,financeiro!$B$2:$B$73,"c1",financeiro!$A$2:$A$73,"&lt;"&amp;T83,financeiro!$G$2:$G$73,"Nao"),EOMONTH(T81,-1)+1),"")</f>
        <v/>
      </c>
      <c r="U92" s="183" t="str">
        <f>IF(AND(U84=1,$B$4="Financeiro"),IF(COUNTIFS(financeiro!$B$2:$B$73,"c2",financeiro!$A$2:$A$73,"&lt;"&amp;U83,financeiro!$G$2:$G$73,"Nao")&gt;0,_xlfn.MINIFS(financeiro!$A$2:$A$73,financeiro!$B$2:$B$73,"c2",financeiro!$A$2:$A$73,"&lt;"&amp;U83,financeiro!$G$2:$G$73,"Nao"),EOMONTH(U81,-1)+1),"")</f>
        <v/>
      </c>
      <c r="V92" s="183" t="str">
        <f>IF(AND(V84=1,$B$4="Financeiro"),IF(COUNTIFS(financeiro!$B$2:$B$73,"c3",financeiro!$A$2:$A$73,"&lt;"&amp;V83,financeiro!$G$2:$G$73,"Nao")&gt;0,_xlfn.MINIFS(financeiro!$A$2:$A$73,financeiro!$B$2:$B$73,"c3",financeiro!$A$2:$A$73,"&lt;"&amp;V83,financeiro!$G$2:$G$73,"Nao"),EOMONTH(V81,-1)+1),"")</f>
        <v/>
      </c>
      <c r="W92" s="183" t="str">
        <f>IF(AND(W84=1,$B$4="Financeiro"),IF(COUNTIFS(financeiro!$B$2:$B$73,"c4",financeiro!$A$2:$A$73,"&lt;"&amp;W83,financeiro!$G$2:$G$73,"Nao")&gt;0,_xlfn.MINIFS(financeiro!$A$2:$A$73,financeiro!$B$2:$B$73,"c4",financeiro!$A$2:$A$73,"&lt;"&amp;W83,financeiro!$G$2:$G$73,"Nao"),EOMONTH(W81,-1)+1),""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S93" t="s">
        <v>582</v>
      </c>
      <c r="T93" s="183" t="str">
        <f>IF(AND(T84=1,$B$4="Financeiro"),IF(COUNTIFS(financeiro!$B$2:$B$73,"c1",financeiro!$A$2:$A$73,"&lt;"&amp;T83,financeiro!$G$2:$G$73,"Nao")&gt;0,_xlfn.MAXIFS(financeiro!$A$2:$A$73,financeiro!$B$2:$B$73,"c1",financeiro!$A$2:$A$73,"&lt;"&amp;T83,financeiro!$G$2:$G$73,"Nao"),EOMONTH(T82,-2)+1),"")</f>
        <v/>
      </c>
      <c r="U93" s="183" t="str">
        <f>IF(AND(U84=1,$B$4="Financeiro"),IF(COUNTIFS(financeiro!$B$2:$B$73,"c2",financeiro!$A$2:$A$73,"&lt;"&amp;U83,financeiro!$G$2:$G$73,"Nao")&gt;0,_xlfn.MAXIFS(financeiro!$A$2:$A$73,financeiro!$B$2:$B$73,"c2",financeiro!$A$2:$A$73,"&lt;"&amp;U83,financeiro!$G$2:$G$73,"Nao"),EOMONTH(U82,-2)+1),"")</f>
        <v/>
      </c>
      <c r="V93" s="183" t="str">
        <f>IF(AND(V84=1,$B$4="Financeiro"),IF(COUNTIFS(financeiro!$B$2:$B$73,"c3",financeiro!$A$2:$A$73,"&lt;"&amp;V83,financeiro!$G$2:$G$73,"Nao")&gt;0,_xlfn.MAXIFS(financeiro!$A$2:$A$73,financeiro!$B$2:$B$73,"c3",financeiro!$A$2:$A$73,"&lt;"&amp;V83,financeiro!$G$2:$G$73,"Nao"),EOMONTH(V82,-2)+1),"")</f>
        <v/>
      </c>
      <c r="W93" s="183" t="str">
        <f>IF(AND(W84=1,$B$4="Financeiro"),IF(COUNTIFS(financeiro!$B$2:$B$73,"c4",financeiro!$A$2:$A$73,"&lt;"&amp;W83,financeiro!$G$2:$G$73,"Nao")&gt;0,_xlfn.MAXIFS(financeiro!$A$2:$A$73,financeiro!$B$2:$B$73,"c4",financeiro!$A$2:$A$73,"&lt;"&amp;W83,financeiro!$G$2:$G$73,"Nao"),EOMONTH(W82,-2)+1),""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S94" t="s">
        <v>583</v>
      </c>
      <c r="T94" t="str">
        <f>IF(T84&lt;&gt;1,"",IF($B$4="Financeiro",RIGHT("0"&amp;MONTH(T92),2)&amp;"/"&amp;YEAR(T92)&amp;IF(T92=T93,""," a "&amp;RIGHT("0"&amp;MONTH(T93),2)&amp;"/"&amp;YEAR(T93)),RIGHT("0"&amp;DAY(T81),2)&amp;"/"&amp;RIGHT("0"&amp;MONTH(T81),2)&amp;"/"&amp;YEAR(T81)&amp;" a "&amp;RIGHT("0"&amp;DAY(T82-1),2)&amp;"/"&amp;RIGHT("0"&amp;MONTH(T82-1),2)&amp;"/"&amp;YEAR(T82-1)))</f>
        <v/>
      </c>
      <c r="U94" t="str">
        <f>IF(U84&lt;&gt;1,"",IF($B$4="Financeiro",RIGHT("0"&amp;MONTH(U92),2)&amp;"/"&amp;YEAR(U92)&amp;IF(U92=U93,""," a "&amp;RIGHT("0"&amp;MONTH(U93),2)&amp;"/"&amp;YEAR(U93)),RIGHT("0"&amp;DAY(U81),2)&amp;"/"&amp;RIGHT("0"&amp;MONTH(U81),2)&amp;"/"&amp;YEAR(U81)&amp;" a "&amp;RIGHT("0"&amp;DAY(U82-1),2)&amp;"/"&amp;RIGHT("0"&amp;MONTH(U82-1),2)&amp;"/"&amp;YEAR(U82-1)))</f>
        <v/>
      </c>
      <c r="V94" t="str">
        <f>IF(V84&lt;&gt;1,"",IF($B$4="Financeiro",RIGHT("0"&amp;MONTH(V92),2)&amp;"/"&amp;YEAR(V92)&amp;IF(V92=V93,""," a "&amp;RIGHT("0"&amp;MONTH(V93),2)&amp;"/"&amp;YEAR(V93)),RIGHT("0"&amp;DAY(V81),2)&amp;"/"&amp;RIGHT("0"&amp;MONTH(V81),2)&amp;"/"&amp;YEAR(V81)&amp;" a "&amp;RIGHT("0"&amp;DAY(V82-1),2)&amp;"/"&amp;RIGHT("0"&amp;MONTH(V82-1),2)&amp;"/"&amp;YEAR(V82-1)))</f>
        <v/>
      </c>
      <c r="W94" t="str">
        <f>IF(W84&lt;&gt;1,"",IF($B$4="Financeiro",RIGHT("0"&amp;MONTH(W92),2)&amp;"/"&amp;YEAR(W92)&amp;IF(W92=W93,""," a "&amp;RIGHT("0"&amp;MONTH(W93),2)&amp;"/"&amp;YEAR(W93)),RIGHT("0"&amp;DAY(W81),2)&amp;"/"&amp;RIGHT("0"&amp;MONTH(W81),2)&amp;"/"&amp;YEAR(W81)&amp;" a "&amp;RIGHT("0"&amp;DAY(W82-1),2)&amp;"/"&amp;RIGHT("0"&amp;MONTH(W82-1),2)&amp;"/"&amp;YEAR(W82-1)))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S95" t="s">
        <v>584</v>
      </c>
      <c r="T95" t="str">
        <f>IF(NOT(ISNUMBER(T82)),"",IF($B$4="Financeiro",RIGHT("0"&amp;MONTH(T82),2)&amp;"/"&amp;YEAR(T82),RIGHT("0"&amp;DAY(T82),2)&amp;"/"&amp;RIGHT("0"&amp;MONTH(T82),2)&amp;"/"&amp;YEAR(T82)))</f>
        <v/>
      </c>
      <c r="U95" t="str">
        <f>IF(NOT(ISNUMBER(U82)),"",IF($B$4="Financeiro",RIGHT("0"&amp;MONTH(U82),2)&amp;"/"&amp;YEAR(U82),RIGHT("0"&amp;DAY(U82),2)&amp;"/"&amp;RIGHT("0"&amp;MONTH(U82),2)&amp;"/"&amp;YEAR(U82)))</f>
        <v/>
      </c>
      <c r="V95" t="str">
        <f>IF(NOT(ISNUMBER(V82)),"",IF($B$4="Financeiro",RIGHT("0"&amp;MONTH(V82),2)&amp;"/"&amp;YEAR(V82),RIGHT("0"&amp;DAY(V82),2)&amp;"/"&amp;RIGHT("0"&amp;MONTH(V82),2)&amp;"/"&amp;YEAR(V82)))</f>
        <v/>
      </c>
      <c r="W95" t="str">
        <f>IF(NOT(ISNUMBER(W82)),"",IF($B$4="Financeiro",RIGHT("0"&amp;MONTH(W82),2)&amp;"/"&amp;YEAR(W82),RIGHT("0"&amp;DAY(W82),2)&amp;"/"&amp;RIGHT("0"&amp;MONTH(W82),2)&amp;"/"&amp;YEAR(W82)))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S96" t="s">
        <v>585</v>
      </c>
      <c r="T96" t="str">
        <f>IF(T91="","",T79&amp;IF(T91="D",$T$114,$T$113&amp;T95))</f>
        <v/>
      </c>
      <c r="U96" t="str">
        <f>IF(U91="","",U79&amp;IF(U91="D",$T$114,$T$113&amp;U95))</f>
        <v/>
      </c>
      <c r="V96" t="str">
        <f>IF(V91="","",V79&amp;IF(V91="D",$T$114,$T$113&amp;V95))</f>
        <v/>
      </c>
      <c r="W96" t="str">
        <f>IF(W91="","",W79&amp;IF(W91="D",$T$114,$T$113&amp;W95))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S97" t="s">
        <v>586</v>
      </c>
      <c r="T97" t="str">
        <f>IF(OR(T91="",T91="D"),"",IF(T91="B",$T$117&amp;T94,IF(T91="C",$T$118&amp;T94,T85&amp;IF($B$4="PCs",$T$115,$T$116)&amp;T94)))</f>
        <v/>
      </c>
      <c r="U97" t="str">
        <f>IF(OR(U91="",U91="D"),"",IF(U91="B",$T$117&amp;U94,IF(U91="C",$T$118&amp;U94,U85&amp;IF($B$4="PCs",$T$115,$T$116)&amp;U94)))</f>
        <v/>
      </c>
      <c r="V97" t="str">
        <f>IF(OR(V91="",V91="D"),"",IF(V91="B",$T$117&amp;V94,IF(V91="C",$T$118&amp;V94,V85&amp;IF($B$4="PCs",$T$115,$T$116)&amp;V94)))</f>
        <v/>
      </c>
      <c r="W97" t="str">
        <f>IF(OR(W91="",W91="D"),"",IF(W91="B",$T$117&amp;W94,IF(W91="C",$T$118&amp;W94,W85&amp;IF($B$4="PCs",$T$115,$T$116)&amp;W94)))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S99" t="s">
        <v>587</v>
      </c>
      <c r="T99">
        <f>IF(COUNTIF(T91:W91,"?*")&gt;0,1,0)</f>
        <v>0</v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S100" t="s">
        <v>588</v>
      </c>
      <c r="T100">
        <f>IF(COUNTIF(T91:W91,"A")+COUNTIF(T91:W91,"B")&gt;0,1,0)</f>
        <v>0</v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S101" t="s">
        <v>589</v>
      </c>
      <c r="T101">
        <f>IF(COUNTIF(T91:W91,"C")&gt;0,1,0)</f>
        <v>0</v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S102" t="s">
        <v>590</v>
      </c>
      <c r="T102">
        <f>IF(AND(T99=1,T100=0,T101=0),1,0)</f>
        <v>0</v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S104" t="s">
        <v>591</v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S105" t="s">
        <v>592</v>
      </c>
      <c r="T105" s="389" t="s">
        <v>593</v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S106" t="s">
        <v>594</v>
      </c>
      <c r="T106" s="389" t="s">
        <v>595</v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S107" t="s">
        <v>596</v>
      </c>
      <c r="T107" s="389" t="s">
        <v>597</v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S108" t="s">
        <v>598</v>
      </c>
      <c r="T108" s="389" t="s">
        <v>577</v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S109" t="s">
        <v>599</v>
      </c>
      <c r="T109" s="389" t="s">
        <v>600</v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S110" t="s">
        <v>601</v>
      </c>
      <c r="T110" s="389" t="s">
        <v>602</v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S111" t="s">
        <v>603</v>
      </c>
      <c r="T111" s="389" t="s">
        <v>604</v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S112" t="s">
        <v>605</v>
      </c>
      <c r="T112" s="389" t="s">
        <v>606</v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S113" t="s">
        <v>607</v>
      </c>
      <c r="T113" s="389" t="s">
        <v>608</v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S114" t="s">
        <v>609</v>
      </c>
      <c r="T114" s="389" t="s">
        <v>610</v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S115" t="s">
        <v>611</v>
      </c>
      <c r="T115" s="389" t="s">
        <v>612</v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S116" t="s">
        <v>613</v>
      </c>
      <c r="T116" s="389" t="s">
        <v>614</v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S117" t="s">
        <v>615</v>
      </c>
      <c r="T117" s="389" t="s">
        <v>616</v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S118" t="s">
        <v>617</v>
      </c>
      <c r="T118" s="389" t="s">
        <v>618</v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S119" t="s">
        <v>619</v>
      </c>
      <c r="T119" s="389" t="s">
        <v>620</v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IF(AND(RESULTADOS_DETALHE!$G$46="Sim",ISNUMBER(RESULTADOS_DETALHE!$C$46),RESULTADOS_DETALHE!$C$46&gt;=0),RESULTADOS_DETALHE!$C$46,"")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IF(AND(RESULTADOS_DETALHE!$G$47="Sim",ISNUMBER(RESULTADOS_DETALHE!$C$47),RESULTADOS_DETALHE!$C$47&gt;=0),RESULTADOS_DETALHE!$C$47,"")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IF(AND(RESULTADOS_DETALHE!$G$48="Sim",ISNUMBER(RESULTADOS_DETALHE!$C$48),RESULTADOS_DETALHE!$C$48&gt;=0),RESULTADOS_DETALHE!$C$48,"")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IF(AND(RESULTADOS_DETALHE!$G$49="Sim",ISNUMBER(RESULTADOS_DETALHE!$C$49),RESULTADOS_DETALHE!$C$49&gt;=0),RESULTADOS_DETALHE!$C$49,"")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IF(AND(RESULTADOS_DETALHE!$G$50="Sim",ISNUMBER(RESULTADOS_DETALHE!$C$50),RESULTADOS_DETALHE!$C$50&gt;=0),RESULTADOS_DETALHE!$C$50,"")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76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75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74" priority="4">
      <formula>OR(ISNUMBER(SEARCH("MANUAL",F36)),ISNUMBER(SEARCH("DIVERGENTE",F36)),ISNUMBER(SEARCH("INCOMPLETO",F36)))</formula>
    </cfRule>
  </conditionalFormatting>
  <conditionalFormatting sqref="J4">
    <cfRule type="expression" dxfId="73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72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3" customWidth="1"/>
    <col min="2" max="2" width="23.90625" style="243" customWidth="1"/>
    <col min="3" max="3" width="21.453125" style="243" customWidth="1"/>
    <col min="4" max="4" width="35.90625" style="243" customWidth="1"/>
    <col min="5" max="5" width="26.6328125" style="243" customWidth="1"/>
    <col min="6" max="6" width="18.6328125" style="243" customWidth="1"/>
    <col min="7" max="7" width="19.90625" style="243" customWidth="1"/>
    <col min="8" max="8" width="25.90625" style="243" customWidth="1"/>
    <col min="9" max="9" width="8.7265625" style="243" customWidth="1"/>
    <col min="10" max="14" width="13" style="243" hidden="1" customWidth="1"/>
    <col min="15" max="17" width="8.7265625" style="243" customWidth="1"/>
    <col min="18" max="16384" width="8.7265625" style="243"/>
  </cols>
  <sheetData>
    <row r="1" spans="1:10" ht="34" customHeight="1" x14ac:dyDescent="0.3">
      <c r="A1" s="555" t="s">
        <v>621</v>
      </c>
      <c r="B1" s="555"/>
      <c r="C1" s="555"/>
      <c r="D1" s="555"/>
      <c r="E1" s="555"/>
      <c r="F1" s="555"/>
      <c r="G1" s="556" t="str">
        <f ca="1">$B$3</f>
        <v>REVISE</v>
      </c>
      <c r="H1" s="557"/>
    </row>
    <row r="2" spans="1:10" ht="90.5" customHeight="1" x14ac:dyDescent="0.3">
      <c r="A2" s="558" t="s">
        <v>622</v>
      </c>
      <c r="B2" s="558"/>
      <c r="C2" s="558"/>
      <c r="D2" s="558"/>
      <c r="E2" s="558"/>
      <c r="F2" s="558"/>
      <c r="G2" s="559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559"/>
      <c r="J2" s="243" t="s">
        <v>46</v>
      </c>
    </row>
    <row r="3" spans="1:10" ht="20" customHeight="1" x14ac:dyDescent="0.3">
      <c r="A3" s="244" t="str">
        <f>IF($J$6=1,$B$5,"selecionar na aba CONTROLE")</f>
        <v>selecionar na aba CONTROLE</v>
      </c>
      <c r="B3" s="245" t="str">
        <f ca="1">IF(OR($H$8="REVISE",$H$14="REVISE",$H$24="REVISE",$H$33="REVISE",COUNTIF($H$43:$H$50,"REVISE")&gt;0),"REVISE",IF($H$33="ESTIMADO","ESTIMADO","VALIDADO"))</f>
        <v>REVISE</v>
      </c>
      <c r="C3" s="246" t="str">
        <f>IF($J$8="","—",UPPER($J$8))</f>
        <v>—</v>
      </c>
      <c r="D3" s="285"/>
      <c r="E3" s="247" t="str">
        <f>$F$5</f>
        <v/>
      </c>
      <c r="F3" s="285"/>
      <c r="G3" s="562" t="str">
        <f>$D$6</f>
        <v/>
      </c>
      <c r="H3" s="563"/>
      <c r="J3" s="243" t="s">
        <v>47</v>
      </c>
    </row>
    <row r="4" spans="1:10" ht="18" customHeight="1" x14ac:dyDescent="0.3">
      <c r="A4" s="286" t="str">
        <f>IF(MEMORIA_RESULTADOS!$B$4="PCs","VTA OFICIAL — inclui retroativo reconhecido + retroativo potencial","VTA OFICIAL")</f>
        <v>VTA OFICIAL</v>
      </c>
      <c r="B4" s="287"/>
      <c r="C4" s="315" t="str">
        <f>$H$8</f>
        <v>REVISE</v>
      </c>
      <c r="D4" s="316" t="s">
        <v>527</v>
      </c>
      <c r="E4" s="317" t="str">
        <f>$H$14</f>
        <v>REVISE</v>
      </c>
      <c r="F4" s="316" t="s">
        <v>452</v>
      </c>
      <c r="G4" s="288"/>
      <c r="H4" s="318" t="str">
        <f ca="1">$H$33</f>
        <v>REVISE</v>
      </c>
    </row>
    <row r="5" spans="1:10" ht="34" customHeight="1" x14ac:dyDescent="0.3">
      <c r="A5" s="289"/>
      <c r="B5" s="248" t="str">
        <f>MEMORIA_RESULTADOS!$B$4</f>
        <v>SELECIONE O METODO EM CONTROLE!B1</v>
      </c>
      <c r="C5" s="327" t="str">
        <f>IF(VTA_FINAL="","",VTA_FINAL)</f>
        <v/>
      </c>
      <c r="D5" s="564" t="str">
        <f>$D$22</f>
        <v/>
      </c>
      <c r="E5" s="565"/>
      <c r="F5" s="249" t="str">
        <f>IF(CONTROLE!$B$3="","",CONTROLE!$B$3)</f>
        <v/>
      </c>
      <c r="G5" s="294" t="str">
        <f ca="1">$B$38</f>
        <v/>
      </c>
      <c r="H5" s="250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1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0" t="str">
        <f>IF(MEMORIA_RESULTADOS!$B$4&lt;&gt;"PCs","","Inclui R$ "&amp;TEXT(N(RETROATIVO_POTENCIAL_VTA),"#.##0,00")&amp;" de retroativo POTENCIAL (sujeito à confirmação da área gestora)")</f>
        <v/>
      </c>
      <c r="B6" s="248">
        <f>IF(parametros!$E$16="","",parametros!$E$16)</f>
        <v>1</v>
      </c>
      <c r="C6" s="319"/>
      <c r="D6" s="249" t="str">
        <f>IF($H$5="","",$H$5-1)</f>
        <v/>
      </c>
      <c r="E6" s="320" t="str">
        <f>IF($D$22&lt;&gt;"",IF($J$11="","Ciclos apurados","Ciclos apurados — "&amp;$J$11),IF($J$6=0,"SELECIONE O MÉTODO NA ABA CONTROLE","INFORME A BASE DO MÉTODO"))</f>
        <v>SELECIONE O MÉTODO NA ABA CONTROLE</v>
      </c>
      <c r="F6" s="321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1"/>
      <c r="H6" s="292"/>
      <c r="J6" s="251">
        <f>IF(OR($B$5="Financeiro",$B$5="PCs",$B$5="Itens"),1,0)</f>
        <v>0</v>
      </c>
    </row>
    <row r="7" spans="1:10" ht="20" customHeight="1" x14ac:dyDescent="0.3">
      <c r="A7" s="293" t="str">
        <f ca="1">IF($J$5=0,"APURAÇÃO CONCLUÍDA","PENDÊNCIAS PARA CONCLUSÃO:")</f>
        <v>PENDÊNCIAS PARA CONCLUSÃO:</v>
      </c>
      <c r="B7" s="560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561"/>
      <c r="D7" s="561"/>
      <c r="E7" s="561"/>
      <c r="F7" s="561"/>
      <c r="G7" s="561"/>
      <c r="H7" s="561"/>
    </row>
    <row r="8" spans="1:10" ht="15" customHeight="1" x14ac:dyDescent="0.3">
      <c r="A8" s="369" t="str">
        <f>IF(MEMORIA_RESULTADOS!$B$4&lt;&gt;"PCs","","RETROATIVO POTENCIAL — POTENCIAL (incorporado ao VTA)")</f>
        <v/>
      </c>
      <c r="B8" s="369"/>
      <c r="C8" s="370" t="str">
        <f>IF(MEMORIA_RESULTADOS!$B$4&lt;&gt;"PCs","",IFERROR(RETROATIVO_POTENCIAL_VTA,""))</f>
        <v/>
      </c>
      <c r="D8" s="371" t="str">
        <f>IF(MEMORIA_RESULTADOS!$B$4&lt;&gt;"PCs","","RETROATIVO CONSIDERADO NO VTA")</f>
        <v/>
      </c>
      <c r="E8" s="372" t="str">
        <f>IF(OR(MEMORIA_RESULTADOS!$B$4&lt;&gt;"PCs",$D$22=""),"",ROUND(N($D$22)+N(RETROATIVO_POTENCIAL_VTA),2))</f>
        <v/>
      </c>
      <c r="F8" s="253"/>
      <c r="G8" s="253"/>
      <c r="H8" s="254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4" t="str">
        <f>UPPER(CONTROLE!$B$2)</f>
        <v/>
      </c>
    </row>
    <row r="9" spans="1:10" ht="24" customHeight="1" x14ac:dyDescent="0.3">
      <c r="A9" s="566" t="s">
        <v>488</v>
      </c>
      <c r="B9" s="566"/>
      <c r="C9" s="566"/>
      <c r="D9" s="566"/>
      <c r="E9" s="566"/>
      <c r="F9" s="566"/>
      <c r="G9" s="566"/>
      <c r="H9" s="566"/>
      <c r="J9" s="251">
        <f>COUNTIF(parametros!$A$3:$A$6,"Sim")</f>
        <v>0</v>
      </c>
    </row>
    <row r="10" spans="1:10" ht="46" hidden="1" customHeight="1" x14ac:dyDescent="0.3">
      <c r="A10" s="256" t="s">
        <v>508</v>
      </c>
      <c r="B10" s="257" t="str">
        <f ca="1">IF(MEMORIA_RESULTADOS!$W$50="","",MEMORIA_RESULTADOS!$W$50)</f>
        <v/>
      </c>
      <c r="C10" s="567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568"/>
      <c r="E10" s="568"/>
      <c r="F10" s="567" t="s">
        <v>509</v>
      </c>
      <c r="G10" s="568"/>
      <c r="H10" s="299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1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5" t="s">
        <v>510</v>
      </c>
      <c r="B11" s="296" t="str">
        <f>IF(MEMORIA_RESULTADOS!$W$48="","",MEMORIA_RESULTADOS!$W$48)</f>
        <v/>
      </c>
      <c r="C11" s="577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578"/>
      <c r="E11" s="578"/>
      <c r="F11" s="577" t="s">
        <v>511</v>
      </c>
      <c r="G11" s="578"/>
      <c r="H11" s="300" t="str">
        <f>IF(MEMORIA_RESULTADOS!$W$48="","INCOMPLETO","REFERENCIA - ABERTURA DO CICLO C"&amp;MEMORIA_RESULTADOS!$W$46)</f>
        <v>INCOMPLETO</v>
      </c>
      <c r="J11" s="251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5" t="s">
        <v>512</v>
      </c>
      <c r="B12" s="296" t="str">
        <f>IFERROR(comparativo_VTA!$B$208,"")</f>
        <v/>
      </c>
      <c r="C12" s="577" t="s">
        <v>732</v>
      </c>
      <c r="D12" s="578"/>
      <c r="E12" s="578"/>
      <c r="F12" s="577" t="s">
        <v>513</v>
      </c>
      <c r="G12" s="578"/>
      <c r="H12" s="300" t="s">
        <v>428</v>
      </c>
    </row>
    <row r="13" spans="1:10" ht="46" hidden="1" customHeight="1" x14ac:dyDescent="0.3">
      <c r="A13" s="297" t="s">
        <v>514</v>
      </c>
      <c r="B13" s="298" t="str">
        <f ca="1">IF(MEMORIA_RESULTADOS!$W$51="","",MEMORIA_RESULTADOS!$W$51)</f>
        <v/>
      </c>
      <c r="C13" s="575" t="s">
        <v>515</v>
      </c>
      <c r="D13" s="576"/>
      <c r="E13" s="576"/>
      <c r="F13" s="575" t="s">
        <v>516</v>
      </c>
      <c r="G13" s="576"/>
      <c r="H13" s="301" t="str">
        <f ca="1">MEMORIA_RESULTADOS!$W$52</f>
        <v>POSICAO ATUAL NAO INFORMADA</v>
      </c>
    </row>
    <row r="14" spans="1:10" ht="15" customHeight="1" x14ac:dyDescent="0.3">
      <c r="A14" s="252"/>
      <c r="B14" s="253"/>
      <c r="C14" s="253"/>
      <c r="D14" s="253"/>
      <c r="E14" s="253"/>
      <c r="F14" s="253"/>
      <c r="G14" s="253"/>
      <c r="H14" s="254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5" t="str">
        <f>IF($B$5="PCs","2. EXECUÇÃO RECONHECIDA EM PCs POR CICLO","2. EXECUÇÃO E RETROATIVO POR CICLO")</f>
        <v>2. EXECUÇÃO E RETROATIVO POR CICLO</v>
      </c>
      <c r="B15" s="255" t="str">
        <f>IF($B$5="PCs","Valor executado original",IF($B$5="Financeiro","Valor pago",IF($B$5="PCs","Valor original",IF($B$5="Itens","Valor consumido original","Valor de referência"))))</f>
        <v>Valor de referência</v>
      </c>
      <c r="C15" s="255" t="str">
        <f>IF($B$5="PCs","Valor executado atualizado",IF($B$5="Financeiro","Valor devido atualizado",IF($B$5="PCs","Valor atualizado",IF($B$5="Itens","Valor consumido atualizado","Valor atualizado"))))</f>
        <v>Valor atualizado</v>
      </c>
      <c r="D15" s="255" t="str">
        <f>IF($B$5="PCs","Reajuste incorporado","Diferença")</f>
        <v>Diferença</v>
      </c>
      <c r="E15" s="391" t="str">
        <f>IF(MEMORIA_RESULTADOS!$T$99=1,MEMORIA_RESULTADOS!$T$105,"")</f>
        <v/>
      </c>
      <c r="F15" s="255" t="str">
        <f>IF(MEMORIA_RESULTADOS!$T$100=1,IF(MEMORIA_RESULTADOS!$B$4="Financeiro",MEMORIA_RESULTADOS!$T$107,MEMORIA_RESULTADOS!$T$106),"")</f>
        <v/>
      </c>
      <c r="G15" s="255" t="str">
        <f>IF(MEMORIA_RESULTADOS!$T$100=1,MEMORIA_RESULTADOS!$T$108,"")</f>
        <v/>
      </c>
      <c r="H15" s="255" t="str">
        <f>IF(MEMORIA_RESULTADOS!$T$100=1,MEMORIA_RESULTADOS!$T$109,"")</f>
        <v/>
      </c>
    </row>
    <row r="16" spans="1:10" ht="20" customHeight="1" x14ac:dyDescent="0.3">
      <c r="A16" s="258" t="s">
        <v>21</v>
      </c>
      <c r="B16" s="259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59" t="str">
        <f>IF(OR(B16="",D16=""),"",ROUND(B16+D16,2))</f>
        <v/>
      </c>
      <c r="D16" s="259" t="str">
        <f>IF(B16="","",IF(MEMORIA_RESULTADOS!$E$10="",0,MEMORIA_RESULTADOS!$E$10))</f>
        <v/>
      </c>
      <c r="E16" s="539" t="str">
        <f>IF(MEMORIA_RESULTADOS!$T$99=1,MEMORIA_RESULTADOS!$T$110,"")</f>
        <v/>
      </c>
      <c r="F16" s="540"/>
      <c r="G16" s="540"/>
      <c r="H16" s="540"/>
    </row>
    <row r="17" spans="1:8" ht="27" customHeight="1" x14ac:dyDescent="0.3">
      <c r="A17" s="260" t="s">
        <v>22</v>
      </c>
      <c r="B17" s="261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1" t="str">
        <f>IF(OR(B17="",D17=""),"",ROUND(B17+D17,2))</f>
        <v/>
      </c>
      <c r="D17" s="392" t="str">
        <f>IF(B17="","",IF(MEMORIA_RESULTADOS!$E$11="",0,MEMORIA_RESULTADOS!$E$11))</f>
        <v/>
      </c>
      <c r="E17" s="394" t="str">
        <f>IF(MEMORIA_RESULTADOS!T$91="","",MEMORIA_RESULTADOS!T$96&amp;IF(MEMORIA_RESULTADOS!T$97="","",CHAR(10)&amp;MEMORIA_RESULTADOS!T$97))</f>
        <v/>
      </c>
      <c r="F17" s="393" t="str">
        <f>IF(OR(MEMORIA_RESULTADOS!T$91="A",MEMORIA_RESULTADOS!T$91="B"),MEMORIA_RESULTADOS!T$87,"")</f>
        <v/>
      </c>
      <c r="G17" s="390" t="str">
        <f>IF(OR(MEMORIA_RESULTADOS!T$91="A",MEMORIA_RESULTADOS!T$91="B"),MEMORIA_RESULTADOS!T$88,"")</f>
        <v/>
      </c>
      <c r="H17" s="390" t="str">
        <f>IF(OR(MEMORIA_RESULTADOS!T$91="A",MEMORIA_RESULTADOS!T$91="B"),MEMORIA_RESULTADOS!T$89,IF(MEMORIA_RESULTADOS!T$91="C",MEMORIA_RESULTADOS!$T$119,""))</f>
        <v/>
      </c>
    </row>
    <row r="18" spans="1:8" ht="27" customHeight="1" x14ac:dyDescent="0.3">
      <c r="A18" s="260" t="s">
        <v>23</v>
      </c>
      <c r="B18" s="261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1" t="str">
        <f>IF(OR(B18="",D18=""),"",ROUND(B18+D18,2))</f>
        <v/>
      </c>
      <c r="D18" s="392" t="str">
        <f>IF(B18="","",IF(MEMORIA_RESULTADOS!$E$12="",0,MEMORIA_RESULTADOS!$E$12))</f>
        <v/>
      </c>
      <c r="E18" s="394" t="str">
        <f>IF(MEMORIA_RESULTADOS!U$91="","",MEMORIA_RESULTADOS!U$96&amp;IF(MEMORIA_RESULTADOS!U$97="","",CHAR(10)&amp;MEMORIA_RESULTADOS!U$97))</f>
        <v/>
      </c>
      <c r="F18" s="393" t="str">
        <f>IF(OR(MEMORIA_RESULTADOS!U$91="A",MEMORIA_RESULTADOS!U$91="B"),MEMORIA_RESULTADOS!U$87,"")</f>
        <v/>
      </c>
      <c r="G18" s="390" t="str">
        <f>IF(OR(MEMORIA_RESULTADOS!U$91="A",MEMORIA_RESULTADOS!U$91="B"),MEMORIA_RESULTADOS!U$88,"")</f>
        <v/>
      </c>
      <c r="H18" s="390" t="str">
        <f>IF(OR(MEMORIA_RESULTADOS!U$91="A",MEMORIA_RESULTADOS!U$91="B"),MEMORIA_RESULTADOS!U$89,IF(MEMORIA_RESULTADOS!U$91="C",MEMORIA_RESULTADOS!$T$119,""))</f>
        <v/>
      </c>
    </row>
    <row r="19" spans="1:8" ht="27" customHeight="1" x14ac:dyDescent="0.3">
      <c r="A19" s="260" t="s">
        <v>24</v>
      </c>
      <c r="B19" s="261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1" t="str">
        <f>IF(OR(B19="",D19=""),"",ROUND(B19+D19,2))</f>
        <v/>
      </c>
      <c r="D19" s="392" t="str">
        <f>IF(B19="","",IF(MEMORIA_RESULTADOS!$E$13="",0,MEMORIA_RESULTADOS!$E$13))</f>
        <v/>
      </c>
      <c r="E19" s="394" t="str">
        <f>IF(MEMORIA_RESULTADOS!V$91="","",MEMORIA_RESULTADOS!V$96&amp;IF(MEMORIA_RESULTADOS!V$97="","",CHAR(10)&amp;MEMORIA_RESULTADOS!V$97))</f>
        <v/>
      </c>
      <c r="F19" s="393" t="str">
        <f>IF(OR(MEMORIA_RESULTADOS!V$91="A",MEMORIA_RESULTADOS!V$91="B"),MEMORIA_RESULTADOS!V$87,"")</f>
        <v/>
      </c>
      <c r="G19" s="390" t="str">
        <f>IF(OR(MEMORIA_RESULTADOS!V$91="A",MEMORIA_RESULTADOS!V$91="B"),MEMORIA_RESULTADOS!V$88,"")</f>
        <v/>
      </c>
      <c r="H19" s="390" t="str">
        <f>IF(OR(MEMORIA_RESULTADOS!V$91="A",MEMORIA_RESULTADOS!V$91="B"),MEMORIA_RESULTADOS!V$89,IF(MEMORIA_RESULTADOS!V$91="C",MEMORIA_RESULTADOS!$T$119,""))</f>
        <v/>
      </c>
    </row>
    <row r="20" spans="1:8" ht="27" customHeight="1" x14ac:dyDescent="0.3">
      <c r="A20" s="260" t="s">
        <v>25</v>
      </c>
      <c r="B20" s="261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1" t="str">
        <f>IF(OR(B20="",D20=""),"",ROUND(B20+D20,2))</f>
        <v/>
      </c>
      <c r="D20" s="392" t="str">
        <f>IF(B20="","",IF(MEMORIA_RESULTADOS!$E$14="",0,MEMORIA_RESULTADOS!$E$14))</f>
        <v/>
      </c>
      <c r="E20" s="394" t="str">
        <f>IF(MEMORIA_RESULTADOS!W$91="","",MEMORIA_RESULTADOS!W$96&amp;IF(MEMORIA_RESULTADOS!W$97="","",CHAR(10)&amp;MEMORIA_RESULTADOS!W$97))</f>
        <v/>
      </c>
      <c r="F20" s="393" t="str">
        <f>IF(OR(MEMORIA_RESULTADOS!W$91="A",MEMORIA_RESULTADOS!W$91="B"),MEMORIA_RESULTADOS!W$87,"")</f>
        <v/>
      </c>
      <c r="G20" s="390" t="str">
        <f>IF(OR(MEMORIA_RESULTADOS!W$91="A",MEMORIA_RESULTADOS!W$91="B"),MEMORIA_RESULTADOS!W$88,"")</f>
        <v/>
      </c>
      <c r="H20" s="390" t="str">
        <f>IF(OR(MEMORIA_RESULTADOS!W$91="A",MEMORIA_RESULTADOS!W$91="B"),MEMORIA_RESULTADOS!W$89,IF(MEMORIA_RESULTADOS!W$91="C",MEMORIA_RESULTADOS!$T$119,""))</f>
        <v/>
      </c>
    </row>
    <row r="21" spans="1:8" ht="26" customHeight="1" x14ac:dyDescent="0.3">
      <c r="A21" s="322" t="s">
        <v>429</v>
      </c>
      <c r="B21" s="323"/>
      <c r="C21" s="323"/>
      <c r="D21" s="323" t="str">
        <f>IF(ISNUMBER(MEMORIA_RESULTADOS!$B$5),ROUND(RETRO_OFICIAL-SUM($D$16:$D$20),2),"")</f>
        <v/>
      </c>
      <c r="E21" s="541" t="str">
        <f>IF(MEMORIA_RESULTADOS!$T$101=1,MEMORIA_RESULTADOS!$T$111,IF(MEMORIA_RESULTADOS!$T$102=1,MEMORIA_RESULTADOS!$T$112,""))</f>
        <v/>
      </c>
      <c r="F21" s="542"/>
      <c r="G21" s="542"/>
      <c r="H21" s="542"/>
    </row>
    <row r="22" spans="1:8" ht="42" customHeight="1" x14ac:dyDescent="0.3">
      <c r="A22" s="262" t="s">
        <v>26</v>
      </c>
      <c r="B22" s="263" t="str">
        <f>IF(COUNT(B16:B20)=0,"",ROUND(SUM(B16:B20),2))</f>
        <v/>
      </c>
      <c r="C22" s="263" t="str">
        <f>IF(OR(B22="",D22=""),"",ROUND(B22+D22,2))</f>
        <v/>
      </c>
      <c r="D22" s="263" t="str">
        <f>IFERROR(RETRO_OFICIAL,"")</f>
        <v/>
      </c>
      <c r="E22" s="535" t="str">
        <f>IF($G$22="","","Retroativo potencial — em análise"&amp;CHAR(10)&amp;"Valor potencial relacionado a itens ainda em análise. Não integra o retroativo reconhecido enquanto não houver confirmação.")</f>
        <v/>
      </c>
      <c r="F22" s="536"/>
      <c r="G22" s="537" t="str">
        <f>IF($B$5&lt;&gt;"PCs","",IFERROR(RETROATIVO_POTENCIAL_PC,""))</f>
        <v/>
      </c>
      <c r="H22" s="538"/>
    </row>
    <row r="23" spans="1:8" ht="15" customHeight="1" x14ac:dyDescent="0.3">
      <c r="A23" s="324" t="str">
        <f>IF(OR(MEMORIA_RESULTADOS!$B$4&lt;&gt;"PCs",MEMORIA_RESULTADOS!$T$28=0),"","PCs sem efeito financeiro: "&amp;MEMORIA_RESULTADOS!$T$28&amp;" PC(s)")</f>
        <v/>
      </c>
      <c r="B23" s="324" t="str">
        <f>IF(OR(MEMORIA_RESULTADOS!$B$4&lt;&gt;"PCs",MEMORIA_RESULTADOS!$T$28=0),"",MEMORIA_RESULTADOS!$T$29)</f>
        <v/>
      </c>
      <c r="C23" s="324" t="str">
        <f>IF(OR(MEMORIA_RESULTADOS!$B$4&lt;&gt;"PCs",MEMORIA_RESULTADOS!$T$28=0),"",ROUND(MEMORIA_RESULTADOS!$T$29+MEMORIA_RESULTADOS!$T$30,2))</f>
        <v/>
      </c>
      <c r="D23" s="324" t="str">
        <f>IF(OR(MEMORIA_RESULTADOS!$B$4&lt;&gt;"PCs",MEMORIA_RESULTADOS!$T$28=0),"",MEMORIA_RESULTADOS!$T$30)</f>
        <v/>
      </c>
      <c r="E23" s="581" t="str">
        <f>IF(OR(MEMORIA_RESULTADOS!$B$4&lt;&gt;"PCs",MEMORIA_RESULTADOS!$T$28=0),"","A diferença sem efeito financeiro não constitui "&amp;"retroativo. Consulte itens_PC -&gt; EFEITO_FINANCEIRO_PC = Nao.")</f>
        <v/>
      </c>
      <c r="F23" s="582"/>
      <c r="G23" s="582"/>
      <c r="H23" s="582"/>
    </row>
    <row r="24" spans="1:8" ht="22" customHeight="1" x14ac:dyDescent="0.3">
      <c r="A24" s="265" t="str">
        <f>IF($B$5="PCs","3. REMANESCENTE — REFERÊNCIAS POR CICLO","3. REMANESCENTE TOTAL POR CICLO")</f>
        <v>3. REMANESCENTE TOTAL POR CICLO</v>
      </c>
      <c r="B24" s="266"/>
      <c r="C24" s="266"/>
      <c r="D24" s="266"/>
      <c r="E24" s="266"/>
      <c r="F24" s="266"/>
      <c r="G24" s="266"/>
      <c r="H24" s="267" t="str">
        <f>IF(ISNUMBER(SEARCH("CONFERIR",MEMORIA_RESULTADOS!$F$36)),"VALIDADO","REVISE")</f>
        <v>REVISE</v>
      </c>
    </row>
    <row r="25" spans="1:8" ht="48" customHeight="1" x14ac:dyDescent="0.3">
      <c r="A25" s="268" t="s">
        <v>291</v>
      </c>
      <c r="B25" s="269" t="str">
        <f>IF($B$5="PCs","Saldo sem reajuste de referência do ciclo","Saldo sem reajuste")</f>
        <v>Saldo sem reajuste</v>
      </c>
      <c r="C25" s="269" t="str">
        <f>IF($B$5="PCs","Saldo atualizado de referência do ciclo","Saldo atualizado")</f>
        <v>Saldo atualizado</v>
      </c>
      <c r="D25" s="270" t="str">
        <f>IF($B$5="PCs","Diferença de referência do ciclo","Diferença")</f>
        <v>Diferença</v>
      </c>
      <c r="E25" s="583" t="str">
        <f>IF($B$5="PCs","Referências do ciclo; não são necessariamente saldos finais após execução. Os ciclos não se somam.","Cada linha é a fotografia de um ciclo — ciclos não se somam. O ciclo vigente aparece destacado.")</f>
        <v>Cada linha é a fotografia de um ciclo — ciclos não se somam. O ciclo vigente aparece destacado.</v>
      </c>
      <c r="F25" s="584"/>
      <c r="G25" s="584"/>
      <c r="H25" s="584"/>
    </row>
    <row r="26" spans="1:8" ht="19" customHeight="1" x14ac:dyDescent="0.3">
      <c r="A26" s="260" t="s">
        <v>21</v>
      </c>
      <c r="B26" s="261" t="str">
        <f>IF(IFERROR(VALUE(MID(UPPER(CONTROLE!$B$2),2,1)),-1)&lt;0,"",IF(COUNTIF(itens_Remanesc!$A$2:$A$200,"&lt;&gt;")=0,"",IFERROR(comparativo_VTA!$C$204,"")))</f>
        <v/>
      </c>
      <c r="C26" s="261" t="str">
        <f>IF(B26="","",ROUND(SUMPRODUCT(posicao_contratual!$G$2:$G$201,historico_VU!$C$2:$C$201),2))</f>
        <v/>
      </c>
      <c r="D26" s="261" t="str">
        <f>IF(OR(B26="",C26=""),"",ROUND(C26-B26,2))</f>
        <v/>
      </c>
      <c r="E26" s="271"/>
      <c r="F26" s="271"/>
      <c r="G26" s="271"/>
      <c r="H26" s="271"/>
    </row>
    <row r="27" spans="1:8" ht="19" customHeight="1" x14ac:dyDescent="0.3">
      <c r="A27" s="260" t="s">
        <v>22</v>
      </c>
      <c r="B27" s="261" t="str">
        <f>IF(IFERROR(VALUE(MID(UPPER(CONTROLE!$B$2),2,1)),-1)&lt;1,"",IF(COUNTIF(itens_Remanesc!$A$2:$A$200,"&lt;&gt;")=0,"",IFERROR(comparativo_VTA!$D$204,"")))</f>
        <v/>
      </c>
      <c r="C27" s="261" t="str">
        <f>IF(B27="","",ROUND(SUMPRODUCT(posicao_contratual!$K$2:$K$201,historico_VU!$D$2:$D$201),2))</f>
        <v/>
      </c>
      <c r="D27" s="261" t="str">
        <f>IF(OR(B27="",C27=""),"",ROUND(C27-B27,2))</f>
        <v/>
      </c>
      <c r="E27" s="271"/>
      <c r="F27" s="271"/>
      <c r="G27" s="271"/>
      <c r="H27" s="271"/>
    </row>
    <row r="28" spans="1:8" ht="19" customHeight="1" x14ac:dyDescent="0.3">
      <c r="A28" s="260" t="s">
        <v>23</v>
      </c>
      <c r="B28" s="261" t="str">
        <f>IF(IFERROR(VALUE(MID(UPPER(CONTROLE!$B$2),2,1)),-1)&lt;2,"",IF(COUNTIF(itens_Remanesc!$A$2:$A$200,"&lt;&gt;")=0,"",IFERROR(comparativo_VTA!$E$204,"")))</f>
        <v/>
      </c>
      <c r="C28" s="261" t="str">
        <f>IF(B28="","",ROUND(SUMPRODUCT(posicao_contratual!$O$2:$O$201,historico_VU!$E$2:$E$201),2))</f>
        <v/>
      </c>
      <c r="D28" s="261" t="str">
        <f>IF(OR(B28="",C28=""),"",ROUND(C28-B28,2))</f>
        <v/>
      </c>
      <c r="E28" s="271"/>
      <c r="F28" s="271"/>
      <c r="G28" s="271"/>
      <c r="H28" s="271"/>
    </row>
    <row r="29" spans="1:8" ht="19" customHeight="1" x14ac:dyDescent="0.3">
      <c r="A29" s="260" t="s">
        <v>24</v>
      </c>
      <c r="B29" s="261" t="str">
        <f>IF(IFERROR(VALUE(MID(UPPER(CONTROLE!$B$2),2,1)),-1)&lt;3,"",IF(COUNTIF(itens_Remanesc!$A$2:$A$200,"&lt;&gt;")=0,"",IFERROR(comparativo_VTA!$F$204,"")))</f>
        <v/>
      </c>
      <c r="C29" s="261" t="str">
        <f>IF(B29="","",ROUND(SUMPRODUCT(posicao_contratual!$S$2:$S$201,historico_VU!$F$2:$F$201),2))</f>
        <v/>
      </c>
      <c r="D29" s="261" t="str">
        <f>IF(OR(B29="",C29=""),"",ROUND(C29-B29,2))</f>
        <v/>
      </c>
      <c r="E29" s="271"/>
      <c r="F29" s="271"/>
      <c r="G29" s="271"/>
      <c r="H29" s="271"/>
    </row>
    <row r="30" spans="1:8" ht="19" customHeight="1" x14ac:dyDescent="0.3">
      <c r="A30" s="272" t="s">
        <v>25</v>
      </c>
      <c r="B30" s="273" t="str">
        <f>IF(IFERROR(VALUE(MID(UPPER(CONTROLE!$B$2),2,1)),-1)&lt;4,"",IF(COUNTIF(itens_Remanesc!$A$2:$A$200,"&lt;&gt;")=0,"",IFERROR(comparativo_VTA!$G$204,"")))</f>
        <v/>
      </c>
      <c r="C30" s="273" t="str">
        <f>IF(B30="","",ROUND(SUMPRODUCT(posicao_contratual!$W$2:$W$201,historico_VU!$G$2:$G$201),2))</f>
        <v/>
      </c>
      <c r="D30" s="273" t="str">
        <f>IF(OR(B30="",C30=""),"",ROUND(C30-B30,2))</f>
        <v/>
      </c>
      <c r="E30" s="264"/>
      <c r="F30" s="264"/>
      <c r="G30" s="264"/>
      <c r="H30" s="264"/>
    </row>
    <row r="31" spans="1:8" ht="7" hidden="1" customHeight="1" x14ac:dyDescent="0.3">
      <c r="A31" s="264"/>
      <c r="B31" s="264"/>
      <c r="C31" s="264"/>
      <c r="D31" s="264"/>
      <c r="E31" s="264"/>
      <c r="F31" s="264"/>
      <c r="G31" s="264"/>
      <c r="H31" s="264"/>
    </row>
    <row r="32" spans="1:8" ht="15" customHeight="1" x14ac:dyDescent="0.3">
      <c r="A32" s="264"/>
      <c r="B32" s="264"/>
      <c r="C32" s="264"/>
      <c r="D32" s="264"/>
      <c r="E32" s="264"/>
      <c r="F32" s="264"/>
      <c r="G32" s="264"/>
      <c r="H32" s="264"/>
    </row>
    <row r="33" spans="1:8" ht="22" customHeight="1" x14ac:dyDescent="0.3">
      <c r="A33" s="265" t="str">
        <f>IF(UPPER(CONTROLE!$B$2)="","4. CICLO ATUAL EM EXECUÇÃO","4. CICLO ATUAL EM EXECUÇÃO ("&amp;UPPER(CONTROLE!$B$2)&amp;")")</f>
        <v>4. CICLO ATUAL EM EXECUÇÃO</v>
      </c>
      <c r="B33" s="266"/>
      <c r="C33" s="266"/>
      <c r="D33" s="266"/>
      <c r="E33" s="266"/>
      <c r="F33" s="266"/>
      <c r="G33" s="266"/>
      <c r="H33" s="267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0" t="s">
        <v>430</v>
      </c>
      <c r="B34" s="274" t="str">
        <f>UPPER(CONTROLE!$B$2)</f>
        <v/>
      </c>
      <c r="C34" s="547"/>
      <c r="D34" s="548"/>
      <c r="E34" s="549" t="s">
        <v>449</v>
      </c>
      <c r="F34" s="550"/>
      <c r="G34" s="550"/>
      <c r="H34" s="550"/>
    </row>
    <row r="35" spans="1:8" ht="22" customHeight="1" x14ac:dyDescent="0.3">
      <c r="A35" s="260" t="s">
        <v>431</v>
      </c>
      <c r="B35" s="275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543" t="str">
        <f ca="1">IF($B$35="","Aguardando dado","")</f>
        <v>Aguardando dado</v>
      </c>
      <c r="D35" s="544"/>
      <c r="E35" s="551" t="str">
        <f ca="1">IF($A$39="","",$A$39)</f>
        <v/>
      </c>
      <c r="F35" s="552"/>
      <c r="G35" s="552"/>
      <c r="H35" s="553"/>
    </row>
    <row r="36" spans="1:8" ht="22" customHeight="1" x14ac:dyDescent="0.3">
      <c r="A36" s="260" t="s">
        <v>432</v>
      </c>
      <c r="B36" s="261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543" t="str">
        <f ca="1">IF($B$36="","Aguardando dado","")</f>
        <v>Aguardando dado</v>
      </c>
      <c r="D36" s="544"/>
      <c r="E36" s="554"/>
      <c r="F36" s="552"/>
      <c r="G36" s="552"/>
      <c r="H36" s="553"/>
    </row>
    <row r="37" spans="1:8" ht="22" customHeight="1" x14ac:dyDescent="0.3">
      <c r="A37" s="260" t="s">
        <v>433</v>
      </c>
      <c r="B37" s="261" t="str">
        <f>IFERROR(INDEX($C$26:$C$30,MATCH(UPPER(CONTROLE!$B$2),$A$26:$A$30,0)),"")</f>
        <v/>
      </c>
      <c r="C37" s="543" t="str">
        <f>IF($B$37="","Aguardando dado","")</f>
        <v>Aguardando dado</v>
      </c>
      <c r="D37" s="544"/>
      <c r="E37" s="554"/>
      <c r="F37" s="552"/>
      <c r="G37" s="552"/>
      <c r="H37" s="553"/>
    </row>
    <row r="38" spans="1:8" ht="22" customHeight="1" x14ac:dyDescent="0.3">
      <c r="A38" s="262" t="s">
        <v>434</v>
      </c>
      <c r="B38" s="263" t="str">
        <f ca="1">IF(OR(B36="",B37=""),"",ROUND(B37-B36,2))</f>
        <v/>
      </c>
      <c r="C38" s="545" t="str">
        <f ca="1">IF($B$38="","Aguardando dado","")</f>
        <v>Aguardando dado</v>
      </c>
      <c r="D38" s="546"/>
      <c r="E38" s="554"/>
      <c r="F38" s="552"/>
      <c r="G38" s="552"/>
      <c r="H38" s="553"/>
    </row>
    <row r="39" spans="1:8" ht="15" customHeight="1" x14ac:dyDescent="0.3">
      <c r="A39" s="579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580"/>
      <c r="C39" s="580"/>
      <c r="D39" s="580"/>
      <c r="E39" s="580"/>
      <c r="F39" s="580"/>
      <c r="G39" s="580"/>
      <c r="H39" s="580"/>
    </row>
    <row r="40" spans="1:8" ht="14" hidden="1" customHeight="1" x14ac:dyDescent="0.3">
      <c r="A40" s="264"/>
      <c r="B40" s="264"/>
      <c r="C40" s="264"/>
      <c r="D40" s="264"/>
      <c r="E40" s="264"/>
      <c r="F40" s="264"/>
      <c r="G40" s="264"/>
      <c r="H40" s="264"/>
    </row>
    <row r="41" spans="1:8" ht="22" hidden="1" customHeight="1" x14ac:dyDescent="0.3">
      <c r="A41" s="276" t="s">
        <v>450</v>
      </c>
      <c r="B41" s="277"/>
      <c r="C41" s="277"/>
      <c r="D41" s="325" t="s">
        <v>451</v>
      </c>
      <c r="E41" s="277"/>
      <c r="F41" s="277"/>
      <c r="G41" s="277"/>
      <c r="H41" s="277"/>
    </row>
    <row r="42" spans="1:8" ht="24" hidden="1" customHeight="1" x14ac:dyDescent="0.3">
      <c r="A42" s="278" t="s">
        <v>435</v>
      </c>
      <c r="B42" s="278" t="s">
        <v>291</v>
      </c>
      <c r="C42" s="278" t="s">
        <v>436</v>
      </c>
      <c r="D42" s="278" t="s">
        <v>437</v>
      </c>
      <c r="E42" s="278" t="s">
        <v>438</v>
      </c>
      <c r="F42" s="278" t="s">
        <v>439</v>
      </c>
      <c r="G42" s="278" t="s">
        <v>440</v>
      </c>
      <c r="H42" s="278" t="s">
        <v>441</v>
      </c>
    </row>
    <row r="43" spans="1:8" ht="24" hidden="1" customHeight="1" x14ac:dyDescent="0.3">
      <c r="A43" s="279" t="s">
        <v>287</v>
      </c>
      <c r="B43" s="280" t="s">
        <v>26</v>
      </c>
      <c r="C43" s="238"/>
      <c r="D43" s="235"/>
      <c r="E43" s="235"/>
      <c r="F43" s="236"/>
      <c r="G43" s="237"/>
      <c r="H43" s="281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79" t="s">
        <v>442</v>
      </c>
      <c r="B44" s="280" t="s">
        <v>26</v>
      </c>
      <c r="C44" s="238"/>
      <c r="D44" s="235"/>
      <c r="E44" s="235"/>
      <c r="F44" s="236"/>
      <c r="G44" s="237"/>
      <c r="H44" s="281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79" t="s">
        <v>443</v>
      </c>
      <c r="B45" s="280" t="s">
        <v>26</v>
      </c>
      <c r="C45" s="238"/>
      <c r="D45" s="235"/>
      <c r="E45" s="235"/>
      <c r="F45" s="236"/>
      <c r="G45" s="237"/>
      <c r="H45" s="281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79" t="s">
        <v>444</v>
      </c>
      <c r="B46" s="280" t="s">
        <v>21</v>
      </c>
      <c r="C46" s="238"/>
      <c r="D46" s="235"/>
      <c r="E46" s="235"/>
      <c r="F46" s="236"/>
      <c r="G46" s="237"/>
      <c r="H46" s="281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79" t="s">
        <v>444</v>
      </c>
      <c r="B47" s="280" t="s">
        <v>22</v>
      </c>
      <c r="C47" s="238"/>
      <c r="D47" s="235"/>
      <c r="E47" s="235"/>
      <c r="F47" s="236"/>
      <c r="G47" s="237"/>
      <c r="H47" s="281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79" t="s">
        <v>444</v>
      </c>
      <c r="B48" s="280" t="s">
        <v>23</v>
      </c>
      <c r="C48" s="238"/>
      <c r="D48" s="235"/>
      <c r="E48" s="235"/>
      <c r="F48" s="236"/>
      <c r="G48" s="237"/>
      <c r="H48" s="281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79" t="s">
        <v>444</v>
      </c>
      <c r="B49" s="280" t="s">
        <v>24</v>
      </c>
      <c r="C49" s="238"/>
      <c r="D49" s="235"/>
      <c r="E49" s="235"/>
      <c r="F49" s="236"/>
      <c r="G49" s="237"/>
      <c r="H49" s="281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2" t="s">
        <v>444</v>
      </c>
      <c r="B50" s="283" t="s">
        <v>25</v>
      </c>
      <c r="C50" s="239"/>
      <c r="D50" s="240"/>
      <c r="E50" s="240"/>
      <c r="F50" s="241"/>
      <c r="G50" s="242"/>
      <c r="H50" s="284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4"/>
      <c r="B51" s="264"/>
      <c r="C51" s="264"/>
      <c r="D51" s="264"/>
      <c r="E51" s="264"/>
      <c r="F51" s="264"/>
      <c r="G51" s="264"/>
      <c r="H51" s="264"/>
    </row>
    <row r="52" spans="1:8" ht="15" customHeight="1" x14ac:dyDescent="0.3">
      <c r="A52" s="264"/>
      <c r="B52" s="264"/>
      <c r="C52" s="264"/>
      <c r="D52" s="264"/>
      <c r="E52" s="264"/>
      <c r="F52" s="264"/>
      <c r="G52" s="264"/>
      <c r="H52" s="264"/>
    </row>
    <row r="53" spans="1:8" ht="20" customHeight="1" x14ac:dyDescent="0.3">
      <c r="A53" s="569" t="s">
        <v>523</v>
      </c>
      <c r="B53" s="566"/>
      <c r="C53" s="566"/>
      <c r="D53" s="566"/>
      <c r="E53" s="566"/>
      <c r="F53" s="566"/>
      <c r="G53" s="566"/>
      <c r="H53" s="570"/>
    </row>
    <row r="54" spans="1:8" ht="13" customHeight="1" x14ac:dyDescent="0.3">
      <c r="A54" s="357" t="s">
        <v>445</v>
      </c>
      <c r="B54" s="358" t="s">
        <v>427</v>
      </c>
      <c r="C54" s="571" t="s">
        <v>490</v>
      </c>
      <c r="D54" s="572"/>
      <c r="E54" s="571"/>
      <c r="F54" s="571"/>
      <c r="G54" s="571"/>
      <c r="H54" s="571"/>
    </row>
    <row r="55" spans="1:8" ht="30" customHeight="1" x14ac:dyDescent="0.3">
      <c r="A55" s="332" t="s">
        <v>491</v>
      </c>
      <c r="B55" s="344" t="str">
        <f>IF($B$5&lt;&gt;"PCs","",MEMORIA_RESULTADOS!$T$33)</f>
        <v/>
      </c>
      <c r="C55" s="573" t="s">
        <v>492</v>
      </c>
      <c r="D55" s="574"/>
      <c r="E55" s="573"/>
      <c r="F55" s="573"/>
      <c r="G55" s="573"/>
      <c r="H55" s="573"/>
    </row>
    <row r="56" spans="1:8" ht="30" customHeight="1" x14ac:dyDescent="0.3">
      <c r="A56" s="332" t="s">
        <v>493</v>
      </c>
      <c r="B56" s="344" t="str">
        <f>IF($B$5&lt;&gt;"PCs","",MEMORIA_RESULTADOS!$T$34)</f>
        <v/>
      </c>
      <c r="C56" s="573" t="s">
        <v>494</v>
      </c>
      <c r="D56" s="574"/>
      <c r="E56" s="573"/>
      <c r="F56" s="573"/>
      <c r="G56" s="573"/>
      <c r="H56" s="573"/>
    </row>
    <row r="57" spans="1:8" ht="30" customHeight="1" x14ac:dyDescent="0.3">
      <c r="A57" s="332" t="s">
        <v>495</v>
      </c>
      <c r="B57" s="344" t="str">
        <f>IF($B$5&lt;&gt;"PCs","",MEMORIA_RESULTADOS!$T$35)</f>
        <v/>
      </c>
      <c r="C57" s="573" t="s">
        <v>496</v>
      </c>
      <c r="D57" s="574"/>
      <c r="E57" s="573"/>
      <c r="F57" s="573"/>
      <c r="G57" s="573"/>
      <c r="H57" s="573"/>
    </row>
    <row r="58" spans="1:8" ht="30" customHeight="1" x14ac:dyDescent="0.3">
      <c r="A58" s="332" t="s">
        <v>446</v>
      </c>
      <c r="B58" s="344" t="str">
        <f>IF($B$5&lt;&gt;"PCs","",MEMORIA_RESULTADOS!$T$36)</f>
        <v/>
      </c>
      <c r="C58" s="573" t="s">
        <v>497</v>
      </c>
      <c r="D58" s="574"/>
      <c r="E58" s="573"/>
      <c r="F58" s="573"/>
      <c r="G58" s="573"/>
      <c r="H58" s="573"/>
    </row>
    <row r="59" spans="1:8" ht="30" customHeight="1" x14ac:dyDescent="0.3">
      <c r="A59" s="332" t="s">
        <v>447</v>
      </c>
      <c r="B59" s="344" t="str">
        <f>IF($B$5&lt;&gt;"PCs","",MEMORIA_RESULTADOS!$T$37)</f>
        <v/>
      </c>
      <c r="C59" s="573" t="s">
        <v>498</v>
      </c>
      <c r="D59" s="574"/>
      <c r="E59" s="573"/>
      <c r="F59" s="573"/>
      <c r="G59" s="573"/>
      <c r="H59" s="573"/>
    </row>
    <row r="60" spans="1:8" ht="36" customHeight="1" x14ac:dyDescent="0.3">
      <c r="A60" s="332" t="s">
        <v>448</v>
      </c>
      <c r="B60" s="344" t="str">
        <f>$D$22</f>
        <v/>
      </c>
      <c r="C60" s="573" t="s">
        <v>528</v>
      </c>
      <c r="D60" s="574"/>
      <c r="E60" s="573"/>
      <c r="F60" s="573"/>
      <c r="G60" s="573"/>
      <c r="H60" s="573"/>
    </row>
    <row r="61" spans="1:8" ht="30" customHeight="1" x14ac:dyDescent="0.3">
      <c r="A61" s="332" t="s">
        <v>529</v>
      </c>
      <c r="B61" s="344" t="str">
        <f>IF($B$5&lt;&gt;"PCs","",IFERROR(RETROATIVO_POTENCIAL_VTA,""))</f>
        <v/>
      </c>
      <c r="C61" s="573" t="s">
        <v>546</v>
      </c>
      <c r="D61" s="574"/>
      <c r="E61" s="573"/>
      <c r="F61" s="573"/>
      <c r="G61" s="573"/>
      <c r="H61" s="573"/>
    </row>
    <row r="62" spans="1:8" ht="30" customHeight="1" x14ac:dyDescent="0.3">
      <c r="A62" s="332" t="s">
        <v>530</v>
      </c>
      <c r="B62" s="344" t="str">
        <f>IF(OR($B$5&lt;&gt;"PCs",$D$22=""),"",ROUND(N($D$22)+N(RETROATIVO_POTENCIAL_VTA),2))</f>
        <v/>
      </c>
      <c r="C62" s="573" t="s">
        <v>531</v>
      </c>
      <c r="D62" s="574"/>
      <c r="E62" s="573"/>
      <c r="F62" s="573"/>
      <c r="G62" s="573"/>
      <c r="H62" s="573"/>
    </row>
    <row r="63" spans="1:8" ht="30" customHeight="1" x14ac:dyDescent="0.3">
      <c r="A63" s="332" t="s">
        <v>532</v>
      </c>
      <c r="B63" s="344" t="str">
        <f ca="1">$B$36</f>
        <v/>
      </c>
      <c r="C63" s="573" t="s">
        <v>499</v>
      </c>
      <c r="D63" s="574"/>
      <c r="E63" s="573"/>
      <c r="F63" s="573"/>
      <c r="G63" s="573"/>
      <c r="H63" s="573"/>
    </row>
    <row r="64" spans="1:8" ht="30" customHeight="1" x14ac:dyDescent="0.3">
      <c r="A64" s="332" t="s">
        <v>533</v>
      </c>
      <c r="B64" s="344" t="str">
        <f ca="1">$B$38</f>
        <v/>
      </c>
      <c r="C64" s="573" t="s">
        <v>500</v>
      </c>
      <c r="D64" s="574"/>
      <c r="E64" s="573"/>
      <c r="F64" s="573"/>
      <c r="G64" s="573"/>
      <c r="H64" s="573"/>
    </row>
    <row r="65" spans="1:8" ht="30" customHeight="1" x14ac:dyDescent="0.3">
      <c r="A65" s="332" t="s">
        <v>534</v>
      </c>
      <c r="B65" s="345" t="str">
        <f>IF(VTA_FINAL="","",VTA_FINAL)</f>
        <v/>
      </c>
      <c r="C65" s="573" t="s">
        <v>535</v>
      </c>
      <c r="D65" s="574"/>
      <c r="E65" s="573"/>
      <c r="F65" s="573"/>
      <c r="G65" s="573"/>
      <c r="H65" s="573"/>
    </row>
    <row r="66" spans="1:8" ht="30" customHeight="1" x14ac:dyDescent="0.3">
      <c r="A66" s="332" t="s">
        <v>536</v>
      </c>
      <c r="B66" s="344" t="str">
        <f ca="1">$B$13</f>
        <v/>
      </c>
      <c r="C66" s="573" t="s">
        <v>501</v>
      </c>
      <c r="D66" s="574"/>
      <c r="E66" s="573"/>
      <c r="F66" s="573"/>
      <c r="G66" s="573"/>
      <c r="H66" s="573"/>
    </row>
    <row r="67" spans="1:8" ht="30" customHeight="1" x14ac:dyDescent="0.3">
      <c r="A67" s="332" t="s">
        <v>537</v>
      </c>
      <c r="B67" s="373" t="str">
        <f ca="1">$B$3</f>
        <v>REVISE</v>
      </c>
      <c r="C67" s="573" t="s">
        <v>502</v>
      </c>
      <c r="D67" s="574"/>
      <c r="E67" s="573"/>
      <c r="F67" s="573"/>
      <c r="G67" s="573"/>
      <c r="H67" s="573"/>
    </row>
    <row r="68" spans="1:8" ht="14.5" x14ac:dyDescent="0.3">
      <c r="A68" s="588" t="s">
        <v>462</v>
      </c>
      <c r="B68" s="588"/>
      <c r="C68" s="588"/>
      <c r="D68" s="588"/>
      <c r="E68" s="588"/>
      <c r="F68" s="588"/>
      <c r="G68" s="588"/>
      <c r="H68" s="588"/>
    </row>
    <row r="69" spans="1:8" ht="34" customHeight="1" x14ac:dyDescent="0.3">
      <c r="A69" s="589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589"/>
      <c r="C69" s="589"/>
      <c r="D69" s="589"/>
      <c r="E69" s="589"/>
      <c r="F69" s="589"/>
      <c r="G69" s="589"/>
      <c r="H69" s="589"/>
    </row>
    <row r="70" spans="1:8" x14ac:dyDescent="0.3">
      <c r="A70" s="363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3"/>
      <c r="C70" s="363"/>
      <c r="D70" s="363"/>
      <c r="E70" s="363"/>
      <c r="F70" s="363"/>
      <c r="G70" s="363"/>
      <c r="H70" s="363"/>
    </row>
    <row r="71" spans="1:8" ht="14.5" x14ac:dyDescent="0.3">
      <c r="A71" s="491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491"/>
      <c r="C71" s="491"/>
      <c r="D71" s="491"/>
      <c r="E71" s="491"/>
      <c r="F71" s="491"/>
      <c r="G71" s="491"/>
      <c r="H71" s="491"/>
    </row>
    <row r="72" spans="1:8" x14ac:dyDescent="0.3">
      <c r="A72" s="333" t="s">
        <v>291</v>
      </c>
      <c r="B72" s="333" t="s">
        <v>503</v>
      </c>
      <c r="C72" s="333" t="s">
        <v>504</v>
      </c>
      <c r="D72" s="333" t="s">
        <v>489</v>
      </c>
      <c r="E72" s="333" t="s">
        <v>505</v>
      </c>
    </row>
    <row r="73" spans="1:8" x14ac:dyDescent="0.3">
      <c r="A73" s="334" t="s">
        <v>21</v>
      </c>
      <c r="B73" s="344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4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4" t="str">
        <f>IF(MEMORIA_RESULTADOS!$B$4&lt;&gt;"Financeiro","Nao aplicavel ao metodo selecionado",IF(OR(B73="",C73="",NOT(ISNUMBER(C73))),"",ROUND(B73-C73,2)))</f>
        <v>Nao aplicavel ao metodo selecionado</v>
      </c>
      <c r="E73" s="335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4" t="s">
        <v>22</v>
      </c>
      <c r="B74" s="344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4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4" t="str">
        <f>IF(MEMORIA_RESULTADOS!$B$4&lt;&gt;"Financeiro","Nao aplicavel ao metodo selecionado",IF(OR(B74="",C74="",NOT(ISNUMBER(C74))),"",ROUND(B74-C74,2)))</f>
        <v>Nao aplicavel ao metodo selecionado</v>
      </c>
      <c r="E74" s="335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4" t="s">
        <v>23</v>
      </c>
      <c r="B75" s="344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4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4" t="str">
        <f>IF(MEMORIA_RESULTADOS!$B$4&lt;&gt;"Financeiro","Nao aplicavel ao metodo selecionado",IF(OR(B75="",C75="",NOT(ISNUMBER(C75))),"",ROUND(B75-C75,2)))</f>
        <v>Nao aplicavel ao metodo selecionado</v>
      </c>
      <c r="E75" s="335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4" t="s">
        <v>24</v>
      </c>
      <c r="B76" s="344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4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4" t="str">
        <f>IF(MEMORIA_RESULTADOS!$B$4&lt;&gt;"Financeiro","Nao aplicavel ao metodo selecionado",IF(OR(B76="",C76="",NOT(ISNUMBER(C76))),"",ROUND(B76-C76,2)))</f>
        <v>Nao aplicavel ao metodo selecionado</v>
      </c>
      <c r="E76" s="335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0" t="s">
        <v>25</v>
      </c>
      <c r="B77" s="361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1" t="str">
        <f>IF(MEMORIA_RESULTADOS!$B$4&lt;&gt;"Financeiro","Nao aplicavel ao metodo selecionado","Sem historico quantitativo suficiente")</f>
        <v>Nao aplicavel ao metodo selecionado</v>
      </c>
      <c r="D77" s="361" t="str">
        <f>IF(MEMORIA_RESULTADOS!$B$4&lt;&gt;"Financeiro","Nao aplicavel ao metodo selecionado",IF(OR(B77="",C77="",NOT(ISNUMBER(C77))),"",ROUND(B77-C77,2)))</f>
        <v>Nao aplicavel ao metodo selecionado</v>
      </c>
      <c r="E77" s="362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59"/>
      <c r="G77" s="359"/>
      <c r="H77" s="359"/>
    </row>
    <row r="78" spans="1:8" x14ac:dyDescent="0.3">
      <c r="A78" s="364"/>
      <c r="B78" s="359"/>
      <c r="C78" s="359"/>
      <c r="D78" s="359"/>
      <c r="E78" s="359"/>
      <c r="F78" s="359"/>
      <c r="G78" s="359"/>
      <c r="H78" s="359"/>
    </row>
    <row r="79" spans="1:8" ht="15.5" x14ac:dyDescent="0.3">
      <c r="A79" s="585" t="s">
        <v>506</v>
      </c>
      <c r="B79" s="585"/>
      <c r="C79" s="585"/>
      <c r="D79" s="585"/>
      <c r="E79" s="585"/>
      <c r="F79" s="585"/>
      <c r="G79" s="585"/>
      <c r="H79" s="585"/>
    </row>
    <row r="80" spans="1:8" ht="28" customHeight="1" x14ac:dyDescent="0.3">
      <c r="A80" s="586" t="str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  <v>O VTA reúne a execução já realizada, os ajustes contratuais aplicáveis e o saldo que ainda falta executar, todos nos valores correspondentes.</v>
      </c>
      <c r="B80" s="586"/>
      <c r="C80" s="586"/>
      <c r="D80" s="586"/>
      <c r="E80" s="586"/>
      <c r="F80" s="586"/>
      <c r="G80" s="586"/>
      <c r="H80" s="586"/>
    </row>
    <row r="81" spans="1:8" ht="28" customHeight="1" x14ac:dyDescent="0.3">
      <c r="A81" s="587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587"/>
      <c r="C81" s="587"/>
      <c r="D81" s="587"/>
      <c r="E81" s="587"/>
      <c r="F81" s="587"/>
      <c r="G81" s="587"/>
      <c r="H81" s="587"/>
    </row>
    <row r="82" spans="1:8" x14ac:dyDescent="0.3">
      <c r="A82" s="336" t="s">
        <v>465</v>
      </c>
      <c r="B82" s="337" t="s">
        <v>427</v>
      </c>
      <c r="C82" s="336" t="s">
        <v>466</v>
      </c>
    </row>
    <row r="83" spans="1:8" ht="24" x14ac:dyDescent="0.3">
      <c r="A83" s="338" t="str">
        <f>IF($B$5="PCs","Execução realizada — valor atualizado","Executado apurado")</f>
        <v>Executado apurado</v>
      </c>
      <c r="B83" s="344" t="str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  <v/>
      </c>
      <c r="C83" s="339" t="str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  <v>Selecione o metodo em CONTROLE!B1.</v>
      </c>
    </row>
    <row r="84" spans="1:8" x14ac:dyDescent="0.3">
      <c r="A84" s="338" t="str">
        <f>IF(MEMORIA_RESULTADOS!$B$4="PCs","(+) Retroativo potencial — POTENCIAL","(+) Ajustes ainda devidos")</f>
        <v>(+) Ajustes ainda devidos</v>
      </c>
      <c r="B84" s="344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39" t="str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  <v/>
      </c>
    </row>
    <row r="85" spans="1:8" ht="24" x14ac:dyDescent="0.3">
      <c r="A85" s="338" t="str">
        <f>IF($B$5="PCs","Saldo remanescente final atualizado","(+) Remanescente atualizado")</f>
        <v>(+) Remanescente atualizado</v>
      </c>
      <c r="B85" s="344" t="str">
        <f ca="1">IF($B$5="PCs",IF(MEMORIA_RESULTADOS!$T$25="CALCULO MANUAL REQUERIDO","",IF(MEMORIA_RESULTADOS!$W$49=1,SUM(INDIRECT("CICLO_EM_EXECUCAO!G13:G211")),MEMORIA_RESULTADOS!$T$23)),IF(MEMORIA_RESULTADOS!$D$35="","",MEMORIA_RESULTADOS!$D$35))</f>
        <v/>
      </c>
      <c r="C85" s="339" t="str">
        <f>IF($B$5="PCs","Parcela final utilizada no VTA; não somar os saldos históricos.","Saldo que ainda falta executar, já atualizado.")</f>
        <v>Saldo que ainda falta executar, já atualizado.</v>
      </c>
    </row>
    <row r="86" spans="1:8" ht="144.5" customHeight="1" x14ac:dyDescent="0.35">
      <c r="A86" s="341" t="str">
        <f>IF($B$5="PCs","VALOR TOTAL ATUALIZADO DO CONTRATO","(=) VTA Oficial")</f>
        <v>(=) VTA Oficial</v>
      </c>
      <c r="B86" s="346" t="str">
        <f>IF(VTA_FINAL="","",VTA_FINAL)</f>
        <v/>
      </c>
      <c r="C86" s="340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3" t="s">
        <v>507</v>
      </c>
      <c r="B87" s="347" t="str">
        <f ca="1">IF(OR($B$83="",$B$85="",$B$86=""),"",ROUND($B$86-($B$83+N($B$84)+$B$85),2))</f>
        <v/>
      </c>
      <c r="C87" s="342" t="str">
        <f ca="1"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1">
    <mergeCell ref="A79:H79"/>
    <mergeCell ref="A80:H80"/>
    <mergeCell ref="A81:H81"/>
    <mergeCell ref="C66:H66"/>
    <mergeCell ref="A68:H68"/>
    <mergeCell ref="C67:H67"/>
    <mergeCell ref="A69:H69"/>
    <mergeCell ref="A71:H71"/>
    <mergeCell ref="C61:H61"/>
    <mergeCell ref="C62:H62"/>
    <mergeCell ref="C63:H63"/>
    <mergeCell ref="C64:H64"/>
    <mergeCell ref="C65:H65"/>
    <mergeCell ref="C56:H56"/>
    <mergeCell ref="C57:H57"/>
    <mergeCell ref="C58:H58"/>
    <mergeCell ref="C59:H59"/>
    <mergeCell ref="C60:H60"/>
    <mergeCell ref="A9:H9"/>
    <mergeCell ref="F10:G10"/>
    <mergeCell ref="A53:H53"/>
    <mergeCell ref="C54:H54"/>
    <mergeCell ref="C55:H55"/>
    <mergeCell ref="F13:G13"/>
    <mergeCell ref="C12:E12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A1:F1"/>
    <mergeCell ref="G1:H1"/>
    <mergeCell ref="A2:F2"/>
    <mergeCell ref="G2:H2"/>
    <mergeCell ref="B7:H7"/>
    <mergeCell ref="G3:H3"/>
    <mergeCell ref="D5:E5"/>
    <mergeCell ref="C37:D37"/>
    <mergeCell ref="C38:D38"/>
    <mergeCell ref="C34:D34"/>
    <mergeCell ref="E34:H34"/>
    <mergeCell ref="E35:H38"/>
    <mergeCell ref="E22:F22"/>
    <mergeCell ref="G22:H22"/>
    <mergeCell ref="E16:H16"/>
    <mergeCell ref="E21:H21"/>
    <mergeCell ref="C36:D36"/>
  </mergeCells>
  <conditionalFormatting sqref="A61:B61">
    <cfRule type="expression" dxfId="71" priority="60" stopIfTrue="1">
      <formula>$B$61&lt;&gt;""</formula>
    </cfRule>
  </conditionalFormatting>
  <conditionalFormatting sqref="A8:C8">
    <cfRule type="expression" dxfId="70" priority="58" stopIfTrue="1">
      <formula>$C$8&lt;&gt;""</formula>
    </cfRule>
  </conditionalFormatting>
  <conditionalFormatting sqref="A84:C84">
    <cfRule type="expression" dxfId="69" priority="56" stopIfTrue="1">
      <formula>(METODO_RETROATIVO="PCs")*(N(RETROATIVO_POTENCIAL_APURADO)&lt;&gt;0)</formula>
    </cfRule>
  </conditionalFormatting>
  <conditionalFormatting sqref="A7:H7">
    <cfRule type="expression" dxfId="67" priority="53" stopIfTrue="1">
      <formula>$J$5=0</formula>
    </cfRule>
    <cfRule type="expression" dxfId="66" priority="54" stopIfTrue="1">
      <formula>$J$5&gt;0</formula>
    </cfRule>
  </conditionalFormatting>
  <conditionalFormatting sqref="B38">
    <cfRule type="cellIs" dxfId="65" priority="28" stopIfTrue="1" operator="lessThan">
      <formula>0</formula>
    </cfRule>
  </conditionalFormatting>
  <conditionalFormatting sqref="C4">
    <cfRule type="cellIs" dxfId="64" priority="44" stopIfTrue="1" operator="equal">
      <formula>"REVISE"</formula>
    </cfRule>
    <cfRule type="cellIs" dxfId="63" priority="46" stopIfTrue="1" operator="equal">
      <formula>"VALIDADO"</formula>
    </cfRule>
    <cfRule type="cellIs" dxfId="62" priority="45" stopIfTrue="1" operator="equal">
      <formula>"ESTIMADO"</formula>
    </cfRule>
  </conditionalFormatting>
  <conditionalFormatting sqref="C86">
    <cfRule type="expression" dxfId="61" priority="57" stopIfTrue="1">
      <formula>(METODO_RETROATIVO="PCs")*(N(RETROATIVO_POTENCIAL_APURADO)&lt;&gt;0)</formula>
    </cfRule>
  </conditionalFormatting>
  <conditionalFormatting sqref="D4:D5 D6:E6">
    <cfRule type="expression" dxfId="60" priority="40" stopIfTrue="1">
      <formula>$H$14="VALIDADO"</formula>
    </cfRule>
  </conditionalFormatting>
  <conditionalFormatting sqref="D8:E8">
    <cfRule type="expression" dxfId="59" priority="59" stopIfTrue="1">
      <formula>$E$8&lt;&gt;""</formula>
    </cfRule>
  </conditionalFormatting>
  <conditionalFormatting sqref="E4">
    <cfRule type="cellIs" dxfId="58" priority="49" stopIfTrue="1" operator="equal">
      <formula>"VALIDADO"</formula>
    </cfRule>
    <cfRule type="cellIs" dxfId="57" priority="48" stopIfTrue="1" operator="equal">
      <formula>"ESTIMADO"</formula>
    </cfRule>
    <cfRule type="cellIs" dxfId="56" priority="47" stopIfTrue="1" operator="equal">
      <formula>"REVISE"</formula>
    </cfRule>
  </conditionalFormatting>
  <conditionalFormatting sqref="E22:H22">
    <cfRule type="expression" dxfId="55" priority="55" stopIfTrue="1">
      <formula>$G$22&lt;&gt;""</formula>
    </cfRule>
  </conditionalFormatting>
  <conditionalFormatting sqref="F4:G4 F5:H6">
    <cfRule type="expression" dxfId="54" priority="41" stopIfTrue="1">
      <formula>$H$33="VALIDADO"</formula>
    </cfRule>
    <cfRule type="expression" dxfId="53" priority="42" stopIfTrue="1">
      <formula>$H$33="REVISE"</formula>
    </cfRule>
    <cfRule type="expression" dxfId="52" priority="43" stopIfTrue="1">
      <formula>$H$33="ESTIMADO"</formula>
    </cfRule>
  </conditionalFormatting>
  <conditionalFormatting sqref="G1">
    <cfRule type="cellIs" dxfId="51" priority="31" stopIfTrue="1" operator="equal">
      <formula>"REVISE"</formula>
    </cfRule>
    <cfRule type="cellIs" dxfId="50" priority="32" stopIfTrue="1" operator="equal">
      <formula>"ESTIMADO"</formula>
    </cfRule>
    <cfRule type="cellIs" dxfId="49" priority="33" stopIfTrue="1" operator="equal">
      <formula>"VALIDADO"</formula>
    </cfRule>
  </conditionalFormatting>
  <conditionalFormatting sqref="H4">
    <cfRule type="cellIs" dxfId="48" priority="51" stopIfTrue="1" operator="equal">
      <formula>"ESTIMADO"</formula>
    </cfRule>
    <cfRule type="cellIs" dxfId="47" priority="50" stopIfTrue="1" operator="equal">
      <formula>"REVISE"</formula>
    </cfRule>
    <cfRule type="cellIs" dxfId="46" priority="52" stopIfTrue="1" operator="equal">
      <formula>"VALIDADO"</formula>
    </cfRule>
  </conditionalFormatting>
  <conditionalFormatting sqref="H17:H20">
    <cfRule type="expression" dxfId="45" priority="61" stopIfTrue="1">
      <formula>$H17&lt;&gt;""</formula>
    </cfRule>
  </conditionalFormatting>
  <conditionalFormatting sqref="H24">
    <cfRule type="cellIs" dxfId="44" priority="12" stopIfTrue="1" operator="equal">
      <formula>"VALIDADO"</formula>
    </cfRule>
    <cfRule type="cellIs" dxfId="43" priority="11" stopIfTrue="1" operator="equal">
      <formula>"ESTIMADO"</formula>
    </cfRule>
    <cfRule type="cellIs" dxfId="42" priority="10" stopIfTrue="1" operator="equal">
      <formula>"REVISE"</formula>
    </cfRule>
  </conditionalFormatting>
  <conditionalFormatting sqref="H33">
    <cfRule type="cellIs" dxfId="41" priority="15" stopIfTrue="1" operator="equal">
      <formula>"VALIDADO"</formula>
    </cfRule>
    <cfRule type="cellIs" dxfId="40" priority="14" stopIfTrue="1" operator="equal">
      <formula>"ESTIMADO"</formula>
    </cfRule>
    <cfRule type="cellIs" dxfId="39" priority="13" stopIfTrue="1" operator="equal">
      <formula>"REVISE"</formula>
    </cfRule>
  </conditionalFormatting>
  <conditionalFormatting sqref="H43:H50">
    <cfRule type="cellIs" dxfId="38" priority="30" stopIfTrue="1" operator="equal">
      <formula>"VALIDADO"</formula>
    </cfRule>
    <cfRule type="cellIs" dxfId="37" priority="29" stopIfTrue="1" operator="equal">
      <formula>"REVISE"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E939B-AFFC-42AA-89F9-22CBF974AF28}">
  <sheetPr>
    <tabColor rgb="FF8A1538"/>
    <pageSetUpPr fitToPage="1"/>
  </sheetPr>
  <dimension ref="B1:G73"/>
  <sheetViews>
    <sheetView showGridLines="0" zoomScaleNormal="100" workbookViewId="0">
      <selection activeCell="B9" sqref="B9"/>
    </sheetView>
  </sheetViews>
  <sheetFormatPr defaultRowHeight="13" x14ac:dyDescent="0.35"/>
  <cols>
    <col min="1" max="1" width="2.6328125" style="395" customWidth="1"/>
    <col min="2" max="2" width="34.6328125" style="395" customWidth="1"/>
    <col min="3" max="6" width="26.6328125" style="395" customWidth="1"/>
    <col min="7" max="7" width="38.6328125" style="395" customWidth="1"/>
    <col min="8" max="8" width="2.6328125" style="395" customWidth="1"/>
    <col min="9" max="16384" width="8.7265625" style="395"/>
  </cols>
  <sheetData>
    <row r="1" spans="2:7" ht="6" customHeight="1" x14ac:dyDescent="0.35"/>
    <row r="2" spans="2:7" ht="30" customHeight="1" x14ac:dyDescent="0.35">
      <c r="B2" s="397" t="s">
        <v>697</v>
      </c>
      <c r="C2" s="396"/>
      <c r="D2" s="396"/>
      <c r="E2" s="396"/>
      <c r="F2" s="396"/>
      <c r="G2" s="396"/>
    </row>
    <row r="3" spans="2:7" ht="18" customHeight="1" x14ac:dyDescent="0.35">
      <c r="B3" s="398" t="s">
        <v>741</v>
      </c>
      <c r="C3" s="396"/>
      <c r="D3" s="396"/>
      <c r="E3" s="396"/>
      <c r="F3" s="396"/>
      <c r="G3" s="396"/>
    </row>
    <row r="4" spans="2:7" ht="8" customHeight="1" x14ac:dyDescent="0.35"/>
    <row r="5" spans="2:7" ht="16" customHeight="1" x14ac:dyDescent="0.3">
      <c r="B5" s="403" t="s">
        <v>698</v>
      </c>
      <c r="C5" s="399" t="s">
        <v>699</v>
      </c>
      <c r="D5" s="399" t="s">
        <v>700</v>
      </c>
      <c r="E5" s="399" t="s">
        <v>701</v>
      </c>
      <c r="F5" s="399" t="s">
        <v>702</v>
      </c>
      <c r="G5" s="405" t="s">
        <v>703</v>
      </c>
    </row>
    <row r="6" spans="2:7" ht="22" customHeight="1" x14ac:dyDescent="0.35">
      <c r="B6" s="404" t="str">
        <f>IF(METODO_RETROATIVO="Financeiro",MEMORIA_RESULTADOS!$AG$3,IF(METODO_RETROATIVO="PCs",MEMORIA_RESULTADOS!$AG$4,IF(METODO_RETROATIVO="Itens",MEMORIA_RESULTADOS!$AG$5,MEMORIA_RESULTADOS!$AG$6)))</f>
        <v>Método não selecionado</v>
      </c>
      <c r="C6" s="400" t="str">
        <f>IF(CONTROLE!$B$2="",MEMORIA_RESULTADOS!$AG$2,UPPER(CONTROLE!$B$2))</f>
        <v>—</v>
      </c>
      <c r="D6" s="401" t="str">
        <f>IF(ISNUMBER(CONTROLE!$B$3),CONTROLE!$B$3,MEMORIA_RESULTADOS!$AG$2)</f>
        <v>—</v>
      </c>
      <c r="E6" s="400" t="str">
        <f>IF(CONTROLE!$B$7="",MEMORIA_RESULTADOS!$AG$2,CONTROLE!$B$7)</f>
        <v>—</v>
      </c>
      <c r="F6" s="402" t="str">
        <f>IF(ISNUMBER(RESULTADOS_DETALHE!$D$6),RESULTADOS_DETALHE!$D$6,MEMORIA_RESULTADOS!$AG$2)</f>
        <v>—</v>
      </c>
      <c r="G6" s="406" t="str">
        <f ca="1">IF(STATUS_RESULTADOS="",MEMORIA_RESULTADOS!$AG$2,STATUS_RESULTADOS)</f>
        <v>REVISE</v>
      </c>
    </row>
    <row r="7" spans="2:7" ht="10" customHeight="1" thickBot="1" x14ac:dyDescent="0.4"/>
    <row r="8" spans="2:7" ht="18" customHeight="1" thickTop="1" x14ac:dyDescent="0.35">
      <c r="B8" s="407" t="s">
        <v>704</v>
      </c>
      <c r="C8" s="409" t="s">
        <v>473</v>
      </c>
      <c r="D8" s="411" t="s">
        <v>474</v>
      </c>
      <c r="E8" s="413" t="s">
        <v>705</v>
      </c>
      <c r="F8" s="415" t="s">
        <v>702</v>
      </c>
      <c r="G8" s="417" t="s">
        <v>706</v>
      </c>
    </row>
    <row r="9" spans="2:7" ht="32" customHeight="1" x14ac:dyDescent="0.35">
      <c r="B9" s="419" t="str">
        <f>IF(ISNUMBER(VTA_FINAL),VTA_FINAL,MEMORIA_RESULTADOS!$AG$2)</f>
        <v>—</v>
      </c>
      <c r="C9" s="420" t="str">
        <f>IF(ISNUMBER(RESULTADOS_DETALHE!$D$22),RESULTADOS_DETALHE!$D$22,MEMORIA_RESULTADOS!$AG$2)</f>
        <v>—</v>
      </c>
      <c r="D9" s="421" t="str">
        <f>IF(NOT(METODO_RETROATIVO="PCs"),MEMORIA_RESULTADOS!$AG$2,IF(ISNUMBER(RETROATIVO_POTENCIAL_VTA),RETROATIVO_POTENCIAL_VTA,MEMORIA_RESULTADOS!$AG$2))</f>
        <v>—</v>
      </c>
      <c r="E9" s="422" t="str">
        <f ca="1">IF(ISNUMBER(SALDO_REMANESCENTE_ATUAL),SALDO_REMANESCENTE_ATUAL,MEMORIA_RESULTADOS!$AG$2)</f>
        <v>—</v>
      </c>
      <c r="F9" s="423" t="str">
        <f>F6</f>
        <v>—</v>
      </c>
      <c r="G9" s="424" t="str">
        <f ca="1">RESULTADOS_DETALHE!$A$7</f>
        <v>PENDÊNCIAS PARA CONCLUSÃO:</v>
      </c>
    </row>
    <row r="10" spans="2:7" ht="44" customHeight="1" x14ac:dyDescent="0.35">
      <c r="B10" s="408" t="str">
        <f>IF(AND(METODO_RETROATIVO="PCs",N(RETROATIVO_POTENCIAL_VTA)&lt;&gt;0),MEMORIA_RESULTADOS!$AG$8,MEMORIA_RESULTADOS!$AG$7)</f>
        <v>Valor Total Atualizado do contrato pelo método selecionado.</v>
      </c>
      <c r="C10" s="410" t="str">
        <f>MEMORIA_RESULTADOS!$AG$9</f>
        <v>Diferença reconhecida a pagar à contratada.</v>
      </c>
      <c r="D10" s="412" t="str">
        <f>IF(METODO_RETROATIVO="PCs",MEMORIA_RESULTADOS!$AG$10,MEMORIA_RESULTADOS!$AG$11)</f>
        <v>Não se aplica ao método selecionado.</v>
      </c>
      <c r="E10" s="414" t="str">
        <f>MEMORIA_RESULTADOS!$AG$12</f>
        <v>Saldo atualizado que ainda falta executar.</v>
      </c>
      <c r="F10" s="416" t="str">
        <f>IF(ISNUMBER(F9),MEMORIA_RESULTADOS!$AG$13,MEMORIA_RESULTADOS!$AG$14)</f>
        <v>Aguardando percentuais completos dos ciclos.</v>
      </c>
      <c r="G10" s="418" t="str">
        <f ca="1">RESULTADOS_DETALHE!$B$7</f>
        <v xml:space="preserve">Informar / concluir: composição do VTA; retroativo por ciclo; remanescente por ciclo; situação do ciclo atual; </v>
      </c>
    </row>
    <row r="11" spans="2:7" ht="12" customHeight="1" x14ac:dyDescent="0.35"/>
    <row r="12" spans="2:7" ht="24" customHeight="1" x14ac:dyDescent="0.35">
      <c r="B12" s="425" t="s">
        <v>707</v>
      </c>
      <c r="C12" s="426"/>
      <c r="D12" s="426"/>
      <c r="E12" s="426"/>
      <c r="F12" s="426"/>
      <c r="G12" s="426"/>
    </row>
    <row r="13" spans="2:7" ht="22" customHeight="1" x14ac:dyDescent="0.35">
      <c r="B13" s="467" t="s">
        <v>465</v>
      </c>
      <c r="C13" s="468" t="s">
        <v>427</v>
      </c>
      <c r="D13" s="597" t="s">
        <v>298</v>
      </c>
      <c r="E13" s="597"/>
      <c r="F13" s="597"/>
      <c r="G13" s="597"/>
    </row>
    <row r="14" spans="2:7" ht="30" customHeight="1" x14ac:dyDescent="0.35">
      <c r="B14" s="427" t="str">
        <f>RESULTADOS_DETALHE!$A$83</f>
        <v>Executado apurado</v>
      </c>
      <c r="C14" s="431" t="str">
        <f>IF(RESULTADOS_DETALHE!$B$83="",MEMORIA_RESULTADOS!$AG$2,RESULTADOS_DETALHE!$B$83)</f>
        <v>—</v>
      </c>
      <c r="D14" s="603" t="str">
        <f>IF(METODO_RETROATIVO="PCs",MEMORIA_RESULTADOS!$AG$24,IF(METODO_RETROATIVO="Itens",MEMORIA_RESULTADOS!$AG$26,MEMORIA_RESULTADOS!$AG$25))</f>
        <v>Valores efetivamente pagos, conforme a aba financeiro.</v>
      </c>
      <c r="E14" s="603"/>
      <c r="F14" s="603"/>
      <c r="G14" s="603"/>
    </row>
    <row r="15" spans="2:7" ht="30" customHeight="1" x14ac:dyDescent="0.35">
      <c r="B15" s="428" t="str">
        <f>RESULTADOS_DETALHE!$A$84</f>
        <v>(+) Ajustes ainda devidos</v>
      </c>
      <c r="C15" s="432" t="str">
        <f>IF(RESULTADOS_DETALHE!$B$84="",MEMORIA_RESULTADOS!$AG$2,RESULTADOS_DETALHE!$B$84)</f>
        <v>—</v>
      </c>
      <c r="D15" s="596" t="str">
        <f>IF(METODO_RETROATIVO="PCs",MEMORIA_RESULTADOS!$AG$27,IF(METODO_RETROATIVO="Itens",MEMORIA_RESULTADOS!$AG$29,MEMORIA_RESULTADOS!$AG$28))</f>
        <v>Reajuste já reconhecido e ainda não contido no valor pago.</v>
      </c>
      <c r="E15" s="596"/>
      <c r="F15" s="596"/>
      <c r="G15" s="596"/>
    </row>
    <row r="16" spans="2:7" ht="30" customHeight="1" thickBot="1" x14ac:dyDescent="0.4">
      <c r="B16" s="428" t="str">
        <f>RESULTADOS_DETALHE!$A$85</f>
        <v>(+) Remanescente atualizado</v>
      </c>
      <c r="C16" s="432" t="str">
        <f ca="1">IF(RESULTADOS_DETALHE!$B$85="",MEMORIA_RESULTADOS!$AG$2,RESULTADOS_DETALHE!$B$85)</f>
        <v>—</v>
      </c>
      <c r="D16" s="600" t="str">
        <f>IF(METODO_RETROATIVO="PCs",MEMORIA_RESULTADOS!$AG$30,MEMORIA_RESULTADOS!$AG$31)</f>
        <v>Saldo que ainda falta executar, já atualizado.</v>
      </c>
      <c r="E16" s="600"/>
      <c r="F16" s="600"/>
      <c r="G16" s="600"/>
    </row>
    <row r="17" spans="2:7" ht="30" customHeight="1" x14ac:dyDescent="0.35">
      <c r="B17" s="434" t="str">
        <f>RESULTADOS_DETALHE!$A$86</f>
        <v>(=) VTA Oficial</v>
      </c>
      <c r="C17" s="435" t="str">
        <f>IF(RESULTADOS_DETALHE!$B$86="",MEMORIA_RESULTADOS!$AG$2,RESULTADOS_DETALHE!$B$86)</f>
        <v>—</v>
      </c>
      <c r="D17" s="604" t="str">
        <f>MEMORIA_RESULTADOS!$AG$32</f>
        <v>Resultado final do método de apuração selecionado.</v>
      </c>
      <c r="E17" s="604"/>
      <c r="F17" s="604"/>
      <c r="G17" s="604"/>
    </row>
    <row r="18" spans="2:7" ht="30" customHeight="1" x14ac:dyDescent="0.35">
      <c r="B18" s="469" t="str">
        <f>MEMORIA_RESULTADOS!$AG$33</f>
        <v>VTA sem a parcela potencial (referência)</v>
      </c>
      <c r="C18" s="470" t="str">
        <f>IF(NOT(METODO_RETROATIVO="PCs"),MEMORIA_RESULTADOS!$AG$2,IF(ISNUMBER(VTA_SEM_POTENCIAL),VTA_SEM_POTENCIAL,MEMORIA_RESULTADOS!$AG$2))</f>
        <v>—</v>
      </c>
      <c r="D18" s="602" t="str">
        <f>IF(METODO_RETROATIVO="PCs",MEMORIA_RESULTADOS!$AG$34,MEMORIA_RESULTADOS!$AG$40)</f>
        <v>Não se aplica ao método selecionado.</v>
      </c>
      <c r="E18" s="602"/>
      <c r="F18" s="602"/>
      <c r="G18" s="602"/>
    </row>
    <row r="19" spans="2:7" ht="30" customHeight="1" x14ac:dyDescent="0.35">
      <c r="B19" s="429" t="str">
        <f>MEMORIA_RESULTADOS!$AG$35</f>
        <v>Parcela potencial negativa apurada</v>
      </c>
      <c r="C19" s="432" t="str">
        <f>IF(NOT(METODO_RETROATIVO="PCs"),MEMORIA_RESULTADOS!$AG$2,IF(N(RETROATIVO_POTENCIAL_NEGATIVO)&lt;0,RETROATIVO_POTENCIAL_NEGATIVO,0))</f>
        <v>—</v>
      </c>
      <c r="D19" s="596" t="str">
        <f>IF(NOT(METODO_RETROATIVO="PCs"),MEMORIA_RESULTADOS!$AG$40,IF(N(RETROATIVO_POTENCIAL_NEGATIVO)&lt;0,MEMORIA_RESULTADOS!$AG$36,MEMORIA_RESULTADOS!$AG$37))</f>
        <v>Não se aplica ao método selecionado.</v>
      </c>
      <c r="E19" s="596"/>
      <c r="F19" s="596"/>
      <c r="G19" s="596"/>
    </row>
    <row r="20" spans="2:7" ht="30" customHeight="1" x14ac:dyDescent="0.35">
      <c r="B20" s="430" t="str">
        <f>MEMORIA_RESULTADOS!$AG$38</f>
        <v>Conferência da formação (deve ser R$ 0,00)</v>
      </c>
      <c r="C20" s="433" t="str">
        <f ca="1">IF(CONFERENCIA_FORMACAO_VTA="",MEMORIA_RESULTADOS!$AG$2,CONFERENCIA_FORMACAO_VTA)</f>
        <v>—</v>
      </c>
      <c r="D20" s="596" t="str">
        <f ca="1">IF(RESULTADOS_DETALHE!$C$87="",MEMORIA_RESULTADOS!$AG$39,RESULTADOS_DETALHE!$C$87)</f>
        <v>Aguardando base para conferir.</v>
      </c>
      <c r="E20" s="596"/>
      <c r="F20" s="596"/>
      <c r="G20" s="596"/>
    </row>
    <row r="21" spans="2:7" ht="12" customHeight="1" x14ac:dyDescent="0.35"/>
    <row r="22" spans="2:7" ht="24" customHeight="1" x14ac:dyDescent="0.35">
      <c r="B22" s="425" t="s">
        <v>708</v>
      </c>
      <c r="C22" s="426"/>
      <c r="D22" s="426"/>
      <c r="E22" s="426"/>
      <c r="F22" s="426"/>
      <c r="G22" s="426"/>
    </row>
    <row r="23" spans="2:7" ht="22" customHeight="1" x14ac:dyDescent="0.35">
      <c r="B23" s="467" t="s">
        <v>709</v>
      </c>
      <c r="C23" s="471" t="s">
        <v>441</v>
      </c>
      <c r="D23" s="597" t="s">
        <v>710</v>
      </c>
      <c r="E23" s="597"/>
      <c r="F23" s="597"/>
      <c r="G23" s="597"/>
    </row>
    <row r="24" spans="2:7" ht="30" customHeight="1" x14ac:dyDescent="0.35">
      <c r="B24" s="436" t="s">
        <v>711</v>
      </c>
      <c r="C24" s="437" t="str">
        <f>IF(RESULTADOS_DETALHE!$H$8="",MEMORIA_RESULTADOS!$AG$2,RESULTADOS_DETALHE!$H$8)</f>
        <v>REVISE</v>
      </c>
      <c r="D24" s="598" t="s">
        <v>712</v>
      </c>
      <c r="E24" s="598"/>
      <c r="F24" s="598"/>
      <c r="G24" s="598"/>
    </row>
    <row r="25" spans="2:7" ht="30" customHeight="1" x14ac:dyDescent="0.35">
      <c r="B25" s="429" t="s">
        <v>713</v>
      </c>
      <c r="C25" s="438" t="str">
        <f>IF(RESULTADOS_DETALHE!$H$14="",MEMORIA_RESULTADOS!$AG$2,RESULTADOS_DETALHE!$H$14)</f>
        <v>REVISE</v>
      </c>
      <c r="D25" s="599" t="s">
        <v>714</v>
      </c>
      <c r="E25" s="599"/>
      <c r="F25" s="599"/>
      <c r="G25" s="599"/>
    </row>
    <row r="26" spans="2:7" ht="30" customHeight="1" x14ac:dyDescent="0.35">
      <c r="B26" s="429" t="s">
        <v>715</v>
      </c>
      <c r="C26" s="438" t="str">
        <f>IF(RESULTADOS_DETALHE!$H$24="",MEMORIA_RESULTADOS!$AG$2,RESULTADOS_DETALHE!$H$24)</f>
        <v>REVISE</v>
      </c>
      <c r="D26" s="599" t="s">
        <v>716</v>
      </c>
      <c r="E26" s="599"/>
      <c r="F26" s="599"/>
      <c r="G26" s="599"/>
    </row>
    <row r="27" spans="2:7" ht="30" customHeight="1" x14ac:dyDescent="0.35">
      <c r="B27" s="429" t="s">
        <v>430</v>
      </c>
      <c r="C27" s="438" t="str">
        <f ca="1">IF(RESULTADOS_DETALHE!$H$33="",MEMORIA_RESULTADOS!$AG$2,RESULTADOS_DETALHE!$H$33)</f>
        <v>REVISE</v>
      </c>
      <c r="D27" s="599" t="s">
        <v>717</v>
      </c>
      <c r="E27" s="599"/>
      <c r="F27" s="599"/>
      <c r="G27" s="599"/>
    </row>
    <row r="28" spans="2:7" ht="30" customHeight="1" x14ac:dyDescent="0.35">
      <c r="B28" s="429" t="s">
        <v>718</v>
      </c>
      <c r="C28" s="440" t="str">
        <f ca="1">IF(ISNUMBER(RESULTADOS_DETALHE!$B$35),RESULTADOS_DETALHE!$B$35,MEMORIA_RESULTADOS!$AG$2)</f>
        <v>—</v>
      </c>
      <c r="D28" s="599" t="s">
        <v>719</v>
      </c>
      <c r="E28" s="599"/>
      <c r="F28" s="599"/>
      <c r="G28" s="599"/>
    </row>
    <row r="29" spans="2:7" ht="30" customHeight="1" x14ac:dyDescent="0.35">
      <c r="B29" s="429" t="s">
        <v>720</v>
      </c>
      <c r="C29" s="438" t="str">
        <f ca="1">IF(RESULTADOS_DETALHE!$H$13="",MEMORIA_RESULTADOS!$AG$2,RESULTADOS_DETALHE!$H$13)</f>
        <v>POSICAO ATUAL NAO INFORMADA</v>
      </c>
      <c r="D29" s="599" t="s">
        <v>721</v>
      </c>
      <c r="E29" s="599"/>
      <c r="F29" s="599"/>
      <c r="G29" s="599"/>
    </row>
    <row r="30" spans="2:7" ht="30" customHeight="1" x14ac:dyDescent="0.35">
      <c r="B30" s="429" t="s">
        <v>722</v>
      </c>
      <c r="C30" s="441" t="str">
        <f ca="1">IF(RESULTADOS_DETALHE!$B$13="",MEMORIA_RESULTADOS!$AG$2,RESULTADOS_DETALHE!$B$13)</f>
        <v>—</v>
      </c>
      <c r="D30" s="599" t="s">
        <v>723</v>
      </c>
      <c r="E30" s="599"/>
      <c r="F30" s="599"/>
      <c r="G30" s="599"/>
    </row>
    <row r="31" spans="2:7" ht="30" customHeight="1" x14ac:dyDescent="0.35">
      <c r="B31" s="430" t="s">
        <v>724</v>
      </c>
      <c r="C31" s="439" t="str">
        <f>IF(COUNTA(RESULTADOS_DETALHE!$C$43:$G$50)=0,MEMORIA_RESULTADOS!$AG$17,IF(COUNTIF(RESULTADOS_DETALHE!$H$43:$H$50,"REVISE")&gt;0,"REVISE","VALIDADO"))</f>
        <v>SEM AJUSTES</v>
      </c>
      <c r="D31" s="600" t="s">
        <v>740</v>
      </c>
      <c r="E31" s="601"/>
      <c r="F31" s="601"/>
      <c r="G31" s="601"/>
    </row>
    <row r="32" spans="2:7" ht="12" customHeight="1" x14ac:dyDescent="0.35"/>
    <row r="33" spans="2:7" ht="24" customHeight="1" x14ac:dyDescent="0.35">
      <c r="B33" s="425" t="s">
        <v>725</v>
      </c>
      <c r="C33" s="426"/>
      <c r="D33" s="426"/>
      <c r="E33" s="426"/>
      <c r="F33" s="426"/>
      <c r="G33" s="426"/>
    </row>
    <row r="34" spans="2:7" ht="22" customHeight="1" x14ac:dyDescent="0.35">
      <c r="B34" s="467" t="s">
        <v>291</v>
      </c>
      <c r="C34" s="471" t="s">
        <v>726</v>
      </c>
      <c r="D34" s="471" t="s">
        <v>727</v>
      </c>
      <c r="E34" s="471" t="s">
        <v>728</v>
      </c>
      <c r="F34" s="471" t="s">
        <v>729</v>
      </c>
      <c r="G34" s="468" t="s">
        <v>441</v>
      </c>
    </row>
    <row r="35" spans="2:7" ht="30" customHeight="1" x14ac:dyDescent="0.35">
      <c r="B35" s="442" t="str">
        <f>"C0"&amp;IF(UPPER(CONTROLE!$B$2)="C0"," (vigente)","")</f>
        <v>C0</v>
      </c>
      <c r="C35" s="445" t="str">
        <f>IF(ISNUMBER(parametros!$C$2),parametros!$C$2,MEMORIA_RESULTADOS!$AG$2)</f>
        <v>—</v>
      </c>
      <c r="D35" s="445" t="str">
        <f>IF(ISNUMBER(parametros!$D$2),parametros!$D$2,MEMORIA_RESULTADOS!$AG$2)</f>
        <v>—</v>
      </c>
      <c r="E35" s="446" t="str">
        <f>IF(ISNUMBER(parametros!$E$2),parametros!$E$2,MEMORIA_RESULTADOS!$AG$2)</f>
        <v>—</v>
      </c>
      <c r="F35" s="445" t="str">
        <f>IF(ISNUMBER(parametros!$H$2),parametros!$H$2,IF(parametros!$H$2="",MEMORIA_RESULTADOS!$AG$2,parametros!$H$2))</f>
        <v>—</v>
      </c>
      <c r="G35" s="451" t="str">
        <f>IF(parametros!$G$2&lt;&gt;"",parametros!$G$2,IF(parametros!$A$2="Sim",MEMORIA_RESULTADOS!$AG$15,IF(ISNUMBER(parametros!$C$2),MEMORIA_RESULTADOS!$AG$16,MEMORIA_RESULTADOS!$AG$2)))</f>
        <v>—</v>
      </c>
    </row>
    <row r="36" spans="2:7" ht="30" customHeight="1" x14ac:dyDescent="0.35">
      <c r="B36" s="443" t="str">
        <f>"C1"&amp;IF(UPPER(CONTROLE!$B$2)="C1"," (vigente)","")</f>
        <v>C1</v>
      </c>
      <c r="C36" s="447" t="str">
        <f>IF(ISNUMBER(parametros!$C$3),parametros!$C$3,MEMORIA_RESULTADOS!$AG$2)</f>
        <v>—</v>
      </c>
      <c r="D36" s="447" t="str">
        <f>IF(ISNUMBER(parametros!$D$3),parametros!$D$3,MEMORIA_RESULTADOS!$AG$2)</f>
        <v>—</v>
      </c>
      <c r="E36" s="448" t="str">
        <f>IF(ISNUMBER(parametros!$E$3),parametros!$E$3,MEMORIA_RESULTADOS!$AG$2)</f>
        <v>—</v>
      </c>
      <c r="F36" s="447" t="str">
        <f>IF(ISNUMBER(parametros!$H$3),parametros!$H$3,IF(parametros!$H$3="",MEMORIA_RESULTADOS!$AG$2,parametros!$H$3))</f>
        <v>—</v>
      </c>
      <c r="G36" s="452" t="str">
        <f>IF(parametros!$G$3&lt;&gt;"",parametros!$G$3,IF(parametros!$A$3="Sim",MEMORIA_RESULTADOS!$AG$15,IF(ISNUMBER(parametros!$C$3),MEMORIA_RESULTADOS!$AG$16,MEMORIA_RESULTADOS!$AG$2)))</f>
        <v>—</v>
      </c>
    </row>
    <row r="37" spans="2:7" ht="30" customHeight="1" x14ac:dyDescent="0.35">
      <c r="B37" s="443" t="str">
        <f>"C2"&amp;IF(UPPER(CONTROLE!$B$2)="C2"," (vigente)","")</f>
        <v>C2</v>
      </c>
      <c r="C37" s="447" t="str">
        <f>IF(ISNUMBER(parametros!$C$4),parametros!$C$4,MEMORIA_RESULTADOS!$AG$2)</f>
        <v>—</v>
      </c>
      <c r="D37" s="447" t="str">
        <f>IF(ISNUMBER(parametros!$D$4),parametros!$D$4,MEMORIA_RESULTADOS!$AG$2)</f>
        <v>—</v>
      </c>
      <c r="E37" s="448" t="str">
        <f>IF(ISNUMBER(parametros!$E$4),parametros!$E$4,MEMORIA_RESULTADOS!$AG$2)</f>
        <v>—</v>
      </c>
      <c r="F37" s="447" t="str">
        <f>IF(ISNUMBER(parametros!$H$4),parametros!$H$4,IF(parametros!$H$4="",MEMORIA_RESULTADOS!$AG$2,parametros!$H$4))</f>
        <v>—</v>
      </c>
      <c r="G37" s="452" t="str">
        <f>IF(parametros!$G$4&lt;&gt;"",parametros!$G$4,IF(parametros!$A$4="Sim",MEMORIA_RESULTADOS!$AG$15,IF(ISNUMBER(parametros!$C$4),MEMORIA_RESULTADOS!$AG$16,MEMORIA_RESULTADOS!$AG$2)))</f>
        <v>—</v>
      </c>
    </row>
    <row r="38" spans="2:7" ht="30" customHeight="1" x14ac:dyDescent="0.35">
      <c r="B38" s="443" t="str">
        <f>"C3"&amp;IF(UPPER(CONTROLE!$B$2)="C3"," (vigente)","")</f>
        <v>C3</v>
      </c>
      <c r="C38" s="447" t="str">
        <f>IF(ISNUMBER(parametros!$C$5),parametros!$C$5,MEMORIA_RESULTADOS!$AG$2)</f>
        <v>—</v>
      </c>
      <c r="D38" s="447" t="str">
        <f>IF(ISNUMBER(parametros!$D$5),parametros!$D$5,MEMORIA_RESULTADOS!$AG$2)</f>
        <v>—</v>
      </c>
      <c r="E38" s="448" t="str">
        <f>IF(ISNUMBER(parametros!$E$5),parametros!$E$5,MEMORIA_RESULTADOS!$AG$2)</f>
        <v>—</v>
      </c>
      <c r="F38" s="447" t="str">
        <f>IF(ISNUMBER(parametros!$H$5),parametros!$H$5,IF(parametros!$H$5="",MEMORIA_RESULTADOS!$AG$2,parametros!$H$5))</f>
        <v>—</v>
      </c>
      <c r="G38" s="452" t="str">
        <f>IF(parametros!$G$5&lt;&gt;"",parametros!$G$5,IF(parametros!$A$5="Sim",MEMORIA_RESULTADOS!$AG$15,IF(ISNUMBER(parametros!$C$5),MEMORIA_RESULTADOS!$AG$16,MEMORIA_RESULTADOS!$AG$2)))</f>
        <v>—</v>
      </c>
    </row>
    <row r="39" spans="2:7" ht="30" customHeight="1" x14ac:dyDescent="0.35">
      <c r="B39" s="444" t="str">
        <f>"C4"&amp;IF(UPPER(CONTROLE!$B$2)="C4"," (vigente)","")</f>
        <v>C4</v>
      </c>
      <c r="C39" s="449" t="str">
        <f>IF(ISNUMBER(parametros!$C$6),parametros!$C$6,MEMORIA_RESULTADOS!$AG$2)</f>
        <v>—</v>
      </c>
      <c r="D39" s="449" t="str">
        <f>IF(ISNUMBER(parametros!$D$6),parametros!$D$6,MEMORIA_RESULTADOS!$AG$2)</f>
        <v>—</v>
      </c>
      <c r="E39" s="450" t="str">
        <f>IF(ISNUMBER(parametros!$E$6),parametros!$E$6,MEMORIA_RESULTADOS!$AG$2)</f>
        <v>—</v>
      </c>
      <c r="F39" s="449" t="str">
        <f>IF(ISNUMBER(parametros!$H$6),parametros!$H$6,IF(parametros!$H$6="",MEMORIA_RESULTADOS!$AG$2,parametros!$H$6))</f>
        <v>—</v>
      </c>
      <c r="G39" s="453" t="str">
        <f>IF(parametros!$G$6&lt;&gt;"",parametros!$G$6,IF(parametros!$A$6="Sim",MEMORIA_RESULTADOS!$AG$15,IF(ISNUMBER(parametros!$C$6),MEMORIA_RESULTADOS!$AG$16,MEMORIA_RESULTADOS!$AG$2)))</f>
        <v>—</v>
      </c>
    </row>
    <row r="40" spans="2:7" ht="12" customHeight="1" x14ac:dyDescent="0.35"/>
    <row r="41" spans="2:7" ht="24" customHeight="1" x14ac:dyDescent="0.35">
      <c r="B41" s="426" t="str">
        <f>RESULTADOS_DETALHE!$A$15</f>
        <v>2. EXECUÇÃO E RETROATIVO POR CICLO</v>
      </c>
      <c r="C41" s="426"/>
      <c r="D41" s="426"/>
      <c r="E41" s="426"/>
      <c r="F41" s="426"/>
      <c r="G41" s="426"/>
    </row>
    <row r="42" spans="2:7" ht="22" customHeight="1" x14ac:dyDescent="0.35">
      <c r="B42" s="467" t="s">
        <v>291</v>
      </c>
      <c r="C42" s="472" t="str">
        <f>RESULTADOS_DETALHE!$B$15</f>
        <v>Valor de referência</v>
      </c>
      <c r="D42" s="472" t="str">
        <f>RESULTADOS_DETALHE!$C$15</f>
        <v>Valor atualizado</v>
      </c>
      <c r="E42" s="472" t="str">
        <f>RESULTADOS_DETALHE!$D$15</f>
        <v>Diferença</v>
      </c>
    </row>
    <row r="43" spans="2:7" ht="20" customHeight="1" x14ac:dyDescent="0.35">
      <c r="B43" s="454" t="s">
        <v>21</v>
      </c>
      <c r="C43" s="431" t="str">
        <f>IF(RESULTADOS_DETALHE!$B$16="",MEMORIA_RESULTADOS!$AG$2,RESULTADOS_DETALHE!$B$16)</f>
        <v>—</v>
      </c>
      <c r="D43" s="431" t="str">
        <f>IF(RESULTADOS_DETALHE!$C$16="",MEMORIA_RESULTADOS!$AG$2,RESULTADOS_DETALHE!$C$16)</f>
        <v>—</v>
      </c>
      <c r="E43" s="431" t="str">
        <f>IF(RESULTADOS_DETALHE!$D$16="",MEMORIA_RESULTADOS!$AG$2,RESULTADOS_DETALHE!$D$16)</f>
        <v>—</v>
      </c>
    </row>
    <row r="44" spans="2:7" ht="20" customHeight="1" x14ac:dyDescent="0.35">
      <c r="B44" s="455" t="s">
        <v>22</v>
      </c>
      <c r="C44" s="432" t="str">
        <f>IF(RESULTADOS_DETALHE!$B$17="",MEMORIA_RESULTADOS!$AG$2,RESULTADOS_DETALHE!$B$17)</f>
        <v>—</v>
      </c>
      <c r="D44" s="432" t="str">
        <f>IF(RESULTADOS_DETALHE!$C$17="",MEMORIA_RESULTADOS!$AG$2,RESULTADOS_DETALHE!$C$17)</f>
        <v>—</v>
      </c>
      <c r="E44" s="432" t="str">
        <f>IF(RESULTADOS_DETALHE!$D$17="",MEMORIA_RESULTADOS!$AG$2,RESULTADOS_DETALHE!$D$17)</f>
        <v>—</v>
      </c>
    </row>
    <row r="45" spans="2:7" ht="20" customHeight="1" x14ac:dyDescent="0.35">
      <c r="B45" s="455" t="s">
        <v>23</v>
      </c>
      <c r="C45" s="432" t="str">
        <f>IF(RESULTADOS_DETALHE!$B$18="",MEMORIA_RESULTADOS!$AG$2,RESULTADOS_DETALHE!$B$18)</f>
        <v>—</v>
      </c>
      <c r="D45" s="432" t="str">
        <f>IF(RESULTADOS_DETALHE!$C$18="",MEMORIA_RESULTADOS!$AG$2,RESULTADOS_DETALHE!$C$18)</f>
        <v>—</v>
      </c>
      <c r="E45" s="432" t="str">
        <f>IF(RESULTADOS_DETALHE!$D$18="",MEMORIA_RESULTADOS!$AG$2,RESULTADOS_DETALHE!$D$18)</f>
        <v>—</v>
      </c>
    </row>
    <row r="46" spans="2:7" ht="20" customHeight="1" x14ac:dyDescent="0.35">
      <c r="B46" s="455" t="s">
        <v>24</v>
      </c>
      <c r="C46" s="432" t="str">
        <f>IF(RESULTADOS_DETALHE!$B$19="",MEMORIA_RESULTADOS!$AG$2,RESULTADOS_DETALHE!$B$19)</f>
        <v>—</v>
      </c>
      <c r="D46" s="432" t="str">
        <f>IF(RESULTADOS_DETALHE!$C$19="",MEMORIA_RESULTADOS!$AG$2,RESULTADOS_DETALHE!$C$19)</f>
        <v>—</v>
      </c>
      <c r="E46" s="432" t="str">
        <f>IF(RESULTADOS_DETALHE!$D$19="",MEMORIA_RESULTADOS!$AG$2,RESULTADOS_DETALHE!$D$19)</f>
        <v>—</v>
      </c>
    </row>
    <row r="47" spans="2:7" ht="20" customHeight="1" x14ac:dyDescent="0.35">
      <c r="B47" s="455" t="s">
        <v>25</v>
      </c>
      <c r="C47" s="432" t="str">
        <f>IF(RESULTADOS_DETALHE!$B$20="",MEMORIA_RESULTADOS!$AG$2,RESULTADOS_DETALHE!$B$20)</f>
        <v>—</v>
      </c>
      <c r="D47" s="432" t="str">
        <f>IF(RESULTADOS_DETALHE!$C$20="",MEMORIA_RESULTADOS!$AG$2,RESULTADOS_DETALHE!$C$20)</f>
        <v>—</v>
      </c>
      <c r="E47" s="432" t="str">
        <f>IF(RESULTADOS_DETALHE!$D$20="",MEMORIA_RESULTADOS!$AG$2,RESULTADOS_DETALHE!$D$20)</f>
        <v>—</v>
      </c>
    </row>
    <row r="48" spans="2:7" ht="20" customHeight="1" thickBot="1" x14ac:dyDescent="0.4">
      <c r="B48" s="456" t="s">
        <v>429</v>
      </c>
      <c r="C48" s="432"/>
      <c r="D48" s="432"/>
      <c r="E48" s="432" t="str">
        <f>IF(RESULTADOS_DETALHE!$D$21="",MEMORIA_RESULTADOS!$AG$2,RESULTADOS_DETALHE!$D$21)</f>
        <v>—</v>
      </c>
    </row>
    <row r="49" spans="2:7" ht="20" customHeight="1" x14ac:dyDescent="0.35">
      <c r="B49" s="457" t="s">
        <v>26</v>
      </c>
      <c r="C49" s="458" t="str">
        <f>IF(RESULTADOS_DETALHE!$B$22="",MEMORIA_RESULTADOS!$AG$2,RESULTADOS_DETALHE!$B$22)</f>
        <v>—</v>
      </c>
      <c r="D49" s="458" t="str">
        <f>IF(RESULTADOS_DETALHE!$C$22="",MEMORIA_RESULTADOS!$AG$2,RESULTADOS_DETALHE!$C$22)</f>
        <v>—</v>
      </c>
      <c r="E49" s="458" t="str">
        <f>IF(RESULTADOS_DETALHE!$D$22="",MEMORIA_RESULTADOS!$AG$2,RESULTADOS_DETALHE!$D$22)</f>
        <v>—</v>
      </c>
    </row>
    <row r="50" spans="2:7" ht="12" customHeight="1" x14ac:dyDescent="0.35"/>
    <row r="51" spans="2:7" ht="24" customHeight="1" x14ac:dyDescent="0.35">
      <c r="B51" s="425" t="s">
        <v>730</v>
      </c>
      <c r="C51" s="426"/>
      <c r="D51" s="426"/>
      <c r="E51" s="426"/>
      <c r="F51" s="426"/>
      <c r="G51" s="426"/>
    </row>
    <row r="52" spans="2:7" ht="30" customHeight="1" x14ac:dyDescent="0.35">
      <c r="B52" s="594" t="str">
        <f>IF(RESULTADOS_DETALHE!$E$15="",MEMORIA_RESULTADOS!$AG$18,RESULTADOS_DETALHE!$E$16)</f>
        <v>Não há ciclo reajustado computado nesta apuração.</v>
      </c>
      <c r="C52" s="595"/>
      <c r="D52" s="595"/>
      <c r="E52" s="595"/>
      <c r="F52" s="595"/>
      <c r="G52" s="595"/>
    </row>
    <row r="53" spans="2:7" ht="22" customHeight="1" x14ac:dyDescent="0.35">
      <c r="B53" s="461" t="str">
        <f>IF(RESULTADOS_DETALHE!$E$15="","","Ciclo")</f>
        <v/>
      </c>
      <c r="C53" s="463" t="str">
        <f>RESULTADOS_DETALHE!$F$15&amp;""</f>
        <v/>
      </c>
      <c r="D53" s="463" t="str">
        <f>RESULTADOS_DETALHE!$G$15&amp;""</f>
        <v/>
      </c>
      <c r="E53" s="463" t="str">
        <f>IF(RESULTADOS_DETALHE!$H$15&lt;&gt;"",RESULTADOS_DETALHE!$H$15,IF(RESULTADOS_DETALHE!$E$15&lt;&gt;"",MEMORIA_RESULTADOS!$T$109,""))</f>
        <v/>
      </c>
      <c r="F53" s="593" t="str">
        <f>IF(RESULTADOS_DETALHE!$E$15="","",MEMORIA_RESULTADOS!$AG$19)</f>
        <v/>
      </c>
      <c r="G53" s="593"/>
    </row>
    <row r="54" spans="2:7" ht="32" customHeight="1" x14ac:dyDescent="0.35">
      <c r="B54" s="462" t="str">
        <f>IF(RESULTADOS_DETALHE!$E$17="","","C1")</f>
        <v/>
      </c>
      <c r="C54" s="464" t="str">
        <f>IF(RESULTADOS_DETALHE!$F$17="","",RESULTADOS_DETALHE!$F$17)</f>
        <v/>
      </c>
      <c r="D54" s="464" t="str">
        <f>IF(RESULTADOS_DETALHE!$G$17="","",RESULTADOS_DETALHE!$G$17)</f>
        <v/>
      </c>
      <c r="E54" s="464" t="str">
        <f>IF(RESULTADOS_DETALHE!$H$17="","",RESULTADOS_DETALHE!$H$17)</f>
        <v/>
      </c>
      <c r="F54" s="590" t="str">
        <f>RESULTADOS_DETALHE!$E$17&amp;""</f>
        <v/>
      </c>
      <c r="G54" s="590"/>
    </row>
    <row r="55" spans="2:7" ht="32" customHeight="1" x14ac:dyDescent="0.35">
      <c r="B55" s="462" t="str">
        <f>IF(RESULTADOS_DETALHE!$E$18="","","C2")</f>
        <v/>
      </c>
      <c r="C55" s="464" t="str">
        <f>IF(RESULTADOS_DETALHE!$F$18="","",RESULTADOS_DETALHE!$F$18)</f>
        <v/>
      </c>
      <c r="D55" s="464" t="str">
        <f>IF(RESULTADOS_DETALHE!$G$18="","",RESULTADOS_DETALHE!$G$18)</f>
        <v/>
      </c>
      <c r="E55" s="464" t="str">
        <f>IF(RESULTADOS_DETALHE!$H$18="","",RESULTADOS_DETALHE!$H$18)</f>
        <v/>
      </c>
      <c r="F55" s="590" t="str">
        <f>RESULTADOS_DETALHE!$E$18&amp;""</f>
        <v/>
      </c>
      <c r="G55" s="590"/>
    </row>
    <row r="56" spans="2:7" ht="32" customHeight="1" x14ac:dyDescent="0.35">
      <c r="B56" s="462" t="str">
        <f>IF(RESULTADOS_DETALHE!$E$19="","","C3")</f>
        <v/>
      </c>
      <c r="C56" s="464" t="str">
        <f>IF(RESULTADOS_DETALHE!$F$19="","",RESULTADOS_DETALHE!$F$19)</f>
        <v/>
      </c>
      <c r="D56" s="464" t="str">
        <f>IF(RESULTADOS_DETALHE!$G$19="","",RESULTADOS_DETALHE!$G$19)</f>
        <v/>
      </c>
      <c r="E56" s="464" t="str">
        <f>IF(RESULTADOS_DETALHE!$H$19="","",RESULTADOS_DETALHE!$H$19)</f>
        <v/>
      </c>
      <c r="F56" s="590" t="str">
        <f>RESULTADOS_DETALHE!$E$19&amp;""</f>
        <v/>
      </c>
      <c r="G56" s="590"/>
    </row>
    <row r="57" spans="2:7" ht="32" customHeight="1" x14ac:dyDescent="0.35">
      <c r="B57" s="462" t="str">
        <f>IF(RESULTADOS_DETALHE!$E$20="","","C4")</f>
        <v/>
      </c>
      <c r="C57" s="464" t="str">
        <f>IF(RESULTADOS_DETALHE!$F$20="","",RESULTADOS_DETALHE!$F$20)</f>
        <v/>
      </c>
      <c r="D57" s="464" t="str">
        <f>IF(RESULTADOS_DETALHE!$G$20="","",RESULTADOS_DETALHE!$G$20)</f>
        <v/>
      </c>
      <c r="E57" s="464" t="str">
        <f>IF(RESULTADOS_DETALHE!$H$20="","",RESULTADOS_DETALHE!$H$20)</f>
        <v/>
      </c>
      <c r="F57" s="590" t="str">
        <f>RESULTADOS_DETALHE!$E$20&amp;""</f>
        <v/>
      </c>
      <c r="G57" s="590"/>
    </row>
    <row r="58" spans="2:7" ht="30" customHeight="1" x14ac:dyDescent="0.35">
      <c r="B58" s="594" t="str">
        <f>RESULTADOS_DETALHE!$E$21&amp;""</f>
        <v/>
      </c>
      <c r="C58" s="595"/>
      <c r="D58" s="595"/>
      <c r="E58" s="595"/>
      <c r="F58" s="595"/>
      <c r="G58" s="595"/>
    </row>
    <row r="59" spans="2:7" ht="8" customHeight="1" x14ac:dyDescent="0.35"/>
    <row r="60" spans="2:7" ht="30" customHeight="1" x14ac:dyDescent="0.35">
      <c r="B60" s="591" t="s">
        <v>731</v>
      </c>
      <c r="C60" s="592"/>
      <c r="D60" s="592"/>
      <c r="E60" s="592"/>
      <c r="F60" s="592"/>
      <c r="G60" s="592"/>
    </row>
    <row r="61" spans="2:7" ht="12" customHeight="1" x14ac:dyDescent="0.35"/>
    <row r="62" spans="2:7" ht="24" customHeight="1" x14ac:dyDescent="0.35">
      <c r="B62" s="465" t="str">
        <f>IF(METODO_RETROATIVO="PCs",MEMORIA_RESULTADOS!$AG$20,"")</f>
        <v/>
      </c>
    </row>
    <row r="63" spans="2:7" ht="22" customHeight="1" x14ac:dyDescent="0.35">
      <c r="B63" s="461" t="str">
        <f>IF(METODO_RETROATIVO="PCs",MEMORIA_RESULTADOS!$AG$21,"")</f>
        <v/>
      </c>
      <c r="C63" s="460" t="str">
        <f>IF(METODO_RETROATIVO="PCs",MEMORIA_RESULTADOS!$AG$22,"")</f>
        <v/>
      </c>
      <c r="D63" s="593" t="str">
        <f>IF(METODO_RETROATIVO="PCs",MEMORIA_RESULTADOS!$AG$23,"")</f>
        <v/>
      </c>
      <c r="E63" s="593"/>
      <c r="F63" s="593"/>
      <c r="G63" s="593"/>
    </row>
    <row r="64" spans="2:7" ht="30" customHeight="1" x14ac:dyDescent="0.35">
      <c r="B64" s="459" t="str">
        <f>IF(METODO_RETROATIVO="PCs",RESULTADOS_DETALHE!$A$55,"")</f>
        <v/>
      </c>
      <c r="C64" s="466" t="str">
        <f>IF(METODO_RETROATIVO="PCs",IF(RESULTADOS_DETALHE!$B$55="",MEMORIA_RESULTADOS!$AG$2,RESULTADOS_DETALHE!$B$55),"")</f>
        <v/>
      </c>
      <c r="D64" s="590" t="str">
        <f>IF(METODO_RETROATIVO="PCs",RESULTADOS_DETALHE!$C$55,"")</f>
        <v/>
      </c>
      <c r="E64" s="590"/>
      <c r="F64" s="590"/>
      <c r="G64" s="590"/>
    </row>
    <row r="65" spans="2:7" ht="30" customHeight="1" x14ac:dyDescent="0.35">
      <c r="B65" s="459" t="str">
        <f>IF(METODO_RETROATIVO="PCs",RESULTADOS_DETALHE!$A$56,"")</f>
        <v/>
      </c>
      <c r="C65" s="466" t="str">
        <f>IF(METODO_RETROATIVO="PCs",IF(RESULTADOS_DETALHE!$B$56="",MEMORIA_RESULTADOS!$AG$2,RESULTADOS_DETALHE!$B$56),"")</f>
        <v/>
      </c>
      <c r="D65" s="590" t="str">
        <f>IF(METODO_RETROATIVO="PCs",RESULTADOS_DETALHE!$C$56,"")</f>
        <v/>
      </c>
      <c r="E65" s="590"/>
      <c r="F65" s="590"/>
      <c r="G65" s="590"/>
    </row>
    <row r="66" spans="2:7" ht="30" customHeight="1" x14ac:dyDescent="0.35">
      <c r="B66" s="459" t="str">
        <f>IF(METODO_RETROATIVO="PCs",RESULTADOS_DETALHE!$A$57,"")</f>
        <v/>
      </c>
      <c r="C66" s="466" t="str">
        <f>IF(METODO_RETROATIVO="PCs",IF(RESULTADOS_DETALHE!$B$57="",MEMORIA_RESULTADOS!$AG$2,RESULTADOS_DETALHE!$B$57),"")</f>
        <v/>
      </c>
      <c r="D66" s="590" t="str">
        <f>IF(METODO_RETROATIVO="PCs",RESULTADOS_DETALHE!$C$57,"")</f>
        <v/>
      </c>
      <c r="E66" s="590"/>
      <c r="F66" s="590"/>
      <c r="G66" s="590"/>
    </row>
    <row r="67" spans="2:7" ht="30" customHeight="1" x14ac:dyDescent="0.35">
      <c r="B67" s="459" t="str">
        <f>IF(METODO_RETROATIVO="PCs",RESULTADOS_DETALHE!$A$58,"")</f>
        <v/>
      </c>
      <c r="C67" s="466" t="str">
        <f>IF(METODO_RETROATIVO="PCs",IF(RESULTADOS_DETALHE!$B$58="",MEMORIA_RESULTADOS!$AG$2,RESULTADOS_DETALHE!$B$58),"")</f>
        <v/>
      </c>
      <c r="D67" s="590" t="str">
        <f>IF(METODO_RETROATIVO="PCs",RESULTADOS_DETALHE!$C$58,"")</f>
        <v/>
      </c>
      <c r="E67" s="590"/>
      <c r="F67" s="590"/>
      <c r="G67" s="590"/>
    </row>
    <row r="68" spans="2:7" ht="30" customHeight="1" x14ac:dyDescent="0.35">
      <c r="B68" s="459" t="str">
        <f>IF(METODO_RETROATIVO="PCs",RESULTADOS_DETALHE!$A$59,"")</f>
        <v/>
      </c>
      <c r="C68" s="466" t="str">
        <f>IF(METODO_RETROATIVO="PCs",IF(RESULTADOS_DETALHE!$B$59="",MEMORIA_RESULTADOS!$AG$2,RESULTADOS_DETALHE!$B$59),"")</f>
        <v/>
      </c>
      <c r="D68" s="590" t="str">
        <f>IF(METODO_RETROATIVO="PCs",RESULTADOS_DETALHE!$C$59,"")</f>
        <v/>
      </c>
      <c r="E68" s="590"/>
      <c r="F68" s="590"/>
      <c r="G68" s="590"/>
    </row>
    <row r="69" spans="2:7" ht="30" customHeight="1" x14ac:dyDescent="0.35">
      <c r="B69" s="459" t="str">
        <f>IF(METODO_RETROATIVO="PCs",RESULTADOS_DETALHE!$A$60,"")</f>
        <v/>
      </c>
      <c r="C69" s="466" t="str">
        <f>IF(METODO_RETROATIVO="PCs",IF(RESULTADOS_DETALHE!$B$60="",MEMORIA_RESULTADOS!$AG$2,RESULTADOS_DETALHE!$B$60),"")</f>
        <v/>
      </c>
      <c r="D69" s="590" t="str">
        <f>IF(METODO_RETROATIVO="PCs",RESULTADOS_DETALHE!$C$60,"")</f>
        <v/>
      </c>
      <c r="E69" s="590"/>
      <c r="F69" s="590"/>
      <c r="G69" s="590"/>
    </row>
    <row r="70" spans="2:7" ht="30" customHeight="1" x14ac:dyDescent="0.35">
      <c r="B70" s="459" t="str">
        <f>IF(METODO_RETROATIVO="PCs",RESULTADOS_DETALHE!$A$61,"")</f>
        <v/>
      </c>
      <c r="C70" s="466" t="str">
        <f>IF(METODO_RETROATIVO="PCs",IF(RESULTADOS_DETALHE!$B$61="",MEMORIA_RESULTADOS!$AG$2,RESULTADOS_DETALHE!$B$61),"")</f>
        <v/>
      </c>
      <c r="D70" s="590" t="str">
        <f>IF(METODO_RETROATIVO="PCs",RESULTADOS_DETALHE!$C$61,"")</f>
        <v/>
      </c>
      <c r="E70" s="590"/>
      <c r="F70" s="590"/>
      <c r="G70" s="590"/>
    </row>
    <row r="71" spans="2:7" ht="30" customHeight="1" x14ac:dyDescent="0.35">
      <c r="B71" s="459" t="str">
        <f>IF(METODO_RETROATIVO="PCs",RESULTADOS_DETALHE!$A$62,"")</f>
        <v/>
      </c>
      <c r="C71" s="466" t="str">
        <f>IF(METODO_RETROATIVO="PCs",IF(RESULTADOS_DETALHE!$B$62="",MEMORIA_RESULTADOS!$AG$2,RESULTADOS_DETALHE!$B$62),"")</f>
        <v/>
      </c>
      <c r="D71" s="590" t="str">
        <f>IF(METODO_RETROATIVO="PCs",RESULTADOS_DETALHE!$C$62,"")</f>
        <v/>
      </c>
      <c r="E71" s="590"/>
      <c r="F71" s="590"/>
      <c r="G71" s="590"/>
    </row>
    <row r="72" spans="2:7" ht="20" customHeight="1" x14ac:dyDescent="0.35"/>
    <row r="73" spans="2:7" ht="20" customHeight="1" x14ac:dyDescent="0.35"/>
  </sheetData>
  <mergeCells count="34">
    <mergeCell ref="D18:G18"/>
    <mergeCell ref="D13:G13"/>
    <mergeCell ref="D14:G14"/>
    <mergeCell ref="D15:G15"/>
    <mergeCell ref="D16:G16"/>
    <mergeCell ref="D17:G17"/>
    <mergeCell ref="B52:G52"/>
    <mergeCell ref="D19:G19"/>
    <mergeCell ref="D20:G20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B58:G58"/>
    <mergeCell ref="F53:G53"/>
    <mergeCell ref="F54:G54"/>
    <mergeCell ref="F55:G55"/>
    <mergeCell ref="F56:G56"/>
    <mergeCell ref="F57:G57"/>
    <mergeCell ref="D69:G69"/>
    <mergeCell ref="D70:G70"/>
    <mergeCell ref="D71:G71"/>
    <mergeCell ref="B60:G60"/>
    <mergeCell ref="D63:G63"/>
    <mergeCell ref="D64:G64"/>
    <mergeCell ref="D65:G65"/>
    <mergeCell ref="D66:G66"/>
    <mergeCell ref="D67:G67"/>
    <mergeCell ref="D68:G68"/>
  </mergeCells>
  <conditionalFormatting sqref="B10">
    <cfRule type="expression" dxfId="36" priority="4">
      <formula>AND(METODO_RETROATIVO="PCs",N(RETROATIVO_POTENCIAL_VTA)&lt;&gt;0)</formula>
    </cfRule>
  </conditionalFormatting>
  <conditionalFormatting sqref="B53:F53">
    <cfRule type="expression" dxfId="35" priority="29">
      <formula>$B$53&lt;&gt;""</formula>
    </cfRule>
  </conditionalFormatting>
  <conditionalFormatting sqref="B54:F57">
    <cfRule type="expression" dxfId="34" priority="30">
      <formula>$B$53&lt;&gt;""</formula>
    </cfRule>
  </conditionalFormatting>
  <conditionalFormatting sqref="B15:G15">
    <cfRule type="expression" dxfId="33" priority="7">
      <formula>AND(METODO_RETROATIVO="PCs",N(RETROATIVO_POTENCIAL_APURADO)&lt;&gt;0)</formula>
    </cfRule>
  </conditionalFormatting>
  <conditionalFormatting sqref="B19:G19">
    <cfRule type="expression" dxfId="32" priority="8">
      <formula>AND(METODO_RETROATIVO="PCs",N(RETROATIVO_POTENCIAL_NEGATIVO)&lt;0)</formula>
    </cfRule>
  </conditionalFormatting>
  <conditionalFormatting sqref="B35:G39">
    <cfRule type="expression" dxfId="31" priority="28">
      <formula>ISNUMBER(SEARCH("vigente",$B35))</formula>
    </cfRule>
  </conditionalFormatting>
  <conditionalFormatting sqref="B62:G62">
    <cfRule type="expression" dxfId="30" priority="32">
      <formula>METODO_RETROATIVO="PCs"</formula>
    </cfRule>
  </conditionalFormatting>
  <conditionalFormatting sqref="B63:G63">
    <cfRule type="expression" dxfId="29" priority="33">
      <formula>METODO_RETROATIVO="PCs"</formula>
    </cfRule>
  </conditionalFormatting>
  <conditionalFormatting sqref="B64:G71">
    <cfRule type="expression" dxfId="28" priority="34">
      <formula>METODO_RETROATIVO="PCs"</formula>
    </cfRule>
  </conditionalFormatting>
  <conditionalFormatting sqref="B70:G70">
    <cfRule type="expression" dxfId="27" priority="35">
      <formula>AND(METODO_RETROATIVO="PCs",N(RETROATIVO_POTENCIAL_VTA)&lt;&gt;0)</formula>
    </cfRule>
  </conditionalFormatting>
  <conditionalFormatting sqref="C20">
    <cfRule type="expression" dxfId="26" priority="9">
      <formula>AND(ISNUMBER($C$20),$C$20&lt;&gt;0)</formula>
    </cfRule>
  </conditionalFormatting>
  <conditionalFormatting sqref="C24">
    <cfRule type="expression" dxfId="25" priority="10">
      <formula>OR($C$24="VALIDADO",$C$24="RECONCILIADO")</formula>
    </cfRule>
    <cfRule type="expression" dxfId="24" priority="11">
      <formula>ISNUMBER(SEARCH("ESTIMAD",$C$24))</formula>
    </cfRule>
    <cfRule type="expression" dxfId="23" priority="12">
      <formula>ISNUMBER(SEARCH("REVISE",$C$24))</formula>
    </cfRule>
  </conditionalFormatting>
  <conditionalFormatting sqref="C25">
    <cfRule type="expression" dxfId="22" priority="13">
      <formula>OR($C$25="VALIDADO",$C$25="RECONCILIADO")</formula>
    </cfRule>
    <cfRule type="expression" dxfId="21" priority="14">
      <formula>ISNUMBER(SEARCH("ESTIMAD",$C$25))</formula>
    </cfRule>
    <cfRule type="expression" dxfId="20" priority="15">
      <formula>ISNUMBER(SEARCH("REVISE",$C$25))</formula>
    </cfRule>
  </conditionalFormatting>
  <conditionalFormatting sqref="C26">
    <cfRule type="expression" dxfId="19" priority="18">
      <formula>ISNUMBER(SEARCH("REVISE",$C$26))</formula>
    </cfRule>
    <cfRule type="expression" dxfId="18" priority="16">
      <formula>OR($C$26="VALIDADO",$C$26="RECONCILIADO")</formula>
    </cfRule>
    <cfRule type="expression" dxfId="17" priority="17">
      <formula>ISNUMBER(SEARCH("ESTIMAD",$C$26))</formula>
    </cfRule>
  </conditionalFormatting>
  <conditionalFormatting sqref="C27">
    <cfRule type="expression" dxfId="16" priority="21">
      <formula>ISNUMBER(SEARCH("REVISE",$C$27))</formula>
    </cfRule>
    <cfRule type="expression" dxfId="15" priority="19">
      <formula>OR($C$27="VALIDADO",$C$27="RECONCILIADO")</formula>
    </cfRule>
    <cfRule type="expression" dxfId="14" priority="20">
      <formula>ISNUMBER(SEARCH("ESTIMAD",$C$27))</formula>
    </cfRule>
  </conditionalFormatting>
  <conditionalFormatting sqref="C29">
    <cfRule type="expression" dxfId="13" priority="22">
      <formula>OR($C$29="VALIDADO",$C$29="RECONCILIADO")</formula>
    </cfRule>
    <cfRule type="expression" dxfId="12" priority="23">
      <formula>ISNUMBER(SEARCH("ESTIMAD",$C$29))</formula>
    </cfRule>
    <cfRule type="expression" dxfId="11" priority="24">
      <formula>ISNUMBER(SEARCH("REVISE",$C$29))</formula>
    </cfRule>
  </conditionalFormatting>
  <conditionalFormatting sqref="C31">
    <cfRule type="expression" dxfId="10" priority="25">
      <formula>OR($C$31="VALIDADO",$C$31="RECONCILIADO")</formula>
    </cfRule>
    <cfRule type="expression" dxfId="9" priority="26">
      <formula>ISNUMBER(SEARCH("ESTIMAD",$C$31))</formula>
    </cfRule>
    <cfRule type="expression" dxfId="8" priority="27">
      <formula>ISNUMBER(SEARCH("REVISE",$C$31))</formula>
    </cfRule>
  </conditionalFormatting>
  <conditionalFormatting sqref="E54:E57">
    <cfRule type="expression" dxfId="7" priority="31">
      <formula>$E54&lt;&gt;""</formula>
    </cfRule>
  </conditionalFormatting>
  <conditionalFormatting sqref="G6">
    <cfRule type="expression" dxfId="6" priority="3">
      <formula>ISNUMBER(SEARCH("REVISE",$G$6))</formula>
    </cfRule>
    <cfRule type="expression" dxfId="5" priority="2">
      <formula>ISNUMBER(SEARCH("ESTIMAD",$G$6))</formula>
    </cfRule>
    <cfRule type="expression" dxfId="4" priority="1">
      <formula>OR($G$6="VALIDADO",$G$6="RECONCILIADO")</formula>
    </cfRule>
  </conditionalFormatting>
  <conditionalFormatting sqref="G8:G10">
    <cfRule type="expression" dxfId="3" priority="6">
      <formula>LEFT($G$9,4)="APUR"</formula>
    </cfRule>
    <cfRule type="expression" dxfId="2" priority="5">
      <formula>LEFT($G$9,4)="PEND"</formula>
    </cfRule>
  </conditionalFormatting>
  <printOptions horizontalCentered="1"/>
  <pageMargins left="0.511811024" right="0.511811024" top="0.78740157499999996" bottom="0.78740157499999996" header="0.31496062000000002" footer="0.31496062000000002"/>
  <pageSetup paperSize="9" scale="7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43</vt:i4>
      </vt:variant>
    </vt:vector>
  </HeadingPairs>
  <TitlesOfParts>
    <vt:vector size="59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RESULTADOS_DETALHE</vt:lpstr>
      <vt:lpstr>RESULTADOS</vt:lpstr>
      <vt:lpstr>AJUSTE_MANUAL_VTA</vt:lpstr>
      <vt:lpstr>AJUSTES_DEVIDOS</vt:lpstr>
      <vt:lpstr>RESULTADOS!Area_de_impressao</vt:lpstr>
      <vt:lpstr>RESULTADOS_DETALHE!Area_de_impressao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2026-10-09T17:27:12Z</dcterms:modified>
</cp:coreProperties>
</file>