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consumo_glosa_bdmbqeo1\"/>
    </mc:Choice>
  </mc:AlternateContent>
  <xr:revisionPtr revIDLastSave="0" documentId="13_ncr:1_{5E7AC616-E885-4C1C-8051-D6EF7388DCAA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APURADO">MEMORIA_RESULTADOS!$T$41</definedName>
    <definedName name="RETROATIVO_POTENCIAL_NEGATIVO">MEMORIA_RESULTADOS!$T$47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6" i="6" l="1"/>
  <c r="AF6" i="6" s="1"/>
  <c r="Y6" i="6"/>
  <c r="AG5" i="6"/>
  <c r="AF5" i="6" s="1"/>
  <c r="Y5" i="6"/>
  <c r="AG4" i="6"/>
  <c r="AB4" i="6" s="1"/>
  <c r="Y4" i="6"/>
  <c r="AG3" i="6"/>
  <c r="AC3" i="6" s="1"/>
  <c r="Y3" i="6"/>
  <c r="AG2" i="6"/>
  <c r="AE2" i="6" s="1"/>
  <c r="Y2" i="6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AC4" i="6" l="1"/>
  <c r="AB6" i="6"/>
  <c r="AC6" i="6"/>
  <c r="AF2" i="6"/>
  <c r="AB5" i="6"/>
  <c r="T75" i="14"/>
  <c r="T74" i="14" s="1"/>
  <c r="AC5" i="6"/>
  <c r="AE5" i="6"/>
  <c r="AE3" i="6"/>
  <c r="AF3" i="6"/>
  <c r="AE4" i="6"/>
  <c r="AE6" i="6"/>
  <c r="AB2" i="6"/>
  <c r="AF4" i="6"/>
  <c r="AC2" i="6"/>
  <c r="D10" i="14"/>
  <c r="T70" i="14"/>
  <c r="AB3" i="6"/>
  <c r="C84" i="15"/>
  <c r="T46" i="14"/>
  <c r="T45" i="14"/>
  <c r="T44" i="14"/>
  <c r="T43" i="14"/>
  <c r="T42" i="14"/>
  <c r="C83" i="15"/>
  <c r="A81" i="15"/>
  <c r="D8" i="15"/>
  <c r="C8" i="15"/>
  <c r="A8" i="15"/>
  <c r="A6" i="15"/>
  <c r="A4" i="15"/>
  <c r="B84" i="15"/>
  <c r="A84" i="15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AD4" i="6" s="1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AD2" i="6" s="1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AD3" i="6" s="1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AD5" i="6" s="1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T73" i="14" l="1"/>
  <c r="T71" i="14"/>
  <c r="T72" i="14"/>
  <c r="N171" i="6"/>
  <c r="AD6" i="6"/>
  <c r="T39" i="14"/>
  <c r="T41" i="14"/>
  <c r="B61" i="15"/>
  <c r="B58" i="15"/>
  <c r="B59" i="15"/>
  <c r="B56" i="15"/>
  <c r="B57" i="15"/>
  <c r="C15" i="15"/>
  <c r="B55" i="15"/>
  <c r="T8" i="7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D29" i="15"/>
  <c r="D15" i="3"/>
  <c r="D26" i="15"/>
  <c r="D12" i="3"/>
  <c r="G3" i="15"/>
  <c r="D13" i="3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19" i="15"/>
  <c r="B18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I261" i="14" l="1"/>
  <c r="BC72" i="5" s="1"/>
  <c r="D13" i="14"/>
  <c r="F20" i="14"/>
  <c r="I260" i="14"/>
  <c r="L260" i="14" s="1"/>
  <c r="D12" i="14"/>
  <c r="I259" i="14"/>
  <c r="AU160" i="5" s="1"/>
  <c r="D11" i="14"/>
  <c r="I262" i="14"/>
  <c r="BG26" i="5" s="1"/>
  <c r="D14" i="14"/>
  <c r="E14" i="14" s="1"/>
  <c r="S19" i="7"/>
  <c r="T47" i="14"/>
  <c r="M19" i="7" s="1"/>
  <c r="T40" i="14"/>
  <c r="S8" i="7"/>
  <c r="S9" i="7" s="1"/>
  <c r="R8" i="7"/>
  <c r="R9" i="7" s="1"/>
  <c r="H174" i="11"/>
  <c r="J174" i="11" s="1"/>
  <c r="AX169" i="5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BD56" i="5"/>
  <c r="AV49" i="5"/>
  <c r="J124" i="5"/>
  <c r="J113" i="5"/>
  <c r="J100" i="5"/>
  <c r="T139" i="5"/>
  <c r="AY123" i="5"/>
  <c r="BC123" i="5"/>
  <c r="AX55" i="5"/>
  <c r="F25" i="5"/>
  <c r="BB81" i="5"/>
  <c r="BD81" i="5" s="1"/>
  <c r="J54" i="5"/>
  <c r="H97" i="5"/>
  <c r="AQ26" i="5"/>
  <c r="N43" i="11"/>
  <c r="P43" i="11" s="1"/>
  <c r="BC32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L6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C183" i="5"/>
  <c r="R150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H66" i="11"/>
  <c r="J66" i="11" s="1"/>
  <c r="T59" i="5"/>
  <c r="P74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F164" i="5"/>
  <c r="AV63" i="5"/>
  <c r="BC96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BC139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Q106" i="5"/>
  <c r="R137" i="5"/>
  <c r="AY193" i="5"/>
  <c r="AU83" i="5"/>
  <c r="N80" i="5"/>
  <c r="AU37" i="5"/>
  <c r="AV162" i="5"/>
  <c r="L69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K36" i="11"/>
  <c r="M36" i="11" s="1"/>
  <c r="BD63" i="5"/>
  <c r="J261" i="14"/>
  <c r="N64" i="11"/>
  <c r="P64" i="11" s="1"/>
  <c r="AV132" i="5"/>
  <c r="H78" i="5"/>
  <c r="J197" i="5"/>
  <c r="L96" i="5"/>
  <c r="AU182" i="5"/>
  <c r="P9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U122" i="5"/>
  <c r="BD105" i="5"/>
  <c r="BD53" i="5"/>
  <c r="L45" i="5"/>
  <c r="AP14" i="5"/>
  <c r="AR14" i="5" s="1"/>
  <c r="J81" i="5"/>
  <c r="AU191" i="5"/>
  <c r="J41" i="5"/>
  <c r="N82" i="5"/>
  <c r="F192" i="5"/>
  <c r="AV195" i="5"/>
  <c r="J63" i="5"/>
  <c r="AZ67" i="5"/>
  <c r="J91" i="5"/>
  <c r="J67" i="5"/>
  <c r="AU63" i="5"/>
  <c r="J126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BH64" i="5"/>
  <c r="BG188" i="5"/>
  <c r="BC87" i="5"/>
  <c r="J120" i="5"/>
  <c r="H16" i="5"/>
  <c r="L99" i="5"/>
  <c r="BG48" i="5"/>
  <c r="AT143" i="5"/>
  <c r="AV143" i="5" s="1"/>
  <c r="AC189" i="5"/>
  <c r="BC22" i="5"/>
  <c r="T21" i="5"/>
  <c r="R97" i="5"/>
  <c r="BC57" i="5"/>
  <c r="J94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P65" i="5"/>
  <c r="AY113" i="5"/>
  <c r="AZ48" i="5"/>
  <c r="E61" i="11"/>
  <c r="G61" i="11" s="1"/>
  <c r="AY161" i="5"/>
  <c r="BB42" i="5"/>
  <c r="BD42" i="5" s="1"/>
  <c r="AP51" i="5"/>
  <c r="AR51" i="5" s="1"/>
  <c r="F187" i="5"/>
  <c r="AQ51" i="5"/>
  <c r="H126" i="5"/>
  <c r="F181" i="5"/>
  <c r="E52" i="11"/>
  <c r="G52" i="11" s="1"/>
  <c r="BC27" i="5"/>
  <c r="N109" i="11"/>
  <c r="P109" i="11" s="1"/>
  <c r="AY90" i="5"/>
  <c r="AY169" i="5"/>
  <c r="AQ65" i="5"/>
  <c r="AZ137" i="5"/>
  <c r="T83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Y171" i="5"/>
  <c r="AC37" i="5"/>
  <c r="AZ26" i="5"/>
  <c r="AZ63" i="5"/>
  <c r="E12" i="14"/>
  <c r="AZ90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H9" i="5"/>
  <c r="N178" i="11"/>
  <c r="P178" i="11" s="1"/>
  <c r="AX119" i="5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L114" i="5"/>
  <c r="BB90" i="5"/>
  <c r="BD90" i="5" s="1"/>
  <c r="AP196" i="5"/>
  <c r="AR196" i="5" s="1"/>
  <c r="N100" i="5"/>
  <c r="R122" i="5"/>
  <c r="AQ49" i="5"/>
  <c r="AQ196" i="5"/>
  <c r="H27" i="5"/>
  <c r="AQ175" i="5"/>
  <c r="L46" i="5"/>
  <c r="J95" i="5"/>
  <c r="AQ92" i="5"/>
  <c r="T46" i="5"/>
  <c r="AP20" i="5"/>
  <c r="AR20" i="5" s="1"/>
  <c r="R149" i="5"/>
  <c r="H201" i="11"/>
  <c r="J201" i="11" s="1"/>
  <c r="AY106" i="5"/>
  <c r="H109" i="5"/>
  <c r="J33" i="5"/>
  <c r="AC62" i="5"/>
  <c r="AP62" i="5"/>
  <c r="AR62" i="5" s="1"/>
  <c r="AX53" i="5"/>
  <c r="N177" i="5"/>
  <c r="AX128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U147" i="5"/>
  <c r="F147" i="5"/>
  <c r="AX15" i="5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X117" i="5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P186" i="5"/>
  <c r="F156" i="5"/>
  <c r="AX96" i="5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J66" i="5"/>
  <c r="AX180" i="5"/>
  <c r="F22" i="5"/>
  <c r="F47" i="5"/>
  <c r="H37" i="5"/>
  <c r="R128" i="5"/>
  <c r="R159" i="5"/>
  <c r="J185" i="5"/>
  <c r="F176" i="5"/>
  <c r="BB124" i="5"/>
  <c r="BD124" i="5" s="1"/>
  <c r="BC124" i="5"/>
  <c r="AX134" i="5"/>
  <c r="N54" i="5"/>
  <c r="J128" i="5"/>
  <c r="AU54" i="5"/>
  <c r="AC200" i="5"/>
  <c r="AP200" i="5"/>
  <c r="AR200" i="5" s="1"/>
  <c r="AX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X70" i="5"/>
  <c r="AX151" i="5"/>
  <c r="AY151" i="5"/>
  <c r="T97" i="5"/>
  <c r="N98" i="11"/>
  <c r="P98" i="11" s="1"/>
  <c r="AX154" i="5"/>
  <c r="AX124" i="5"/>
  <c r="AZ124" i="5" s="1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BB41" i="5"/>
  <c r="BD41" i="5" s="1"/>
  <c r="BC41" i="5"/>
  <c r="AX65" i="5"/>
  <c r="AX160" i="5"/>
  <c r="AT154" i="5"/>
  <c r="AV154" i="5" s="1"/>
  <c r="AU154" i="5"/>
  <c r="AP103" i="5"/>
  <c r="AR103" i="5" s="1"/>
  <c r="AC103" i="5"/>
  <c r="AX97" i="5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J191" i="5"/>
  <c r="AX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P18" i="5"/>
  <c r="F64" i="5"/>
  <c r="N23" i="11"/>
  <c r="P23" i="11" s="1"/>
  <c r="T22" i="5"/>
  <c r="AP110" i="5"/>
  <c r="AR110" i="5" s="1"/>
  <c r="AQ110" i="5"/>
  <c r="AC110" i="5"/>
  <c r="AX37" i="5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X197" i="5"/>
  <c r="AZ197" i="5" s="1"/>
  <c r="P197" i="5"/>
  <c r="N137" i="5"/>
  <c r="AU137" i="5"/>
  <c r="AT137" i="5"/>
  <c r="AV137" i="5" s="1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P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P130" i="5"/>
  <c r="AX130" i="5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X29" i="5"/>
  <c r="AZ29" i="5" s="1"/>
  <c r="P29" i="5"/>
  <c r="AX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P101" i="5"/>
  <c r="AX101" i="5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J127" i="5"/>
  <c r="AX153" i="5"/>
  <c r="P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P176" i="5"/>
  <c r="C204" i="1"/>
  <c r="AP67" i="5"/>
  <c r="AR67" i="5" s="1"/>
  <c r="AQ67" i="5"/>
  <c r="AC67" i="5"/>
  <c r="P51" i="5"/>
  <c r="AX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X196" i="5"/>
  <c r="P196" i="5"/>
  <c r="BB130" i="5"/>
  <c r="BD130" i="5" s="1"/>
  <c r="R130" i="5"/>
  <c r="BC130" i="5"/>
  <c r="N136" i="5"/>
  <c r="P135" i="5"/>
  <c r="AX135" i="5"/>
  <c r="AZ135" i="5" s="1"/>
  <c r="BB175" i="5"/>
  <c r="BD175" i="5" s="1"/>
  <c r="R175" i="5"/>
  <c r="BC175" i="5"/>
  <c r="AX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X195" i="5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P190" i="5"/>
  <c r="AX190" i="5"/>
  <c r="AZ190" i="5" s="1"/>
  <c r="F127" i="5"/>
  <c r="AU194" i="5"/>
  <c r="AT194" i="5"/>
  <c r="AV194" i="5" s="1"/>
  <c r="N194" i="5"/>
  <c r="AX138" i="5"/>
  <c r="AZ138" i="5" s="1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X184" i="5"/>
  <c r="T61" i="5"/>
  <c r="N62" i="11"/>
  <c r="P62" i="11" s="1"/>
  <c r="AY122" i="5"/>
  <c r="AX122" i="5"/>
  <c r="P122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X147" i="5"/>
  <c r="AT34" i="5"/>
  <c r="AV34" i="5" s="1"/>
  <c r="N34" i="5"/>
  <c r="AU34" i="5"/>
  <c r="P36" i="5"/>
  <c r="AX36" i="5"/>
  <c r="P104" i="5"/>
  <c r="AX104" i="5"/>
  <c r="AZ104" i="5" s="1"/>
  <c r="E72" i="11"/>
  <c r="G72" i="11" s="1"/>
  <c r="F71" i="5"/>
  <c r="P111" i="5"/>
  <c r="AX111" i="5"/>
  <c r="AZ111" i="5" s="1"/>
  <c r="AY93" i="5"/>
  <c r="AX93" i="5"/>
  <c r="P93" i="5"/>
  <c r="H193" i="5"/>
  <c r="AX109" i="5"/>
  <c r="AZ109" i="5" s="1"/>
  <c r="P109" i="5"/>
  <c r="N154" i="11"/>
  <c r="P154" i="11" s="1"/>
  <c r="L153" i="5"/>
  <c r="T153" i="5"/>
  <c r="AX9" i="5"/>
  <c r="AZ9" i="5" s="1"/>
  <c r="P9" i="5"/>
  <c r="H127" i="5"/>
  <c r="P194" i="5"/>
  <c r="AX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Y11" i="5"/>
  <c r="P11" i="5"/>
  <c r="BC198" i="5"/>
  <c r="R198" i="5"/>
  <c r="BB198" i="5"/>
  <c r="BD198" i="5" s="1"/>
  <c r="E204" i="1"/>
  <c r="P60" i="5"/>
  <c r="AY60" i="5"/>
  <c r="AX60" i="5"/>
  <c r="AX89" i="5"/>
  <c r="P89" i="5"/>
  <c r="F84" i="5"/>
  <c r="AY164" i="5"/>
  <c r="AX164" i="5"/>
  <c r="AZ164" i="5" s="1"/>
  <c r="P164" i="5"/>
  <c r="AX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P62" i="5"/>
  <c r="AX62" i="5"/>
  <c r="AZ62" i="5" s="1"/>
  <c r="AX23" i="5"/>
  <c r="AZ23" i="5" s="1"/>
  <c r="P23" i="5"/>
  <c r="AX14" i="5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P31" i="5"/>
  <c r="AY31" i="5"/>
  <c r="N176" i="11"/>
  <c r="P176" i="11" s="1"/>
  <c r="T175" i="5"/>
  <c r="BB158" i="5"/>
  <c r="BD158" i="5" s="1"/>
  <c r="BC158" i="5"/>
  <c r="R158" i="5"/>
  <c r="N37" i="5"/>
  <c r="P76" i="5"/>
  <c r="AX76" i="5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P42" i="5"/>
  <c r="N197" i="5"/>
  <c r="AU197" i="5"/>
  <c r="AT197" i="5"/>
  <c r="AV197" i="5" s="1"/>
  <c r="AX98" i="5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P33" i="5"/>
  <c r="AY33" i="5"/>
  <c r="H176" i="5"/>
  <c r="AU129" i="5"/>
  <c r="AT129" i="5"/>
  <c r="AV129" i="5" s="1"/>
  <c r="N12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P64" i="5"/>
  <c r="P151" i="9"/>
  <c r="AY118" i="5"/>
  <c r="P118" i="5"/>
  <c r="AX118" i="5"/>
  <c r="F191" i="5"/>
  <c r="R90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X91" i="5"/>
  <c r="P91" i="5"/>
  <c r="R191" i="5"/>
  <c r="BB191" i="5"/>
  <c r="BD191" i="5" s="1"/>
  <c r="BC191" i="5"/>
  <c r="P136" i="9"/>
  <c r="AX152" i="5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P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X183" i="5"/>
  <c r="B10" i="15"/>
  <c r="W51" i="14"/>
  <c r="B13" i="15" s="1"/>
  <c r="B66" i="15" s="1"/>
  <c r="W52" i="14"/>
  <c r="H13" i="15" s="1"/>
  <c r="H10" i="15"/>
  <c r="AX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X73" i="5"/>
  <c r="P73" i="5"/>
  <c r="R107" i="5"/>
  <c r="AQ157" i="5"/>
  <c r="AP157" i="5"/>
  <c r="AR157" i="5" s="1"/>
  <c r="AC157" i="5"/>
  <c r="AX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P4" i="5"/>
  <c r="AX20" i="5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P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P47" i="5"/>
  <c r="L18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P192" i="5"/>
  <c r="N8" i="11"/>
  <c r="P8" i="11" s="1"/>
  <c r="T7" i="5"/>
  <c r="AT46" i="5"/>
  <c r="AV46" i="5" s="1"/>
  <c r="AU46" i="5"/>
  <c r="N46" i="5"/>
  <c r="AX13" i="5"/>
  <c r="AZ13" i="5" s="1"/>
  <c r="P13" i="5"/>
  <c r="J76" i="5"/>
  <c r="AX78" i="5"/>
  <c r="AZ78" i="5" s="1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X140" i="5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AZ46" i="5" l="1"/>
  <c r="AY100" i="5"/>
  <c r="AY25" i="5"/>
  <c r="AY114" i="5"/>
  <c r="AZ74" i="5"/>
  <c r="AY40" i="5"/>
  <c r="AZ181" i="5"/>
  <c r="AY63" i="5"/>
  <c r="AZ140" i="5"/>
  <c r="AY200" i="5"/>
  <c r="AY112" i="5"/>
  <c r="AZ20" i="5"/>
  <c r="AY8" i="5"/>
  <c r="AZ152" i="5"/>
  <c r="AY103" i="5"/>
  <c r="AY189" i="5"/>
  <c r="AY42" i="5"/>
  <c r="AZ11" i="5"/>
  <c r="AY194" i="5"/>
  <c r="AY109" i="5"/>
  <c r="AY104" i="5"/>
  <c r="AZ184" i="5"/>
  <c r="AY190" i="5"/>
  <c r="AY135" i="5"/>
  <c r="AY153" i="5"/>
  <c r="AZ101" i="5"/>
  <c r="AZ21" i="5"/>
  <c r="AY24" i="5"/>
  <c r="AY160" i="5"/>
  <c r="AZ70" i="5"/>
  <c r="AY180" i="5"/>
  <c r="AZ96" i="5"/>
  <c r="AY97" i="5"/>
  <c r="AY199" i="5"/>
  <c r="AY128" i="5"/>
  <c r="AY41" i="5"/>
  <c r="AZ119" i="5"/>
  <c r="AZ185" i="5"/>
  <c r="AY132" i="5"/>
  <c r="AY119" i="5"/>
  <c r="AY17" i="5"/>
  <c r="AY185" i="5"/>
  <c r="AY81" i="5"/>
  <c r="AY105" i="5"/>
  <c r="AZ127" i="5"/>
  <c r="AZ151" i="5"/>
  <c r="AZ117" i="5"/>
  <c r="AY39" i="5"/>
  <c r="AY3" i="5"/>
  <c r="AZ200" i="5"/>
  <c r="AY43" i="5"/>
  <c r="AY20" i="5"/>
  <c r="AZ8" i="5"/>
  <c r="AY149" i="5"/>
  <c r="AY150" i="5"/>
  <c r="AY155" i="5"/>
  <c r="AY152" i="5"/>
  <c r="AZ42" i="5"/>
  <c r="AY62" i="5"/>
  <c r="AZ89" i="5"/>
  <c r="AZ194" i="5"/>
  <c r="AZ36" i="5"/>
  <c r="AY184" i="5"/>
  <c r="AY158" i="5"/>
  <c r="AZ160" i="5"/>
  <c r="AY70" i="5"/>
  <c r="AY172" i="5"/>
  <c r="AZ134" i="5"/>
  <c r="AZ180" i="5"/>
  <c r="AY96" i="5"/>
  <c r="AZ50" i="5"/>
  <c r="AY67" i="5"/>
  <c r="AZ58" i="5"/>
  <c r="AZ128" i="5"/>
  <c r="AY5" i="5"/>
  <c r="AY83" i="5"/>
  <c r="AZ39" i="5"/>
  <c r="AY50" i="5"/>
  <c r="AZ77" i="5"/>
  <c r="K260" i="14"/>
  <c r="M260" i="14" s="1"/>
  <c r="O260" i="14" s="1"/>
  <c r="AY125" i="5"/>
  <c r="AZ41" i="5"/>
  <c r="AZ165" i="5"/>
  <c r="AY107" i="5"/>
  <c r="AY74" i="5"/>
  <c r="AY140" i="5"/>
  <c r="AZ73" i="5"/>
  <c r="AY174" i="5"/>
  <c r="AY133" i="5"/>
  <c r="AZ3" i="5"/>
  <c r="AY73" i="5"/>
  <c r="AY159" i="5"/>
  <c r="AZ150" i="5"/>
  <c r="AY89" i="5"/>
  <c r="AY176" i="5"/>
  <c r="AZ153" i="5"/>
  <c r="AY101" i="5"/>
  <c r="AY16" i="5"/>
  <c r="AZ130" i="5"/>
  <c r="AY54" i="5"/>
  <c r="AY141" i="5"/>
  <c r="AY65" i="5"/>
  <c r="AZ172" i="5"/>
  <c r="AY134" i="5"/>
  <c r="AY165" i="5"/>
  <c r="AZ5" i="5"/>
  <c r="AY120" i="5"/>
  <c r="AZ25" i="5"/>
  <c r="AY137" i="5"/>
  <c r="AZ144" i="5"/>
  <c r="AZ131" i="5"/>
  <c r="AZ188" i="5"/>
  <c r="AZ120" i="5"/>
  <c r="AY46" i="5"/>
  <c r="J260" i="14"/>
  <c r="AZ94" i="5"/>
  <c r="AY115" i="5"/>
  <c r="AZ133" i="5"/>
  <c r="AY68" i="5"/>
  <c r="AY78" i="5"/>
  <c r="AZ192" i="5"/>
  <c r="AY47" i="5"/>
  <c r="AZ12" i="5"/>
  <c r="AZ43" i="5"/>
  <c r="AZ4" i="5"/>
  <c r="AZ159" i="5"/>
  <c r="AZ19" i="5"/>
  <c r="AZ155" i="5"/>
  <c r="AZ118" i="5"/>
  <c r="AZ60" i="5"/>
  <c r="AZ93" i="5"/>
  <c r="AY36" i="5"/>
  <c r="AZ2" i="5"/>
  <c r="AZ34" i="5"/>
  <c r="AZ176" i="5"/>
  <c r="AZ16" i="5"/>
  <c r="AZ54" i="5"/>
  <c r="AY18" i="5"/>
  <c r="AZ141" i="5"/>
  <c r="AY162" i="5"/>
  <c r="AZ65" i="5"/>
  <c r="AY88" i="5"/>
  <c r="AZ161" i="5"/>
  <c r="AZ15" i="5"/>
  <c r="AZ53" i="5"/>
  <c r="AY72" i="5"/>
  <c r="AZ199" i="5"/>
  <c r="AZ106" i="5"/>
  <c r="AY64" i="5"/>
  <c r="AZ72" i="5"/>
  <c r="AZ22" i="5"/>
  <c r="AY138" i="5"/>
  <c r="AZ139" i="5"/>
  <c r="AY130" i="5"/>
  <c r="AZ18" i="5"/>
  <c r="AZ162" i="5"/>
  <c r="AY124" i="5"/>
  <c r="AZ88" i="5"/>
  <c r="AY7" i="5"/>
  <c r="AY131" i="5"/>
  <c r="AY53" i="5"/>
  <c r="AY188" i="5"/>
  <c r="AY84" i="5"/>
  <c r="AZ83" i="5"/>
  <c r="AY28" i="5"/>
  <c r="AZ110" i="5"/>
  <c r="AY146" i="5"/>
  <c r="AY143" i="5"/>
  <c r="AY10" i="5"/>
  <c r="AZ40" i="5"/>
  <c r="AZ107" i="5"/>
  <c r="AY127" i="5"/>
  <c r="AY55" i="5"/>
  <c r="AZ169" i="5"/>
  <c r="AY13" i="5"/>
  <c r="AY148" i="5"/>
  <c r="AZ183" i="5"/>
  <c r="AZ191" i="5"/>
  <c r="AZ98" i="5"/>
  <c r="AZ31" i="5"/>
  <c r="AY71" i="5"/>
  <c r="AY9" i="5"/>
  <c r="AY111" i="5"/>
  <c r="AY156" i="5"/>
  <c r="AZ126" i="5"/>
  <c r="AZ195" i="5"/>
  <c r="AY182" i="5"/>
  <c r="AY51" i="5"/>
  <c r="AY29" i="5"/>
  <c r="AY198" i="5"/>
  <c r="AY197" i="5"/>
  <c r="AZ37" i="5"/>
  <c r="AY61" i="5"/>
  <c r="AY102" i="5"/>
  <c r="AY69" i="5"/>
  <c r="AY154" i="5"/>
  <c r="AY82" i="5"/>
  <c r="AY15" i="5"/>
  <c r="AY48" i="5"/>
  <c r="AZ114" i="5"/>
  <c r="AZ28" i="5"/>
  <c r="AZ100" i="5"/>
  <c r="AZ113" i="5"/>
  <c r="AZ193" i="5"/>
  <c r="AZ10" i="5"/>
  <c r="AZ99" i="5"/>
  <c r="AY181" i="5"/>
  <c r="AY94" i="5"/>
  <c r="AZ148" i="5"/>
  <c r="AY183" i="5"/>
  <c r="AZ91" i="5"/>
  <c r="AZ33" i="5"/>
  <c r="AY79" i="5"/>
  <c r="AY98" i="5"/>
  <c r="AZ76" i="5"/>
  <c r="AZ14" i="5"/>
  <c r="AZ71" i="5"/>
  <c r="AZ147" i="5"/>
  <c r="AY66" i="5"/>
  <c r="AY195" i="5"/>
  <c r="AZ182" i="5"/>
  <c r="AZ196" i="5"/>
  <c r="AZ51" i="5"/>
  <c r="AY37" i="5"/>
  <c r="AZ61" i="5"/>
  <c r="AZ97" i="5"/>
  <c r="AZ102" i="5"/>
  <c r="AZ154" i="5"/>
  <c r="AZ82" i="5"/>
  <c r="AY157" i="5"/>
  <c r="AY186" i="5"/>
  <c r="AY26" i="5"/>
  <c r="AY175" i="5"/>
  <c r="AY58" i="5"/>
  <c r="AZ186" i="5"/>
  <c r="AZ175" i="5"/>
  <c r="AZ81" i="5"/>
  <c r="AY99" i="5"/>
  <c r="AY91" i="5"/>
  <c r="AY35" i="5"/>
  <c r="AY76" i="5"/>
  <c r="AY23" i="5"/>
  <c r="AY147" i="5"/>
  <c r="AZ122" i="5"/>
  <c r="AY196" i="5"/>
  <c r="AZ87" i="5"/>
  <c r="AZ198" i="5"/>
  <c r="AZ136" i="5"/>
  <c r="AY52" i="5"/>
  <c r="AZ157" i="5"/>
  <c r="AY117" i="5"/>
  <c r="AZ125" i="5"/>
  <c r="AY145" i="5"/>
  <c r="AY110" i="5"/>
  <c r="AZ132" i="5"/>
  <c r="AZ123" i="5"/>
  <c r="AZ55" i="5"/>
  <c r="C86" i="15"/>
  <c r="M261" i="14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63" i="15" s="1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38" i="15"/>
  <c r="B64" i="15" s="1"/>
  <c r="A39" i="15"/>
  <c r="E35" i="15" s="1"/>
  <c r="M263" i="14"/>
  <c r="A265" i="14" s="1"/>
  <c r="O258" i="14"/>
  <c r="H41" i="14" l="1"/>
  <c r="D22" i="15"/>
  <c r="H33" i="15"/>
  <c r="B26" i="14"/>
  <c r="B65" i="15" s="1"/>
  <c r="E26" i="14"/>
  <c r="J4" i="14" s="1"/>
  <c r="C38" i="15"/>
  <c r="G5" i="15"/>
  <c r="B60" i="15" l="1"/>
  <c r="B62" i="15"/>
  <c r="E8" i="15"/>
  <c r="H8" i="15"/>
  <c r="J5" i="15" s="1"/>
  <c r="E6" i="15"/>
  <c r="C22" i="15"/>
  <c r="D5" i="15"/>
  <c r="H4" i="15"/>
  <c r="B28" i="14"/>
  <c r="C5" i="15"/>
  <c r="B86" i="15"/>
  <c r="B87" i="15" s="1"/>
  <c r="C87" i="15" s="1"/>
  <c r="B207" i="1"/>
  <c r="G2" i="15" l="1"/>
  <c r="C4" i="15"/>
  <c r="B3" i="15"/>
  <c r="B67" i="15" s="1"/>
  <c r="B7" i="15" l="1"/>
  <c r="A7" i="15"/>
  <c r="G1" i="15"/>
</calcChain>
</file>

<file path=xl/sharedStrings.xml><?xml version="1.0" encoding="utf-8"?>
<sst xmlns="http://schemas.openxmlformats.org/spreadsheetml/2006/main" count="40715" uniqueCount="581">
  <si>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</si>
  <si>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</si>
  <si>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</si>
  <si>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</si>
  <si>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</si>
  <si>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</si>
  <si>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</si>
  <si>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</si>
  <si>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</si>
  <si>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</si>
  <si>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</si>
  <si>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</si>
  <si>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</si>
  <si>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</si>
  <si>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</si>
  <si>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</si>
  <si>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</si>
  <si>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</si>
  <si>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</si>
  <si>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</si>
  <si>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</si>
  <si>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</si>
  <si>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</si>
  <si>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</si>
  <si>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</si>
  <si>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</si>
  <si>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</si>
  <si>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</si>
  <si>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</si>
  <si>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</si>
  <si>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</si>
  <si>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</si>
  <si>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</si>
  <si>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</si>
  <si>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</si>
  <si>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</si>
  <si>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</si>
  <si>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</si>
  <si>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</si>
  <si>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</si>
  <si>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</si>
  <si>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</si>
  <si>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</si>
  <si>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</si>
  <si>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</si>
  <si>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</si>
  <si>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</si>
  <si>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</si>
  <si>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</si>
  <si>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</si>
  <si>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</si>
  <si>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</si>
  <si>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</si>
  <si>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</si>
  <si>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</si>
  <si>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</si>
  <si>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</si>
  <si>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</si>
  <si>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</si>
  <si>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</si>
  <si>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</si>
  <si>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</si>
  <si>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</si>
  <si>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</si>
  <si>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</si>
  <si>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</si>
  <si>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</si>
  <si>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</si>
  <si>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</si>
  <si>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</si>
  <si>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</si>
  <si>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</si>
  <si>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</si>
  <si>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</si>
  <si>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</si>
  <si>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</si>
  <si>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</si>
  <si>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</si>
  <si>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</si>
  <si>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</si>
  <si>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</si>
  <si>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</si>
  <si>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</si>
  <si>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</si>
  <si>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</si>
  <si>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</si>
  <si>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</si>
  <si>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</si>
  <si>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</si>
  <si>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</si>
  <si>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</si>
  <si>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</si>
  <si>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</si>
  <si>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</si>
  <si>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</si>
  <si>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</si>
  <si>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</si>
  <si>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</si>
  <si>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</si>
  <si>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</si>
  <si>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</si>
  <si>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</si>
  <si>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</si>
  <si>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</si>
  <si>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</si>
  <si>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</si>
  <si>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</si>
  <si>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</si>
  <si>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</si>
  <si>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</si>
  <si>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</si>
  <si>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</si>
  <si>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</si>
  <si>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</si>
  <si>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</si>
  <si>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</si>
  <si>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</si>
  <si>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</si>
  <si>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</si>
  <si>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</si>
  <si>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</si>
  <si>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</si>
  <si>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</si>
  <si>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</si>
  <si>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</si>
  <si>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</si>
  <si>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</si>
  <si>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</si>
  <si>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</si>
  <si>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</si>
  <si>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</si>
  <si>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</si>
  <si>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</si>
  <si>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</si>
  <si>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</si>
  <si>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</si>
  <si>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</si>
  <si>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</si>
  <si>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</si>
  <si>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</si>
  <si>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</si>
  <si>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</si>
  <si>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</si>
  <si>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</si>
  <si>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</si>
  <si>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</si>
  <si>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</si>
  <si>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</si>
  <si>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</si>
  <si>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</si>
  <si>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</si>
  <si>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</si>
  <si>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</si>
  <si>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</si>
  <si>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</si>
  <si>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</si>
  <si>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</si>
  <si>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</si>
  <si>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</si>
  <si>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</si>
  <si>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</si>
  <si>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</si>
  <si>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</si>
  <si>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</si>
  <si>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</si>
  <si>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</si>
  <si>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</si>
  <si>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</si>
  <si>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</si>
  <si>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</si>
  <si>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</si>
  <si>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</si>
  <si>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</si>
  <si>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</si>
  <si>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</si>
  <si>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</si>
  <si>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</si>
  <si>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</si>
  <si>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</si>
  <si>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</si>
  <si>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</si>
  <si>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</si>
  <si>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</si>
  <si>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</si>
  <si>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</si>
  <si>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</si>
  <si>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</si>
  <si>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</si>
  <si>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</si>
  <si>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</si>
  <si>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</si>
  <si>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</si>
  <si>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</si>
  <si>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</si>
  <si>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</si>
  <si>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</si>
  <si>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</si>
  <si>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</si>
  <si>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</si>
  <si>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</si>
  <si>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</si>
  <si>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</si>
  <si>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</si>
  <si>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</si>
  <si>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</si>
  <si>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</si>
  <si>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</si>
  <si>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</si>
  <si>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</si>
  <si>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</si>
  <si>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</si>
  <si>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</si>
  <si>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</si>
  <si>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</si>
  <si>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</si>
  <si>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</si>
  <si>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</si>
  <si>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</si>
  <si>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</si>
  <si>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</si>
  <si>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</si>
  <si>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</si>
  <si>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</si>
  <si>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</si>
  <si>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</si>
  <si>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</si>
  <si>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</si>
  <si>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</si>
  <si>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</si>
  <si>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</si>
  <si>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</si>
  <si>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</si>
  <si>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</si>
  <si>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</si>
  <si>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</si>
  <si>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</si>
  <si>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</si>
  <si>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</si>
  <si>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</si>
  <si>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</si>
  <si>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</si>
  <si>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</si>
  <si>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</si>
  <si>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</si>
  <si>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</si>
  <si>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</si>
  <si>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</si>
  <si>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</si>
  <si>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</si>
  <si>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</si>
  <si>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</si>
  <si>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</si>
  <si>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</si>
  <si>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</si>
  <si>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</si>
  <si>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</si>
  <si>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</si>
  <si>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</si>
  <si>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</si>
  <si>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</si>
  <si>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</si>
  <si>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</si>
  <si>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</si>
  <si>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</si>
  <si>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</si>
  <si>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</si>
  <si>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</si>
  <si>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</si>
  <si>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</si>
  <si>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</si>
  <si>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</si>
  <si>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</si>
  <si>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</si>
  <si>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</si>
  <si>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</si>
  <si>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</si>
  <si>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</si>
  <si>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</si>
  <si>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</si>
  <si>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</si>
  <si>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</si>
  <si>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</si>
  <si>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</si>
  <si>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</si>
  <si>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</si>
  <si>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</si>
  <si>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</si>
  <si>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</si>
  <si>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</si>
  <si>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</si>
  <si>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</si>
  <si>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</si>
  <si>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</si>
  <si>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</si>
  <si>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</si>
  <si>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</si>
  <si>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</si>
  <si>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</si>
  <si>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</si>
  <si>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</si>
  <si>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</si>
  <si>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</si>
  <si>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</si>
  <si>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</si>
  <si>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</si>
  <si>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</si>
  <si>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</si>
  <si>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</si>
  <si>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</si>
  <si>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</si>
  <si>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</si>
  <si>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</si>
  <si>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</si>
  <si>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</si>
  <si>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</si>
  <si>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</si>
  <si>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</si>
  <si>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</si>
  <si>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</si>
  <si>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</si>
  <si>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</si>
  <si>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</si>
  <si>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</si>
  <si>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</si>
  <si>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</si>
  <si>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</si>
  <si>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</si>
  <si>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</si>
  <si>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</si>
  <si>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</si>
  <si>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</si>
  <si>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</si>
  <si>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</si>
  <si>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</si>
  <si>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</si>
  <si>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</si>
  <si>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</si>
  <si>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</si>
  <si>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</si>
  <si>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</si>
  <si>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</si>
  <si>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</si>
  <si>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</si>
  <si>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</si>
  <si>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</si>
  <si>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</si>
  <si>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</si>
  <si>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</si>
  <si>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</si>
  <si>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</si>
  <si>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</si>
  <si>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</si>
  <si>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</si>
  <si>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</si>
  <si>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</si>
  <si>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</si>
  <si>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</si>
  <si>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</si>
  <si>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</si>
  <si>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</si>
  <si>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</si>
  <si>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</si>
  <si>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</si>
  <si>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</si>
  <si>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</si>
  <si>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</si>
  <si>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</si>
  <si>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</si>
  <si>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</si>
  <si>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</si>
  <si>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</si>
  <si>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</si>
  <si>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</si>
  <si>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</si>
  <si>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</si>
  <si>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</si>
  <si>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</si>
  <si>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</si>
  <si>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</si>
  <si>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</si>
  <si>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</si>
  <si>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</si>
  <si>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</si>
  <si>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</si>
  <si>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</si>
  <si>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</si>
  <si>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</si>
  <si>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</si>
  <si>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</si>
  <si>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</si>
  <si>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</si>
  <si>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</si>
  <si>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</si>
  <si>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</si>
  <si>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</si>
  <si>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</si>
  <si>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</si>
  <si>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</si>
  <si>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</si>
  <si>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</si>
  <si>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</si>
  <si>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</si>
  <si>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</si>
  <si>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</si>
  <si>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</si>
  <si>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</si>
  <si>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</si>
  <si>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</si>
  <si>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</si>
  <si>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</si>
  <si>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</si>
  <si>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</si>
  <si>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</si>
  <si>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</si>
  <si>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</si>
  <si>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</si>
  <si>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</si>
  <si>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</si>
  <si>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</si>
  <si>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</si>
  <si>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</si>
  <si>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</si>
  <si>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</si>
  <si>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</si>
  <si>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</si>
  <si>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</si>
  <si>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</si>
  <si>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</si>
  <si>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</si>
  <si>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</si>
  <si>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</si>
  <si>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</si>
  <si>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</si>
  <si>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</si>
  <si>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</si>
  <si>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</si>
  <si>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</si>
  <si>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</si>
  <si>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</si>
  <si>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</si>
  <si>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</si>
  <si>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</si>
  <si>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</si>
  <si>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</si>
  <si>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</si>
  <si>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</si>
  <si>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</si>
  <si>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</si>
  <si>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</si>
  <si>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</si>
  <si>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</si>
  <si>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</si>
  <si>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</si>
  <si>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</si>
  <si>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</si>
  <si>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</si>
  <si>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</si>
  <si>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</si>
  <si>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</si>
  <si>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</si>
  <si>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</si>
  <si>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</si>
  <si>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</si>
  <si>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</si>
  <si>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</si>
  <si>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</si>
  <si>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</si>
  <si>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</si>
  <si>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</si>
  <si>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</si>
  <si>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</si>
  <si>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</si>
  <si>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</si>
  <si>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</si>
  <si>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</si>
  <si>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</si>
  <si>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</si>
  <si>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</si>
  <si>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</si>
  <si>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</si>
  <si>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</si>
  <si>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</si>
  <si>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</si>
  <si>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</si>
  <si>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</si>
  <si>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</si>
  <si>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</si>
  <si>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</si>
  <si>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</si>
  <si>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</si>
  <si>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</si>
  <si>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</si>
  <si>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</si>
  <si>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</si>
  <si>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</si>
  <si>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</si>
  <si>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</si>
  <si>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</si>
  <si>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</si>
  <si>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</si>
  <si>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</si>
  <si>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</si>
  <si>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</si>
  <si>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</si>
  <si>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</si>
  <si>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</si>
  <si>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</si>
  <si>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</si>
  <si>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Execução registrada para o ciclo em andamento.</t>
  </si>
  <si>
    <t>Saldo atualizado que ainda falta executar.</t>
  </si>
  <si>
    <t>R$ 0,00 indica que as duas formas de cálculo chegaram ao mesmo valor.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</si>
  <si>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</si>
  <si>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</si>
  <si>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</si>
  <si>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</si>
  <si>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</si>
  <si>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</si>
  <si>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</si>
  <si>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</si>
  <si>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</si>
  <si>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</si>
  <si>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</si>
  <si>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</si>
  <si>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</si>
  <si>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</si>
  <si>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</si>
  <si>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</si>
  <si>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</si>
  <si>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</si>
  <si>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</si>
  <si>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</si>
  <si>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</si>
  <si>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</si>
  <si>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</si>
  <si>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</si>
  <si>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</si>
  <si>
    <t>VTA-PC antes da parcela potencial</t>
  </si>
  <si>
    <t>VALOR EM ANÁLISE - NÃO PAGOS (ÁREA GEST.)</t>
  </si>
  <si>
    <t>Valor em análise — não pagos (regra vigente)</t>
  </si>
  <si>
    <t>RETROATIVO RECONHECIDO A PAGAR</t>
  </si>
  <si>
    <t>Diferença reconhecida dos PCs pagos e alcançados pelos efeitos financeiros. É o retroativo a pagar.</t>
  </si>
  <si>
    <t>7. Retroativo potencial — POTENCIAL</t>
  </si>
  <si>
    <t>8. Retroativo considerado no VTA</t>
  </si>
  <si>
    <t>Soma da medida 6 com a medida 7: o retroativo total que o Valor Total Atualizado já considera.</t>
  </si>
  <si>
    <t>9. Execução do ciclo atual</t>
  </si>
  <si>
    <t>10. Saldo remanescente atual</t>
  </si>
  <si>
    <t>11. VTA oficial</t>
  </si>
  <si>
    <t>Valor Total Atualizado apurado pelo método selecionado. No método de Pedidos de Compra ele já inclui a medida 7.</t>
  </si>
  <si>
    <t>12. Diferença entre as formas de cálculo</t>
  </si>
  <si>
    <t>13. Resultado da apuração</t>
  </si>
  <si>
    <t>Retroativo potencial INCORPORADO ao VTA (soma das parcelas POSITIVAS, PC a PC, de todos os ciclos ate a data de corte)</t>
  </si>
  <si>
    <t>Retroativo potencial APURADO liquido (informativo; pode ser negativo e nunca e o valor somado ao VTA)</t>
  </si>
  <si>
    <t>Potencial POSITIVO C0 (itens_PC!J &gt; 0, ate a data de corte)</t>
  </si>
  <si>
    <t>Potencial POSITIVO C1 (itens_PC!J &gt; 0, ate a data de corte)</t>
  </si>
  <si>
    <t>Potencial POSITIVO C2 (itens_PC!J &gt; 0, ate a data de corte)</t>
  </si>
  <si>
    <t>Potencial POSITIVO C3 (itens_PC!J &gt; 0, ate a data de corte)</t>
  </si>
  <si>
    <t>Potencial POSITIVO C4 (itens_PC!J &gt; 0, ate a data de corte)</t>
  </si>
  <si>
    <t>Parcela potencial NEGATIVA apurada (permanece visivel; nao reduz o VTA nem compensa parcela positiva)</t>
  </si>
  <si>
    <t>Soma de TODAS as parcelas potenciais positivas dos PCs em análise até a data de corte — inclusive as do ciclo vigente. O VTA a incorpora por critério prudencial. Não é retroativo reconhecido nem valor a pagar.</t>
  </si>
  <si>
    <t>AJUSTE_CICLO</t>
  </si>
  <si>
    <t>AJUSTE_VALOR_CALCULADO</t>
  </si>
  <si>
    <t>AJUSTE_TIPO</t>
  </si>
  <si>
    <t>AJUSTE_VALOR_INFORMADO</t>
  </si>
  <si>
    <t>AJUSTE_VALOR_PAGO_CONSIDERADO</t>
  </si>
  <si>
    <t>AJUSTE_GLOSA</t>
  </si>
  <si>
    <t>AJUSTE_FATOR</t>
  </si>
  <si>
    <t>AJUSTE_VALOR_PAGO_ATUALIZADO</t>
  </si>
  <si>
    <t>AJUSTE_RETROATIVO</t>
  </si>
  <si>
    <t>AJUSTE_STATUS</t>
  </si>
  <si>
    <t>AJUSTES DA EXECUCAO - VALOR PAGO / GLOSAS (OPCIONAL)</t>
  </si>
  <si>
    <t>Preencha somente quando o valor pago considerado na execucao do ciclo diferir do valor calculado pelos itens consumidos.</t>
  </si>
  <si>
    <t>AJUSTE_TIPO vazio = comportamento normal. Escolha 'Valor pago' para informar o valor bruto reconhecido apos a glosa, ou 'Glosa' para informar o total glosado no ciclo.</t>
  </si>
  <si>
    <t>Valor pago = valor bruto da execucao economicamente reconhecida, antes do reajuste retroativo em apuracao. Nao e valor liquido: IR, ISS, INSS e demais retencoes tributarias nao sao glosa.</t>
  </si>
  <si>
    <t>A glosa e financeira: nao altera quantidade consumida nem devolve saldo ao remanescente. Uma glosa que alcance dois ciclos deve ser segregada entre eles.</t>
  </si>
  <si>
    <t>AJUSTES DA EXECUCAO - VALOR PAGO / GLOSA (metodo Itens)</t>
  </si>
  <si>
    <t>Valor calculado da execucao (ciclos ajustados)</t>
  </si>
  <si>
    <t>Glosa total</t>
  </si>
  <si>
    <t>Valor pago considerado</t>
  </si>
  <si>
    <t>Valor pago atualizado</t>
  </si>
  <si>
    <t>Retroativo do valor pago</t>
  </si>
  <si>
    <t>Status dos ajustes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</si>
</sst>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  <numFmt numFmtId="184" formatCode="#.##000"/>
    <numFmt numFmtId="185" formatCode="0,000,000"/>
  </numFmts>
  <fonts count="8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  <font>
      <b/>
      <sz val="11"/>
      <color rgb="FF1F3864"/>
      <name val="Calibri"/>
      <family val="2"/>
    </font>
    <font>
      <b/>
      <sz val="10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7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BFBFBF"/>
      </left>
      <right style="thin">
        <color rgb="FFBFBFBF"/>
      </right>
      <top style="medium">
        <color rgb="FF9DC3E6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9DC3E6"/>
      </top>
      <bottom/>
      <diagonal/>
    </border>
  </borders>
  <cellStyleXfs count="1">
    <xf numFmtId="0" fontId="0" fillId="0" borderId="38"/>
  </cellStyleXfs>
  <cellXfs count="491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16" fillId="63" borderId="72" xfId="0" applyFont="1" applyFill="1" applyBorder="1" applyAlignment="1">
      <alignment horizontal="center"/>
    </xf>
    <xf numFmtId="178" fontId="16" fillId="63" borderId="72" xfId="0" applyNumberFormat="1" applyFont="1" applyFill="1" applyBorder="1" applyAlignment="1">
      <alignment horizontal="right"/>
    </xf>
    <xf numFmtId="0" fontId="80" fillId="0" borderId="38" xfId="0" applyFont="1" applyAlignment="1">
      <alignment horizontal="left" vertical="center"/>
    </xf>
    <xf numFmtId="178" fontId="80" fillId="0" borderId="38" xfId="0" applyNumberFormat="1" applyFont="1" applyAlignment="1">
      <alignment horizontal="right" vertical="center"/>
    </xf>
    <xf numFmtId="0" fontId="79" fillId="0" borderId="38" xfId="0" applyFont="1" applyAlignment="1">
      <alignment horizontal="left" vertical="center"/>
    </xf>
    <xf numFmtId="178" fontId="79" fillId="0" borderId="38" xfId="0" applyNumberFormat="1" applyFont="1" applyAlignment="1">
      <alignment horizontal="right" vertical="center"/>
    </xf>
    <xf numFmtId="0" fontId="8" fillId="51" borderId="3" xfId="0" applyFont="1" applyFill="1" applyBorder="1" applyAlignment="1">
      <alignment horizontal="right"/>
    </xf>
    <xf numFmtId="183" fontId="0" fillId="0" borderId="0" xfId="0" applyNumberFormat="1" applyBorder="1"/>
    <xf numFmtId="0" fontId="10" fillId="63" borderId="72" xfId="0" applyFont="1" applyFill="1" applyBorder="1" applyAlignment="1">
      <alignment horizontal="center" vertical="center" wrapText="1"/>
    </xf>
    <xf numFmtId="3" fontId="10" fillId="63" borderId="72" xfId="0" applyNumberFormat="1" applyFont="1" applyFill="1" applyBorder="1" applyAlignment="1">
      <alignment horizontal="center" vertical="center" wrapText="1"/>
    </xf>
    <xf numFmtId="178" fontId="10" fillId="63" borderId="72" xfId="0" applyNumberFormat="1" applyFont="1" applyFill="1" applyBorder="1" applyAlignment="1">
      <alignment horizontal="right" vertical="center" wrapText="1"/>
    </xf>
    <xf numFmtId="0" fontId="8" fillId="52" borderId="77" xfId="0" applyFont="1" applyFill="1" applyBorder="1" applyAlignment="1">
      <alignment horizontal="center"/>
    </xf>
    <xf numFmtId="3" fontId="8" fillId="52" borderId="77" xfId="0" applyNumberFormat="1" applyFont="1" applyFill="1" applyBorder="1" applyAlignment="1">
      <alignment horizontal="center"/>
    </xf>
    <xf numFmtId="178" fontId="8" fillId="52" borderId="77" xfId="0" applyNumberFormat="1" applyFont="1" applyFill="1" applyBorder="1" applyAlignment="1">
      <alignment horizontal="right"/>
    </xf>
    <xf numFmtId="3" fontId="8" fillId="52" borderId="77" xfId="0" applyNumberFormat="1" applyFont="1" applyFill="1" applyBorder="1"/>
    <xf numFmtId="0" fontId="16" fillId="63" borderId="72" xfId="0" applyFont="1" applyFill="1" applyBorder="1" applyAlignment="1">
      <alignment horizontal="center" vertical="center" wrapText="1"/>
    </xf>
    <xf numFmtId="0" fontId="8" fillId="52" borderId="78" xfId="0" applyFont="1" applyFill="1" applyBorder="1" applyAlignment="1">
      <alignment horizontal="center"/>
    </xf>
    <xf numFmtId="178" fontId="8" fillId="52" borderId="78" xfId="0" applyNumberFormat="1" applyFont="1" applyFill="1" applyBorder="1" applyAlignment="1">
      <alignment horizontal="right"/>
    </xf>
    <xf numFmtId="178" fontId="82" fillId="64" borderId="77" xfId="0" applyNumberFormat="1" applyFont="1" applyFill="1" applyBorder="1" applyAlignment="1">
      <alignment horizontal="right"/>
    </xf>
    <xf numFmtId="178" fontId="82" fillId="64" borderId="78" xfId="0" applyNumberFormat="1" applyFont="1" applyFill="1" applyBorder="1" applyAlignment="1">
      <alignment horizontal="right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1" xfId="0" applyFont="1" applyFill="1" applyBorder="1" applyAlignment="1">
      <alignment horizontal="left" vertical="center" wrapText="1"/>
    </xf>
    <xf numFmtId="0" fontId="36" fillId="49" borderId="73" xfId="0" applyFont="1" applyFill="1" applyBorder="1" applyAlignment="1">
      <alignment horizontal="left" vertical="center" wrapText="1"/>
    </xf>
    <xf numFmtId="0" fontId="36" fillId="49" borderId="74" xfId="0" applyFont="1" applyFill="1" applyBorder="1" applyAlignment="1">
      <alignment horizontal="left" vertical="center" wrapText="1"/>
    </xf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79" fillId="52" borderId="77" xfId="0" applyFont="1" applyFill="1" applyBorder="1" applyAlignment="1">
      <alignment horizontal="left" vertical="center" wrapText="1"/>
    </xf>
    <xf numFmtId="183" fontId="81" fillId="52" borderId="77" xfId="0" applyNumberFormat="1" applyFont="1" applyFill="1" applyBorder="1" applyAlignment="1">
      <alignment horizontal="righ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4" borderId="11" xfId="0" applyFont="1" applyFill="1" applyBorder="1" applyAlignment="1">
      <alignment vertical="center" wrapText="1"/>
    </xf>
    <xf numFmtId="0" fontId="36" fillId="49" borderId="38" xfId="0" applyFont="1" applyFill="1" applyAlignment="1">
      <alignment horizontal="left" vertical="center" inden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36" fillId="49" borderId="49" xfId="0" applyFont="1" applyFill="1" applyBorder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79" fillId="52" borderId="5" xfId="0" applyFont="1" applyFill="1" applyBorder="1" applyAlignment="1">
      <alignment horizontal="center" vertical="center" wrapText="1"/>
    </xf>
    <xf numFmtId="0" fontId="50" fillId="51" borderId="3" xfId="0" applyFont="1" applyFill="1" applyBorder="1" applyAlignment="1">
      <alignment horizontal="left" wrapText="1"/>
    </xf>
    <xf numFmtId="0" fontId="50" fillId="51" borderId="5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33" fillId="0" borderId="0" xfId="0" applyFont="1" applyBorder="1"/>
    <xf numFmtId="184" fontId="0" fillId="0" borderId="0" xfId="0" applyNumberFormat="1" applyBorder="1"/>
    <xf numFmtId="185" fontId="0" fillId="0" borderId="0" xfId="0" applyNumberFormat="1" applyBorder="1"/>
  </cellXfs>
  <cellStyles count="1">
    <cellStyle name="Normal" xfId="0" builtinId="0"/>
  </cellStyles>
  <dxfs count="72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color rgb="FF1F3864"/>
      </font>
      <fill>
        <patternFill>
          <bgColor rgb="FFFAFAFA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46271.936761574078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89" t="s">
        <v>49</v>
      </c>
      <c r="B9" s="390"/>
      <c r="C9" s="390"/>
      <c r="D9" s="390"/>
      <c r="E9" s="390"/>
      <c r="F9" s="391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G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  <col min="24" max="24" width="10.6328125" customWidth="1"/>
    <col min="25" max="25" width="22.6328125" customWidth="1"/>
    <col min="26" max="26" width="16.6328125" customWidth="1"/>
    <col min="27" max="27" width="20.6328125" customWidth="1"/>
    <col min="28" max="28" width="26.6328125" customWidth="1"/>
    <col min="29" max="29" width="16.6328125" customWidth="1"/>
    <col min="30" max="30" width="14.6328125" customWidth="1"/>
    <col min="31" max="31" width="26.6328125" customWidth="1"/>
    <col min="32" max="32" width="20.6328125" customWidth="1"/>
    <col min="33" max="33" width="42.6328125" customWidth="1"/>
  </cols>
  <sheetData>
    <row r="1" spans="1:3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465</v>
      </c>
      <c r="W1" s="13"/>
      <c r="X1" s="488" t="s">
        <v>559</v>
      </c>
      <c r="Y1" s="488" t="s">
        <v>560</v>
      </c>
      <c r="Z1" s="488" t="s">
        <v>561</v>
      </c>
      <c r="AA1" s="488" t="s">
        <v>562</v>
      </c>
      <c r="AB1" s="488" t="s">
        <v>563</v>
      </c>
      <c r="AC1" s="488" t="s">
        <v>564</v>
      </c>
      <c r="AD1" s="488" t="s">
        <v>565</v>
      </c>
      <c r="AE1" s="488" t="s">
        <v>566</v>
      </c>
      <c r="AF1" s="488" t="s">
        <v>567</v>
      </c>
      <c r="AG1" s="488" t="s">
        <v>568</v>
      </c>
    </row>
    <row r="2" spans="1:3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  <c r="X2" t="s">
        <v>21</v>
      </c>
      <c r="Y2" s="489" t="str">
        <f>IF(COUNT($E$2:$E$200)=0,"",ROUND(SUMPRODUCT($E$2:$E$200,$C$2:$C$200),2))</f>
        <v/>
      </c>
      <c r="AA2" s="489"/>
      <c r="AB2" s="489" t="str">
        <f>IF($AG2&lt;&gt;"AJUSTE APLICADO","",IF($Z2="Valor pago",ROUND($AA2,2),ROUND($Y2-$AA2,2)))</f>
        <v/>
      </c>
      <c r="AC2" s="489" t="str">
        <f>IF($AG2&lt;&gt;"AJUSTE APLICADO","",ROUND($Y2-$AB2,2))</f>
        <v/>
      </c>
      <c r="AD2" s="490">
        <f>IF(ISNUMBER($U$2),$U$2,"")</f>
        <v>1</v>
      </c>
      <c r="AE2" s="489" t="str">
        <f>IF($AG2&lt;&gt;"AJUSTE APLICADO","",ROUND($AB2*$AD2,2))</f>
        <v/>
      </c>
      <c r="AF2" s="489" t="str">
        <f>IF($AG2&lt;&gt;"AJUSTE APLICADO","",ROUND($AE2-$AB2,2))</f>
        <v/>
      </c>
      <c r="AG2" t="str">
        <f>IF(AND($Z2="",$AA2=""),"",IF($Z2="","REVISAR: VALOR INFORMADO SEM TIPO DE AJUSTE",IF(AND($Z2&lt;&gt;"Valor pago",$Z2&lt;&gt;"Glosa"),"REVISAR: TIPO DE AJUSTE INVALIDO",IF($AA2="","REVISAR: TIPO DE AJUSTE SEM VALOR",IF(NOT(ISNUMBER($AA2)),"REVISAR: VALOR INFORMADO NAO NUMERICO",IF($AA2&lt;0,IF($Z2="Glosa","REVISAR: GLOSA NEGATIVA","REVISAR: VALOR PAGO NEGATIVO"),IF(NOT(ISNUMBER($Y2)),"REVISAR: SEM EXECUCAO CALCULADA NO CICLO",IF(NOT(ISNUMBER($AD2)),"REVISAR: FATOR DO CICLO INDISPONIVEL",IF(ROUND($AA2,2)&gt;ROUND($Y2,2),IF($Z2="Glosa","REVISAR: GLOSA MAIOR QUE O CALCULADO","REVISAR: VALOR PAGO MAIOR QUE O CALCULADO"),"AJUSTE APLICADO")))))))))</f>
        <v/>
      </c>
    </row>
    <row r="3" spans="1:3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  <c r="X3" t="s">
        <v>22</v>
      </c>
      <c r="Y3" s="489" t="str">
        <f>IF(COUNT($G$2:$G$200)=0,"",ROUND(SUMPRODUCT($G$2:$G$200,$C$2:$C$200),2))</f>
        <v/>
      </c>
      <c r="AA3" s="489"/>
      <c r="AB3" s="489" t="str">
        <f>IF($AG3&lt;&gt;"AJUSTE APLICADO","",IF($Z3="Valor pago",ROUND($AA3,2),ROUND($Y3-$AA3,2)))</f>
        <v/>
      </c>
      <c r="AC3" s="489" t="str">
        <f>IF($AG3&lt;&gt;"AJUSTE APLICADO","",ROUND($Y3-$AB3,2))</f>
        <v/>
      </c>
      <c r="AD3" s="490" t="str">
        <f>IF(ISNUMBER($U$3),$U$3,"")</f>
        <v/>
      </c>
      <c r="AE3" s="489" t="str">
        <f>IF($AG3&lt;&gt;"AJUSTE APLICADO","",ROUND($AB3*$AD3,2))</f>
        <v/>
      </c>
      <c r="AF3" s="489" t="str">
        <f>IF($AG3&lt;&gt;"AJUSTE APLICADO","",ROUND($AE3-$AB3,2))</f>
        <v/>
      </c>
      <c r="AG3" t="str">
        <f>IF(AND($Z3="",$AA3=""),"",IF($Z3="","REVISAR: VALOR INFORMADO SEM TIPO DE AJUSTE",IF(AND($Z3&lt;&gt;"Valor pago",$Z3&lt;&gt;"Glosa"),"REVISAR: TIPO DE AJUSTE INVALIDO",IF($AA3="","REVISAR: TIPO DE AJUSTE SEM VALOR",IF(NOT(ISNUMBER($AA3)),"REVISAR: VALOR INFORMADO NAO NUMERICO",IF($AA3&lt;0,IF($Z3="Glosa","REVISAR: GLOSA NEGATIVA","REVISAR: VALOR PAGO NEGATIVO"),IF(NOT(ISNUMBER($Y3)),"REVISAR: SEM EXECUCAO CALCULADA NO CICLO",IF(NOT(ISNUMBER($AD3)),"REVISAR: FATOR DO CICLO INDISPONIVEL",IF(ROUND($AA3,2)&gt;ROUND($Y3,2),IF($Z3="Glosa","REVISAR: GLOSA MAIOR QUE O CALCULADO","REVISAR: VALOR PAGO MAIOR QUE O CALCULADO"),"AJUSTE APLICADO")))))))))</f>
        <v/>
      </c>
    </row>
    <row r="4" spans="1:3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  <c r="X4" t="s">
        <v>23</v>
      </c>
      <c r="Y4" s="489" t="str">
        <f>IF(COUNT($I$2:$I$200)=0,"",ROUND(SUMPRODUCT($I$2:$I$200,$C$2:$C$200),2))</f>
        <v/>
      </c>
      <c r="AA4" s="489"/>
      <c r="AB4" s="489" t="str">
        <f>IF($AG4&lt;&gt;"AJUSTE APLICADO","",IF($Z4="Valor pago",ROUND($AA4,2),ROUND($Y4-$AA4,2)))</f>
        <v/>
      </c>
      <c r="AC4" s="489" t="str">
        <f>IF($AG4&lt;&gt;"AJUSTE APLICADO","",ROUND($Y4-$AB4,2))</f>
        <v/>
      </c>
      <c r="AD4" s="490" t="str">
        <f>IF(ISNUMBER($U$4),$U$4,"")</f>
        <v/>
      </c>
      <c r="AE4" s="489" t="str">
        <f>IF($AG4&lt;&gt;"AJUSTE APLICADO","",ROUND($AB4*$AD4,2))</f>
        <v/>
      </c>
      <c r="AF4" s="489" t="str">
        <f>IF($AG4&lt;&gt;"AJUSTE APLICADO","",ROUND($AE4-$AB4,2))</f>
        <v/>
      </c>
      <c r="AG4" t="str">
        <f>IF(AND($Z4="",$AA4=""),"",IF($Z4="","REVISAR: VALOR INFORMADO SEM TIPO DE AJUSTE",IF(AND($Z4&lt;&gt;"Valor pago",$Z4&lt;&gt;"Glosa"),"REVISAR: TIPO DE AJUSTE INVALIDO",IF($AA4="","REVISAR: TIPO DE AJUSTE SEM VALOR",IF(NOT(ISNUMBER($AA4)),"REVISAR: VALOR INFORMADO NAO NUMERICO",IF($AA4&lt;0,IF($Z4="Glosa","REVISAR: GLOSA NEGATIVA","REVISAR: VALOR PAGO NEGATIVO"),IF(NOT(ISNUMBER($Y4)),"REVISAR: SEM EXECUCAO CALCULADA NO CICLO",IF(NOT(ISNUMBER($AD4)),"REVISAR: FATOR DO CICLO INDISPONIVEL",IF(ROUND($AA4,2)&gt;ROUND($Y4,2),IF($Z4="Glosa","REVISAR: GLOSA MAIOR QUE O CALCULADO","REVISAR: VALOR PAGO MAIOR QUE O CALCULADO"),"AJUSTE APLICADO")))))))))</f>
        <v/>
      </c>
    </row>
    <row r="5" spans="1:3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  <c r="X5" t="s">
        <v>24</v>
      </c>
      <c r="Y5" s="489" t="str">
        <f>IF(COUNT($K$2:$K$200)=0,"",ROUND(SUMPRODUCT($K$2:$K$200,$C$2:$C$200),2))</f>
        <v/>
      </c>
      <c r="AA5" s="489"/>
      <c r="AB5" s="489" t="str">
        <f>IF($AG5&lt;&gt;"AJUSTE APLICADO","",IF($Z5="Valor pago",ROUND($AA5,2),ROUND($Y5-$AA5,2)))</f>
        <v/>
      </c>
      <c r="AC5" s="489" t="str">
        <f>IF($AG5&lt;&gt;"AJUSTE APLICADO","",ROUND($Y5-$AB5,2))</f>
        <v/>
      </c>
      <c r="AD5" s="490" t="str">
        <f>IF(ISNUMBER($U$5),$U$5,"")</f>
        <v/>
      </c>
      <c r="AE5" s="489" t="str">
        <f>IF($AG5&lt;&gt;"AJUSTE APLICADO","",ROUND($AB5*$AD5,2))</f>
        <v/>
      </c>
      <c r="AF5" s="489" t="str">
        <f>IF($AG5&lt;&gt;"AJUSTE APLICADO","",ROUND($AE5-$AB5,2))</f>
        <v/>
      </c>
      <c r="AG5" t="str">
        <f>IF(AND($Z5="",$AA5=""),"",IF($Z5="","REVISAR: VALOR INFORMADO SEM TIPO DE AJUSTE",IF(AND($Z5&lt;&gt;"Valor pago",$Z5&lt;&gt;"Glosa"),"REVISAR: TIPO DE AJUSTE INVALIDO",IF($AA5="","REVISAR: TIPO DE AJUSTE SEM VALOR",IF(NOT(ISNUMBER($AA5)),"REVISAR: VALOR INFORMADO NAO NUMERICO",IF($AA5&lt;0,IF($Z5="Glosa","REVISAR: GLOSA NEGATIVA","REVISAR: VALOR PAGO NEGATIVO"),IF(NOT(ISNUMBER($Y5)),"REVISAR: SEM EXECUCAO CALCULADA NO CICLO",IF(NOT(ISNUMBER($AD5)),"REVISAR: FATOR DO CICLO INDISPONIVEL",IF(ROUND($AA5,2)&gt;ROUND($Y5,2),IF($Z5="Glosa","REVISAR: GLOSA MAIOR QUE O CALCULADO","REVISAR: VALOR PAGO MAIOR QUE O CALCULADO"),"AJUSTE APLICADO")))))))))</f>
        <v/>
      </c>
    </row>
    <row r="6" spans="1:3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  <c r="X6" t="s">
        <v>25</v>
      </c>
      <c r="Y6" s="489" t="str">
        <f>IF(COUNT($M$2:$M$200)=0,"",ROUND(SUMPRODUCT($M$2:$M$200,$C$2:$C$200),2))</f>
        <v/>
      </c>
      <c r="AA6" s="489"/>
      <c r="AB6" s="489" t="str">
        <f>IF($AG6&lt;&gt;"AJUSTE APLICADO","",IF($Z6="Valor pago",ROUND($AA6,2),ROUND($Y6-$AA6,2)))</f>
        <v/>
      </c>
      <c r="AC6" s="489" t="str">
        <f>IF($AG6&lt;&gt;"AJUSTE APLICADO","",ROUND($Y6-$AB6,2))</f>
        <v/>
      </c>
      <c r="AD6" s="490" t="str">
        <f>IF(ISNUMBER($U$6),$U$6,"")</f>
        <v/>
      </c>
      <c r="AE6" s="489" t="str">
        <f>IF($AG6&lt;&gt;"AJUSTE APLICADO","",ROUND($AB6*$AD6,2))</f>
        <v/>
      </c>
      <c r="AF6" s="489" t="str">
        <f>IF($AG6&lt;&gt;"AJUSTE APLICADO","",ROUND($AE6-$AB6,2))</f>
        <v/>
      </c>
      <c r="AG6" t="str">
        <f>IF(AND($Z6="",$AA6=""),"",IF($Z6="","REVISAR: VALOR INFORMADO SEM TIPO DE AJUSTE",IF(AND($Z6&lt;&gt;"Valor pago",$Z6&lt;&gt;"Glosa"),"REVISAR: TIPO DE AJUSTE INVALIDO",IF($AA6="","REVISAR: TIPO DE AJUSTE SEM VALOR",IF(NOT(ISNUMBER($AA6)),"REVISAR: VALOR INFORMADO NAO NUMERICO",IF($AA6&lt;0,IF($Z6="Glosa","REVISAR: GLOSA NEGATIVA","REVISAR: VALOR PAGO NEGATIVO"),IF(NOT(ISNUMBER($Y6)),"REVISAR: SEM EXECUCAO CALCULADA NO CICLO",IF(NOT(ISNUMBER($AD6)),"REVISAR: FATOR DO CICLO INDISPONIVEL",IF(ROUND($AA6,2)&gt;ROUND($Y6,2),IF($Z6="Glosa","REVISAR: GLOSA MAIOR QUE O CALCULADO","REVISAR: VALOR PAGO MAIOR QUE O CALCULADO"),"AJUSTE APLICADO")))))))))</f>
        <v/>
      </c>
    </row>
    <row r="7" spans="1:3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3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  <c r="X8" s="488" t="s">
        <v>569</v>
      </c>
    </row>
    <row r="9" spans="1:3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  <c r="X9" t="s">
        <v>570</v>
      </c>
    </row>
    <row r="10" spans="1:3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  <c r="X10" t="s">
        <v>571</v>
      </c>
    </row>
    <row r="11" spans="1:3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  <c r="X11" t="s">
        <v>572</v>
      </c>
    </row>
    <row r="12" spans="1:3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  <c r="X12" t="s">
        <v>573</v>
      </c>
    </row>
    <row r="13" spans="1:3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3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3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3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dataValidations count="1">
    <dataValidation type="list" allowBlank="1" showInputMessage="1" showErrorMessage="1" sqref="Z2:Z6" xr:uid="{512479DD-27DC-485B-8EE5-99B613C2F4E5}">
      <mc:AlternateContent xmlns:x12ac="http://schemas.microsoft.com/office/spreadsheetml/2011/1/ac" xmlns:mc="http://schemas.openxmlformats.org/markup-compatibility/2006">
        <mc:Choice Requires="x12ac">
          <x12ac:list>"Valor pago,Glosa"</x12ac:list>
        </mc:Choice>
        <mc:Fallback>
          <formula1>"Valor pago,Glosa"</formula1>
        </mc:Fallback>
      </mc:AlternateContent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92" t="s">
        <v>475</v>
      </c>
      <c r="N1" s="393"/>
      <c r="O1" s="393"/>
      <c r="P1" s="393"/>
      <c r="Q1" s="393"/>
      <c r="R1" s="393"/>
      <c r="S1" s="393"/>
      <c r="T1" s="394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1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0" t="s">
        <v>32</v>
      </c>
      <c r="N2" s="350" t="s">
        <v>476</v>
      </c>
      <c r="O2" s="350" t="s">
        <v>477</v>
      </c>
      <c r="P2" s="350" t="s">
        <v>478</v>
      </c>
      <c r="Q2" s="350" t="s">
        <v>479</v>
      </c>
      <c r="R2" s="350" t="s">
        <v>537</v>
      </c>
      <c r="S2" s="368" t="s">
        <v>480</v>
      </c>
      <c r="T2" s="350" t="s">
        <v>481</v>
      </c>
      <c r="U2" s="352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1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4" t="s">
        <v>21</v>
      </c>
      <c r="N3" s="355">
        <f>COUNTIF($C$2:$C$5001,M3)</f>
        <v>0</v>
      </c>
      <c r="O3" s="356">
        <f>SUMIF($C$2:$C$5001,M3,$D$2:$D$5001)</f>
        <v>0</v>
      </c>
      <c r="P3" s="356">
        <f>SUMIF($C$2:$C$5001,M3,$F$2:$F$5001)</f>
        <v>0</v>
      </c>
      <c r="Q3" s="356">
        <f>SUMIF($C$2:$C$5001,M3,$H$2:$H$5001)</f>
        <v>0</v>
      </c>
      <c r="R3" s="356">
        <f>SUMIF($C$2:$C$5001,M3,$I$2:$I$5001)</f>
        <v>0</v>
      </c>
      <c r="S3" s="356">
        <f>SUMIF($C$2:$C$5001,M3,$J$2:$J$5001)</f>
        <v>0</v>
      </c>
      <c r="T3" s="355">
        <f>COUNTIFS($C$2:$C$5001,M3,$K$2:$K$5001,"&lt;&gt;OK",$K$2:$K$5001,"&lt;&gt;")</f>
        <v>0</v>
      </c>
      <c r="U3" s="353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1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4" t="s">
        <v>22</v>
      </c>
      <c r="N4" s="355">
        <f>COUNTIF($C$2:$C$5001,M4)</f>
        <v>0</v>
      </c>
      <c r="O4" s="356">
        <f>SUMIF($C$2:$C$5001,M4,$D$2:$D$5001)</f>
        <v>0</v>
      </c>
      <c r="P4" s="356">
        <f>SUMIF($C$2:$C$5001,M4,$F$2:$F$5001)</f>
        <v>0</v>
      </c>
      <c r="Q4" s="356">
        <f>SUMIF($C$2:$C$5001,M4,$H$2:$H$5001)</f>
        <v>0</v>
      </c>
      <c r="R4" s="356">
        <f>SUMIF($C$2:$C$5001,M4,$I$2:$I$5001)</f>
        <v>0</v>
      </c>
      <c r="S4" s="356">
        <f>SUMIF($C$2:$C$5001,M4,$J$2:$J$5001)</f>
        <v>0</v>
      </c>
      <c r="T4" s="355">
        <f>COUNTIFS($C$2:$C$5001,M4,$K$2:$K$5001,"&lt;&gt;OK",$K$2:$K$5001,"&lt;&gt;")</f>
        <v>0</v>
      </c>
      <c r="U4" s="353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1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4" t="s">
        <v>23</v>
      </c>
      <c r="N5" s="355">
        <f>COUNTIF($C$2:$C$5001,M5)</f>
        <v>0</v>
      </c>
      <c r="O5" s="356">
        <f>SUMIF($C$2:$C$5001,M5,$D$2:$D$5001)</f>
        <v>0</v>
      </c>
      <c r="P5" s="356">
        <f>SUMIF($C$2:$C$5001,M5,$F$2:$F$5001)</f>
        <v>0</v>
      </c>
      <c r="Q5" s="356">
        <f>SUMIF($C$2:$C$5001,M5,$H$2:$H$5001)</f>
        <v>0</v>
      </c>
      <c r="R5" s="356">
        <f>SUMIF($C$2:$C$5001,M5,$I$2:$I$5001)</f>
        <v>0</v>
      </c>
      <c r="S5" s="356">
        <f>SUMIF($C$2:$C$5001,M5,$J$2:$J$5001)</f>
        <v>0</v>
      </c>
      <c r="T5" s="355">
        <f>COUNTIFS($C$2:$C$5001,M5,$K$2:$K$5001,"&lt;&gt;OK",$K$2:$K$5001,"&lt;&gt;")</f>
        <v>0</v>
      </c>
      <c r="U5" s="353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1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4" t="s">
        <v>24</v>
      </c>
      <c r="N6" s="355">
        <f>COUNTIF($C$2:$C$5001,M6)</f>
        <v>0</v>
      </c>
      <c r="O6" s="356">
        <f>SUMIF($C$2:$C$5001,M6,$D$2:$D$5001)</f>
        <v>0</v>
      </c>
      <c r="P6" s="356">
        <f>SUMIF($C$2:$C$5001,M6,$F$2:$F$5001)</f>
        <v>0</v>
      </c>
      <c r="Q6" s="356">
        <f>SUMIF($C$2:$C$5001,M6,$H$2:$H$5001)</f>
        <v>0</v>
      </c>
      <c r="R6" s="356">
        <f>SUMIF($C$2:$C$5001,M6,$I$2:$I$5001)</f>
        <v>0</v>
      </c>
      <c r="S6" s="356">
        <f>SUMIF($C$2:$C$5001,M6,$J$2:$J$5001)</f>
        <v>0</v>
      </c>
      <c r="T6" s="355">
        <f>COUNTIFS($C$2:$C$5001,M6,$K$2:$K$5001,"&lt;&gt;OK",$K$2:$K$5001,"&lt;&gt;")</f>
        <v>0</v>
      </c>
      <c r="U6" s="353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1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4" t="s">
        <v>25</v>
      </c>
      <c r="N7" s="355">
        <f>COUNTIF($C$2:$C$5001,M7)</f>
        <v>0</v>
      </c>
      <c r="O7" s="356">
        <f>SUMIF($C$2:$C$5001,M7,$D$2:$D$5001)</f>
        <v>0</v>
      </c>
      <c r="P7" s="356">
        <f>SUMIF($C$2:$C$5001,M7,$F$2:$F$5001)</f>
        <v>0</v>
      </c>
      <c r="Q7" s="356">
        <f>SUMIF($C$2:$C$5001,M7,$H$2:$H$5001)</f>
        <v>0</v>
      </c>
      <c r="R7" s="356">
        <f>SUMIF($C$2:$C$5001,M7,$I$2:$I$5001)</f>
        <v>0</v>
      </c>
      <c r="S7" s="356">
        <f>SUMIF($C$2:$C$5001,M7,$J$2:$J$5001)</f>
        <v>0</v>
      </c>
      <c r="T7" s="355">
        <f>COUNTIFS($C$2:$C$5001,M7,$K$2:$K$5001,"&lt;&gt;OK",$K$2:$K$5001,"&lt;&gt;")</f>
        <v>0</v>
      </c>
      <c r="U7" s="353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thickBot="1" x14ac:dyDescent="0.4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1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77" t="s">
        <v>530</v>
      </c>
      <c r="N8" s="378">
        <f>COUNTIF($A$2:$A$5001,"&lt;&gt;")-SUM(N3:N7)</f>
        <v>0</v>
      </c>
      <c r="O8" s="379">
        <f>SUM($D$2:$D$5001)-SUM(O3:O7)</f>
        <v>0</v>
      </c>
      <c r="P8" s="379">
        <f>SUM($F$2:$F$5001)-SUM(P3:P7)</f>
        <v>0</v>
      </c>
      <c r="Q8" s="379">
        <f>SUM($H$2:$H$5001)-SUM(Q3:Q7)</f>
        <v>0</v>
      </c>
      <c r="R8" s="379">
        <f>SUM($I$2:$I$5001)-SUM(R3:R7)</f>
        <v>0</v>
      </c>
      <c r="S8" s="379">
        <f>SUM($J$2:$J$5001)-SUM(S3:S7)</f>
        <v>0</v>
      </c>
      <c r="T8" s="378">
        <f>COUNTIFS($A$2:$A$5001,"&lt;&gt;",$K$2:$K$5001,"&lt;&gt;OK",$K$2:$K$5001,"&lt;&gt;")-SUM(T3:T7)</f>
        <v>0</v>
      </c>
      <c r="U8" s="353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1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80" t="s">
        <v>26</v>
      </c>
      <c r="N9" s="381">
        <f t="shared" ref="N9:T9" si="5">SUM(N3:N8)</f>
        <v>0</v>
      </c>
      <c r="O9" s="382">
        <f t="shared" si="5"/>
        <v>0</v>
      </c>
      <c r="P9" s="382">
        <f t="shared" si="5"/>
        <v>0</v>
      </c>
      <c r="Q9" s="382">
        <f t="shared" si="5"/>
        <v>0</v>
      </c>
      <c r="R9" s="382">
        <f t="shared" si="5"/>
        <v>0</v>
      </c>
      <c r="S9" s="387">
        <f t="shared" si="5"/>
        <v>0</v>
      </c>
      <c r="T9" s="383">
        <f t="shared" si="5"/>
        <v>0</v>
      </c>
      <c r="U9" s="353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95" t="s">
        <v>482</v>
      </c>
      <c r="N10" s="393"/>
      <c r="O10" s="393"/>
      <c r="P10" s="393"/>
      <c r="Q10" s="393"/>
      <c r="R10" s="393"/>
      <c r="S10" s="393"/>
      <c r="T10" s="396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1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0" t="s">
        <v>291</v>
      </c>
      <c r="N11" s="350" t="s">
        <v>483</v>
      </c>
      <c r="O11" s="350" t="s">
        <v>528</v>
      </c>
      <c r="P11" s="350" t="s">
        <v>529</v>
      </c>
      <c r="Q11" s="350" t="s">
        <v>484</v>
      </c>
      <c r="R11" s="350" t="s">
        <v>538</v>
      </c>
      <c r="S11" s="368" t="s">
        <v>485</v>
      </c>
      <c r="T11" s="350" t="s">
        <v>486</v>
      </c>
      <c r="U11" s="353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1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7" t="s">
        <v>21</v>
      </c>
      <c r="N12" s="357">
        <f>IF(MEMORIA_RESULTADOS!$T$31="",COUNTIFS($C$2:$C$5001,$M12,$G$2:$G$5001,"Sim"),COUNTIFS($C$2:$C$5001,$M12,$G$2:$G$5001,"Sim",$B$2:$B$5001,"&lt;="&amp;MEMORIA_RESULTADOS!$T$31))</f>
        <v>0</v>
      </c>
      <c r="O12" s="358">
        <f>IF(MEMORIA_RESULTADOS!$T$31="",SUMIFS($D$2:$D$5001,$C$2:$C$5001,$M12,$G$2:$G$5001,"Sim"),SUMIFS($D$2:$D$5001,$C$2:$C$5001,$M12,$G$2:$G$5001,"Sim",$B$2:$B$5001,"&lt;="&amp;MEMORIA_RESULTADOS!$T$31))</f>
        <v>0</v>
      </c>
      <c r="P12" s="358">
        <f>IF(MEMORIA_RESULTADOS!$T$31="",SUMIFS($U$2:$U$5001,$C$2:$C$5001,$M12,$G$2:$G$5001,"Sim"),SUMIFS($U$2:$U$5001,$C$2:$C$5001,$M12,$G$2:$G$5001,"Sim",$B$2:$B$5001,"&lt;="&amp;MEMORIA_RESULTADOS!$T$31))</f>
        <v>0</v>
      </c>
      <c r="Q12" s="358">
        <f>IF(MEMORIA_RESULTADOS!$T$31="",SUMIFS($H$2:$H$5001,$C$2:$C$5001,$M12,$G$2:$G$5001,"Sim"),SUMIFS($H$2:$H$5001,$C$2:$C$5001,$M12,$G$2:$G$5001,"Sim",$B$2:$B$5001,"&lt;="&amp;MEMORIA_RESULTADOS!$T$31))</f>
        <v>0</v>
      </c>
      <c r="R12" s="358">
        <f>IF(MEMORIA_RESULTADOS!$T$31="",SUMIFS($I$2:$I$5001,$C$2:$C$5001,$M12),SUMIFS($I$2:$I$5001,$C$2:$C$5001,$M12,$B$2:$B$5001,"&lt;="&amp;MEMORIA_RESULTADOS!$T$31))</f>
        <v>0</v>
      </c>
      <c r="S12" s="358">
        <f>IF(MEMORIA_RESULTADOS!$T$31="",SUMIFS($J$2:$J$5001,$C$2:$C$5001,$M12),SUMIFS($J$2:$J$5001,$C$2:$C$5001,$M12,$B$2:$B$5001,"&lt;="&amp;MEMORIA_RESULTADOS!$T$31))</f>
        <v>0</v>
      </c>
      <c r="T12" s="358">
        <f>IF(MEMORIA_RESULTADOS!$T$31="",0,SUMIFS($D$2:$D$5001,$C$2:$C$5001,$M12,$B$2:$B$5001,"&gt;"&amp;MEMORIA_RESULTADOS!$T$31))</f>
        <v>0</v>
      </c>
      <c r="U12" s="353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1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7" t="s">
        <v>22</v>
      </c>
      <c r="N13" s="357">
        <f>IF(MEMORIA_RESULTADOS!$T$31="",COUNTIFS($C$2:$C$5001,$M13,$G$2:$G$5001,"Sim"),COUNTIFS($C$2:$C$5001,$M13,$G$2:$G$5001,"Sim",$B$2:$B$5001,"&lt;="&amp;MEMORIA_RESULTADOS!$T$31))</f>
        <v>0</v>
      </c>
      <c r="O13" s="358">
        <f>IF(MEMORIA_RESULTADOS!$T$31="",SUMIFS($D$2:$D$5001,$C$2:$C$5001,$M13,$G$2:$G$5001,"Sim"),SUMIFS($D$2:$D$5001,$C$2:$C$5001,$M13,$G$2:$G$5001,"Sim",$B$2:$B$5001,"&lt;="&amp;MEMORIA_RESULTADOS!$T$31))</f>
        <v>0</v>
      </c>
      <c r="P13" s="358">
        <f>IF(MEMORIA_RESULTADOS!$T$31="",SUMIFS($U$2:$U$5001,$C$2:$C$5001,$M13,$G$2:$G$5001,"Sim"),SUMIFS($U$2:$U$5001,$C$2:$C$5001,$M13,$G$2:$G$5001,"Sim",$B$2:$B$5001,"&lt;="&amp;MEMORIA_RESULTADOS!$T$31))</f>
        <v>0</v>
      </c>
      <c r="Q13" s="358">
        <f>IF(MEMORIA_RESULTADOS!$T$31="",SUMIFS($H$2:$H$5001,$C$2:$C$5001,$M13,$G$2:$G$5001,"Sim"),SUMIFS($H$2:$H$5001,$C$2:$C$5001,$M13,$G$2:$G$5001,"Sim",$B$2:$B$5001,"&lt;="&amp;MEMORIA_RESULTADOS!$T$31))</f>
        <v>0</v>
      </c>
      <c r="R13" s="358">
        <f>IF(MEMORIA_RESULTADOS!$T$31="",SUMIFS($I$2:$I$5001,$C$2:$C$5001,$M13),SUMIFS($I$2:$I$5001,$C$2:$C$5001,$M13,$B$2:$B$5001,"&lt;="&amp;MEMORIA_RESULTADOS!$T$31))</f>
        <v>0</v>
      </c>
      <c r="S13" s="358">
        <f>IF(MEMORIA_RESULTADOS!$T$31="",SUMIFS($J$2:$J$5001,$C$2:$C$5001,$M13),SUMIFS($J$2:$J$5001,$C$2:$C$5001,$M13,$B$2:$B$5001,"&lt;="&amp;MEMORIA_RESULTADOS!$T$31))</f>
        <v>0</v>
      </c>
      <c r="T13" s="358">
        <f>IF(MEMORIA_RESULTADOS!$T$31="",0,SUMIFS($D$2:$D$5001,$C$2:$C$5001,$M13,$B$2:$B$5001,"&gt;"&amp;MEMORIA_RESULTADOS!$T$31))</f>
        <v>0</v>
      </c>
      <c r="U13" s="353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1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7" t="s">
        <v>23</v>
      </c>
      <c r="N14" s="357">
        <f>IF(MEMORIA_RESULTADOS!$T$31="",COUNTIFS($C$2:$C$5001,$M14,$G$2:$G$5001,"Sim"),COUNTIFS($C$2:$C$5001,$M14,$G$2:$G$5001,"Sim",$B$2:$B$5001,"&lt;="&amp;MEMORIA_RESULTADOS!$T$31))</f>
        <v>0</v>
      </c>
      <c r="O14" s="358">
        <f>IF(MEMORIA_RESULTADOS!$T$31="",SUMIFS($D$2:$D$5001,$C$2:$C$5001,$M14,$G$2:$G$5001,"Sim"),SUMIFS($D$2:$D$5001,$C$2:$C$5001,$M14,$G$2:$G$5001,"Sim",$B$2:$B$5001,"&lt;="&amp;MEMORIA_RESULTADOS!$T$31))</f>
        <v>0</v>
      </c>
      <c r="P14" s="358">
        <f>IF(MEMORIA_RESULTADOS!$T$31="",SUMIFS($U$2:$U$5001,$C$2:$C$5001,$M14,$G$2:$G$5001,"Sim"),SUMIFS($U$2:$U$5001,$C$2:$C$5001,$M14,$G$2:$G$5001,"Sim",$B$2:$B$5001,"&lt;="&amp;MEMORIA_RESULTADOS!$T$31))</f>
        <v>0</v>
      </c>
      <c r="Q14" s="358">
        <f>IF(MEMORIA_RESULTADOS!$T$31="",SUMIFS($H$2:$H$5001,$C$2:$C$5001,$M14,$G$2:$G$5001,"Sim"),SUMIFS($H$2:$H$5001,$C$2:$C$5001,$M14,$G$2:$G$5001,"Sim",$B$2:$B$5001,"&lt;="&amp;MEMORIA_RESULTADOS!$T$31))</f>
        <v>0</v>
      </c>
      <c r="R14" s="358">
        <f>IF(MEMORIA_RESULTADOS!$T$31="",SUMIFS($I$2:$I$5001,$C$2:$C$5001,$M14),SUMIFS($I$2:$I$5001,$C$2:$C$5001,$M14,$B$2:$B$5001,"&lt;="&amp;MEMORIA_RESULTADOS!$T$31))</f>
        <v>0</v>
      </c>
      <c r="S14" s="358">
        <f>IF(MEMORIA_RESULTADOS!$T$31="",SUMIFS($J$2:$J$5001,$C$2:$C$5001,$M14),SUMIFS($J$2:$J$5001,$C$2:$C$5001,$M14,$B$2:$B$5001,"&lt;="&amp;MEMORIA_RESULTADOS!$T$31))</f>
        <v>0</v>
      </c>
      <c r="T14" s="358">
        <f>IF(MEMORIA_RESULTADOS!$T$31="",0,SUMIFS($D$2:$D$5001,$C$2:$C$5001,$M14,$B$2:$B$5001,"&gt;"&amp;MEMORIA_RESULTADOS!$T$31))</f>
        <v>0</v>
      </c>
      <c r="U14" s="353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1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7" t="s">
        <v>24</v>
      </c>
      <c r="N15" s="357">
        <f>IF(MEMORIA_RESULTADOS!$T$31="",COUNTIFS($C$2:$C$5001,$M15,$G$2:$G$5001,"Sim"),COUNTIFS($C$2:$C$5001,$M15,$G$2:$G$5001,"Sim",$B$2:$B$5001,"&lt;="&amp;MEMORIA_RESULTADOS!$T$31))</f>
        <v>0</v>
      </c>
      <c r="O15" s="358">
        <f>IF(MEMORIA_RESULTADOS!$T$31="",SUMIFS($D$2:$D$5001,$C$2:$C$5001,$M15,$G$2:$G$5001,"Sim"),SUMIFS($D$2:$D$5001,$C$2:$C$5001,$M15,$G$2:$G$5001,"Sim",$B$2:$B$5001,"&lt;="&amp;MEMORIA_RESULTADOS!$T$31))</f>
        <v>0</v>
      </c>
      <c r="P15" s="358">
        <f>IF(MEMORIA_RESULTADOS!$T$31="",SUMIFS($U$2:$U$5001,$C$2:$C$5001,$M15,$G$2:$G$5001,"Sim"),SUMIFS($U$2:$U$5001,$C$2:$C$5001,$M15,$G$2:$G$5001,"Sim",$B$2:$B$5001,"&lt;="&amp;MEMORIA_RESULTADOS!$T$31))</f>
        <v>0</v>
      </c>
      <c r="Q15" s="358">
        <f>IF(MEMORIA_RESULTADOS!$T$31="",SUMIFS($H$2:$H$5001,$C$2:$C$5001,$M15,$G$2:$G$5001,"Sim"),SUMIFS($H$2:$H$5001,$C$2:$C$5001,$M15,$G$2:$G$5001,"Sim",$B$2:$B$5001,"&lt;="&amp;MEMORIA_RESULTADOS!$T$31))</f>
        <v>0</v>
      </c>
      <c r="R15" s="358">
        <f>IF(MEMORIA_RESULTADOS!$T$31="",SUMIFS($I$2:$I$5001,$C$2:$C$5001,$M15),SUMIFS($I$2:$I$5001,$C$2:$C$5001,$M15,$B$2:$B$5001,"&lt;="&amp;MEMORIA_RESULTADOS!$T$31))</f>
        <v>0</v>
      </c>
      <c r="S15" s="358">
        <f>IF(MEMORIA_RESULTADOS!$T$31="",SUMIFS($J$2:$J$5001,$C$2:$C$5001,$M15),SUMIFS($J$2:$J$5001,$C$2:$C$5001,$M15,$B$2:$B$5001,"&lt;="&amp;MEMORIA_RESULTADOS!$T$31))</f>
        <v>0</v>
      </c>
      <c r="T15" s="358">
        <f>IF(MEMORIA_RESULTADOS!$T$31="",0,SUMIFS($D$2:$D$5001,$C$2:$C$5001,$M15,$B$2:$B$5001,"&gt;"&amp;MEMORIA_RESULTADOS!$T$31))</f>
        <v>0</v>
      </c>
      <c r="U15" s="353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1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7" t="s">
        <v>25</v>
      </c>
      <c r="N16" s="357">
        <f>IF(MEMORIA_RESULTADOS!$T$31="",COUNTIFS($C$2:$C$5001,$M16,$G$2:$G$5001,"Sim"),COUNTIFS($C$2:$C$5001,$M16,$G$2:$G$5001,"Sim",$B$2:$B$5001,"&lt;="&amp;MEMORIA_RESULTADOS!$T$31))</f>
        <v>0</v>
      </c>
      <c r="O16" s="358">
        <f>IF(MEMORIA_RESULTADOS!$T$31="",SUMIFS($D$2:$D$5001,$C$2:$C$5001,$M16,$G$2:$G$5001,"Sim"),SUMIFS($D$2:$D$5001,$C$2:$C$5001,$M16,$G$2:$G$5001,"Sim",$B$2:$B$5001,"&lt;="&amp;MEMORIA_RESULTADOS!$T$31))</f>
        <v>0</v>
      </c>
      <c r="P16" s="358">
        <f>IF(MEMORIA_RESULTADOS!$T$31="",SUMIFS($U$2:$U$5001,$C$2:$C$5001,$M16,$G$2:$G$5001,"Sim"),SUMIFS($U$2:$U$5001,$C$2:$C$5001,$M16,$G$2:$G$5001,"Sim",$B$2:$B$5001,"&lt;="&amp;MEMORIA_RESULTADOS!$T$31))</f>
        <v>0</v>
      </c>
      <c r="Q16" s="358">
        <f>IF(MEMORIA_RESULTADOS!$T$31="",SUMIFS($H$2:$H$5001,$C$2:$C$5001,$M16,$G$2:$G$5001,"Sim"),SUMIFS($H$2:$H$5001,$C$2:$C$5001,$M16,$G$2:$G$5001,"Sim",$B$2:$B$5001,"&lt;="&amp;MEMORIA_RESULTADOS!$T$31))</f>
        <v>0</v>
      </c>
      <c r="R16" s="358">
        <f>IF(MEMORIA_RESULTADOS!$T$31="",SUMIFS($I$2:$I$5001,$C$2:$C$5001,$M16),SUMIFS($I$2:$I$5001,$C$2:$C$5001,$M16,$B$2:$B$5001,"&lt;="&amp;MEMORIA_RESULTADOS!$T$31))</f>
        <v>0</v>
      </c>
      <c r="S16" s="358">
        <f>IF(MEMORIA_RESULTADOS!$T$31="",SUMIFS($J$2:$J$5001,$C$2:$C$5001,$M16),SUMIFS($J$2:$J$5001,$C$2:$C$5001,$M16,$B$2:$B$5001,"&lt;="&amp;MEMORIA_RESULTADOS!$T$31))</f>
        <v>0</v>
      </c>
      <c r="T16" s="358">
        <f>IF(MEMORIA_RESULTADOS!$T$31="",0,SUMIFS($D$2:$D$5001,$C$2:$C$5001,$M16,$B$2:$B$5001,"&gt;"&amp;MEMORIA_RESULTADOS!$T$31))</f>
        <v>0</v>
      </c>
      <c r="U16" s="353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thickBot="1" x14ac:dyDescent="0.4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1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84" t="s">
        <v>530</v>
      </c>
      <c r="N17" s="369">
        <f>IF(MEMORIA_RESULTADOS!$T$31="",COUNTIF($G$2:$G$5001,"Sim")-SUM(N12:N16),COUNTIFS($G$2:$G$5001,"Sim",$B$2:$B$5001,"&lt;="&amp;MEMORIA_RESULTADOS!$T$31)-SUM(N12:N16))</f>
        <v>0</v>
      </c>
      <c r="O17" s="370">
        <f>IF(MEMORIA_RESULTADOS!$T$31="",SUMIFS($D$2:$D$5001,$G$2:$G$5001,"Sim")-SUM(O12:O16),SUMIFS($D$2:$D$5001,$G$2:$G$5001,"Sim",$B$2:$B$5001,"&lt;="&amp;MEMORIA_RESULTADOS!$T$31)-SUM(O12:O16))</f>
        <v>0</v>
      </c>
      <c r="P17" s="370">
        <f>IF(MEMORIA_RESULTADOS!$T$31="",SUMIFS($U$2:$U$5001,$G$2:$G$5001,"Sim")-SUM(P12:P16),SUMIFS($U$2:$U$5001,$G$2:$G$5001,"Sim",$B$2:$B$5001,"&lt;="&amp;MEMORIA_RESULTADOS!$T$31)-SUM(P12:P16))</f>
        <v>0</v>
      </c>
      <c r="Q17" s="370">
        <f>IF(MEMORIA_RESULTADOS!$T$31="",SUMIFS($H$2:$H$5001,$G$2:$G$5001,"Sim")-SUM(Q12:Q16),SUMIFS($H$2:$H$5001,$G$2:$G$5001,"Sim",$B$2:$B$5001,"&lt;="&amp;MEMORIA_RESULTADOS!$T$31)-SUM(Q12:Q16))</f>
        <v>0</v>
      </c>
      <c r="R17" s="370">
        <f>IF(MEMORIA_RESULTADOS!$T$31="",SUM($I$2:$I$5001)-SUM(R12:R16),SUMIFS($I$2:$I$5001,$B$2:$B$5001,"&lt;="&amp;MEMORIA_RESULTADOS!$T$31)-SUM(R12:R16))</f>
        <v>0</v>
      </c>
      <c r="S17" s="370">
        <f>IF(MEMORIA_RESULTADOS!$T$31="",SUM($J$2:$J$5001)-SUM(S12:S16),SUMIFS($J$2:$J$5001,$B$2:$B$5001,"&lt;="&amp;MEMORIA_RESULTADOS!$T$31)-SUM(S12:S16))</f>
        <v>0</v>
      </c>
      <c r="T17" s="370">
        <f>IF(MEMORIA_RESULTADOS!$T$31="",0,SUMIFS($D$2:$D$5001,$B$2:$B$5001,"&gt;"&amp;MEMORIA_RESULTADOS!$T$31)-SUM(T12:T16))</f>
        <v>0</v>
      </c>
      <c r="U17" s="353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thickBot="1" x14ac:dyDescent="0.4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1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85" t="s">
        <v>26</v>
      </c>
      <c r="N18" s="385">
        <f t="shared" ref="N18:T18" si="6">SUM(N12:N17)</f>
        <v>0</v>
      </c>
      <c r="O18" s="386">
        <f t="shared" si="6"/>
        <v>0</v>
      </c>
      <c r="P18" s="386">
        <f t="shared" si="6"/>
        <v>0</v>
      </c>
      <c r="Q18" s="386">
        <f t="shared" si="6"/>
        <v>0</v>
      </c>
      <c r="R18" s="386">
        <f t="shared" si="6"/>
        <v>0</v>
      </c>
      <c r="S18" s="388">
        <f t="shared" si="6"/>
        <v>0</v>
      </c>
      <c r="T18" s="386">
        <f t="shared" si="6"/>
        <v>0</v>
      </c>
      <c r="U18" s="353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32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351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403" t="str">
        <f>"RETROATIVO CONSIDERADO NO VTA = RECONHECIDO R$ "&amp;TEXT(N($Q$18),"#.##0,00")&amp;"  +  POTENCIAL POSITIVO INCORPORADO R$ "&amp;TEXT(N(MEMORIA_RESULTADOS!$T$39),"#.##0,00")&amp;IF(N(MEMORIA_RESULTADOS!$T$47)&lt;0,"   (há ainda R$ "&amp;TEXT(-N(MEMORIA_RESULTADOS!$T$47),"#.##0,00")&amp;" de potencial negativo: permanece visível e não reduz o VTA)","   (todo o potencial positivo apurado até a data de corte integra o VTA)")</f>
        <v>RETROATIVO CONSIDERADO NO VTA = RECONHECIDO R$ 0,00  +  POTENCIAL POSITIVO INCORPORADO R$ 0,00   (todo o potencial positivo apurado até a data de corte integra o VTA)</v>
      </c>
      <c r="N19" s="403"/>
      <c r="O19" s="403"/>
      <c r="P19" s="403"/>
      <c r="Q19" s="403"/>
      <c r="R19" s="403"/>
      <c r="S19" s="404">
        <f>ROUND(N($Q$18)+N(MEMORIA_RESULTADOS!$T$39),2)</f>
        <v>0</v>
      </c>
      <c r="T19" s="404"/>
      <c r="U19" s="353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97" t="s">
        <v>487</v>
      </c>
      <c r="N20" s="398"/>
      <c r="O20" s="398"/>
      <c r="P20" s="398"/>
      <c r="Q20" s="398"/>
      <c r="R20" s="398"/>
      <c r="S20" s="398"/>
      <c r="T20" s="399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400" t="s">
        <v>488</v>
      </c>
      <c r="N21" s="401"/>
      <c r="O21" s="401"/>
      <c r="P21" s="401"/>
      <c r="Q21" s="401"/>
      <c r="R21" s="401"/>
      <c r="S21" s="401"/>
      <c r="T21" s="402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400" t="s">
        <v>531</v>
      </c>
      <c r="N22" s="401"/>
      <c r="O22" s="401"/>
      <c r="P22" s="401"/>
      <c r="Q22" s="401"/>
      <c r="R22" s="401"/>
      <c r="S22" s="401"/>
      <c r="T22" s="402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400" t="s">
        <v>489</v>
      </c>
      <c r="N23" s="401"/>
      <c r="O23" s="401"/>
      <c r="P23" s="401"/>
      <c r="Q23" s="401"/>
      <c r="R23" s="401"/>
      <c r="S23" s="401"/>
      <c r="T23" s="402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400" t="s">
        <v>490</v>
      </c>
      <c r="N24" s="401"/>
      <c r="O24" s="401"/>
      <c r="P24" s="401"/>
      <c r="Q24" s="401"/>
      <c r="R24" s="401"/>
      <c r="S24" s="401"/>
      <c r="T24" s="402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400" t="s">
        <v>491</v>
      </c>
      <c r="N25" s="401"/>
      <c r="O25" s="401"/>
      <c r="P25" s="401"/>
      <c r="Q25" s="401"/>
      <c r="R25" s="401"/>
      <c r="S25" s="401"/>
      <c r="T25" s="402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400" t="s">
        <v>492</v>
      </c>
      <c r="N26" s="401"/>
      <c r="O26" s="401"/>
      <c r="P26" s="401"/>
      <c r="Q26" s="401"/>
      <c r="R26" s="401"/>
      <c r="S26" s="401"/>
      <c r="T26" s="402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400" t="s">
        <v>532</v>
      </c>
      <c r="N27" s="401"/>
      <c r="O27" s="401"/>
      <c r="P27" s="401"/>
      <c r="Q27" s="401"/>
      <c r="R27" s="401"/>
      <c r="S27" s="401"/>
      <c r="T27" s="402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400" t="s">
        <v>533</v>
      </c>
      <c r="N28" s="401"/>
      <c r="O28" s="401"/>
      <c r="P28" s="401"/>
      <c r="Q28" s="401"/>
      <c r="R28" s="401"/>
      <c r="S28" s="401"/>
      <c r="T28" s="402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400" t="s">
        <v>493</v>
      </c>
      <c r="N29" s="401"/>
      <c r="O29" s="401"/>
      <c r="P29" s="401"/>
      <c r="Q29" s="401"/>
      <c r="R29" s="401"/>
      <c r="S29" s="401"/>
      <c r="T29" s="402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4">
    <mergeCell ref="M27:T27"/>
    <mergeCell ref="M28:T28"/>
    <mergeCell ref="M29:T29"/>
    <mergeCell ref="M23:T23"/>
    <mergeCell ref="M24:T24"/>
    <mergeCell ref="M25:T25"/>
    <mergeCell ref="M26:T26"/>
    <mergeCell ref="M1:T1"/>
    <mergeCell ref="M10:T10"/>
    <mergeCell ref="M20:T20"/>
    <mergeCell ref="M21:T21"/>
    <mergeCell ref="M22:T22"/>
    <mergeCell ref="M19:R19"/>
    <mergeCell ref="S19:T19"/>
  </mergeCells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conditionalFormatting sqref="S3:S9">
    <cfRule type="expression" dxfId="49" priority="3" stopIfTrue="1">
      <formula>N($S3)&lt;&gt;0</formula>
    </cfRule>
  </conditionalFormatting>
  <conditionalFormatting sqref="S12:S18">
    <cfRule type="expression" dxfId="48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473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7" priority="7">
      <formula>OR(LEFT(UPPER($D2),6)="SUPRES",LEFT(UPPER($D2),4)="DECR")</formula>
    </cfRule>
    <cfRule type="expression" dxfId="46" priority="7">
      <formula>OR(LEFT(UPPER($D2),6)="SUPRES",LEFT(UPPER($D2),4)="DECR")</formula>
    </cfRule>
  </conditionalFormatting>
  <conditionalFormatting sqref="C2:C200">
    <cfRule type="expression" dxfId="45" priority="15">
      <formula>UPPER($C2)="C0"</formula>
    </cfRule>
    <cfRule type="expression" dxfId="44" priority="15">
      <formula>UPPER($C2)="C1"</formula>
    </cfRule>
    <cfRule type="expression" dxfId="43" priority="15">
      <formula>UPPER($C2)="C2"</formula>
    </cfRule>
    <cfRule type="expression" dxfId="42" priority="15">
      <formula>UPPER($C2)="C3"</formula>
    </cfRule>
    <cfRule type="expression" dxfId="41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0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407" t="s">
        <v>198</v>
      </c>
      <c r="B1" s="407" t="s">
        <v>199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9"/>
      <c r="Q1" s="405" t="s">
        <v>200</v>
      </c>
      <c r="R1" s="406"/>
      <c r="S1" s="406"/>
      <c r="T1" s="406"/>
      <c r="U1" s="406"/>
      <c r="V1" s="406"/>
      <c r="W1" s="406"/>
      <c r="X1" s="406"/>
      <c r="Y1" s="406"/>
      <c r="Z1" s="410" t="s">
        <v>201</v>
      </c>
      <c r="AA1" s="406"/>
      <c r="AB1" s="406"/>
      <c r="AC1" s="406"/>
      <c r="AE1" s="411" t="s">
        <v>202</v>
      </c>
    </row>
    <row r="2" spans="1:31" ht="43.5" customHeight="1" x14ac:dyDescent="0.35">
      <c r="A2" s="412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406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9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46271.936761574078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13" t="s">
        <v>268</v>
      </c>
      <c r="B25" s="414"/>
      <c r="C25" s="415"/>
    </row>
    <row r="26" spans="1:3" x14ac:dyDescent="0.35">
      <c r="A26" s="311" t="s">
        <v>269</v>
      </c>
      <c r="B26" s="420" t="s">
        <v>270</v>
      </c>
      <c r="C26" s="421"/>
    </row>
    <row r="27" spans="1:3" x14ac:dyDescent="0.35">
      <c r="A27" s="312" t="s">
        <v>271</v>
      </c>
      <c r="B27" s="422" t="s">
        <v>272</v>
      </c>
      <c r="C27" s="419"/>
    </row>
    <row r="28" spans="1:3" x14ac:dyDescent="0.35">
      <c r="A28" s="313" t="s">
        <v>273</v>
      </c>
      <c r="B28" s="418" t="s">
        <v>274</v>
      </c>
      <c r="C28" s="419"/>
    </row>
    <row r="29" spans="1:3" x14ac:dyDescent="0.35">
      <c r="A29" s="314" t="s">
        <v>275</v>
      </c>
      <c r="B29" s="416" t="s">
        <v>276</v>
      </c>
      <c r="C29" s="41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23" t="s">
        <v>277</v>
      </c>
      <c r="B1" s="406"/>
      <c r="C1" s="406"/>
      <c r="D1" s="406"/>
      <c r="E1" s="406"/>
      <c r="F1" s="406"/>
      <c r="G1" s="406"/>
      <c r="H1" s="406"/>
      <c r="I1" s="406"/>
      <c r="J1" s="406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30" t="s">
        <v>281</v>
      </c>
      <c r="B2" s="406"/>
      <c r="C2" s="406"/>
      <c r="D2" s="406"/>
      <c r="E2" s="406"/>
      <c r="F2" s="406"/>
      <c r="G2" s="406"/>
      <c r="H2" s="406"/>
      <c r="I2" s="406"/>
      <c r="J2" s="406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31" t="str">
        <f>IF(AND(RESULTADOS!$G$43="Sim",RESULTADOS!$D$43&lt;&gt;""),RESULTADOS!$D$43,"")</f>
        <v/>
      </c>
      <c r="E5" s="432"/>
      <c r="F5" s="432"/>
      <c r="G5" s="432"/>
      <c r="H5" s="432"/>
      <c r="I5" s="432"/>
      <c r="J5" s="433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28" t="s">
        <v>289</v>
      </c>
      <c r="B6" s="406"/>
      <c r="C6" s="406"/>
      <c r="D6" s="406"/>
      <c r="E6" s="406"/>
      <c r="F6" s="406"/>
      <c r="G6" s="406"/>
      <c r="H6" s="406"/>
      <c r="I6" s="406"/>
      <c r="J6" s="406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27" t="s">
        <v>290</v>
      </c>
      <c r="B8" s="406"/>
      <c r="C8" s="406"/>
      <c r="D8" s="406"/>
      <c r="E8" s="406"/>
      <c r="F8" s="406"/>
      <c r="G8" s="406"/>
      <c r="H8" s="406"/>
      <c r="I8" s="406"/>
      <c r="J8" s="406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IF(COUNTIF(itens_Consumidos!$AG$2:$AG$6,"REVISAR*")&gt;0,"",IF(COUNTIFS(itens_Consumidos!$E$2:$E$200,"&gt;0")=0,"",0))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IF(COUNTIF(itens_Consumidos!$AG$2:$AG$6,"REVISAR*")&gt;0,"",IF(itens_Consumidos!$AG$3="AJUSTE APLICADO",IF(OR(NOT(ISNUMBER(parametros!$F3)),NOT(ISNUMBER(parametros!$D12)),parametros!$D12=0),"",ROUND(itens_Consumidos!$AB$3*(parametros!$F3-parametros!$F3/parametros!$D12),2)),IF(OR(COUNTIFS(itens_Consumidos!$G$2:$G$200,"&gt;0")=0,NOT(ISNUMBER(parametros!$F3)),NOT(ISNUMBER(parametros!$D12)),parametros!$D12=0),"",ROUND(SUMPRODUCT(itens_Consumidos!$G$2:$G$200,itens_Consumidos!$C$2:$C$200)*(parametros!$F3-parametros!$F3/parametros!$D12),2))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IF(COUNTIF(itens_Consumidos!$AG$2:$AG$6,"REVISAR*")&gt;0,"",IF(itens_Consumidos!$AG$4="AJUSTE APLICADO",IF(OR(NOT(ISNUMBER(parametros!$F4)),NOT(ISNUMBER(parametros!$D13)),parametros!$D13=0),"",ROUND(itens_Consumidos!$AB$4*(parametros!$F4-parametros!$F4/parametros!$D13),2)),IF(OR(COUNTIFS(itens_Consumidos!$I$2:$I$200,"&gt;0")=0,NOT(ISNUMBER(parametros!$F4)),NOT(ISNUMBER(parametros!$D13)),parametros!$D13=0),"",ROUND(SUMPRODUCT(itens_Consumidos!$I$2:$I$200,itens_Consumidos!$C$2:$C$200)*(parametros!$F4-parametros!$F4/parametros!$D13),2))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IF(COUNTIF(itens_Consumidos!$AG$2:$AG$6,"REVISAR*")&gt;0,"",IF(itens_Consumidos!$AG$5="AJUSTE APLICADO",IF(OR(NOT(ISNUMBER(parametros!$F5)),NOT(ISNUMBER(parametros!$D14)),parametros!$D14=0),"",ROUND(itens_Consumidos!$AB$5*(parametros!$F5-parametros!$F5/parametros!$D14),2)),IF(OR(COUNTIFS(itens_Consumidos!$K$2:$K$200,"&gt;0")=0,NOT(ISNUMBER(parametros!$F5)),NOT(ISNUMBER(parametros!$D14)),parametros!$D14=0),"",ROUND(SUMPRODUCT(itens_Consumidos!$K$2:$K$200,itens_Consumidos!$C$2:$C$200)*(parametros!$F5-parametros!$F5/parametros!$D14),2))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IF(COUNTIF(itens_Consumidos!$AG$2:$AG$6,"REVISAR*")&gt;0,"",IF(itens_Consumidos!$AG$6="AJUSTE APLICADO",IF(OR(NOT(ISNUMBER(parametros!$F6)),NOT(ISNUMBER(parametros!$D15)),parametros!$D15=0),"",ROUND(itens_Consumidos!$AB$6*(parametros!$F6-parametros!$F6/parametros!$D15),2)),IF(OR(COUNTIFS(itens_Consumidos!$M$2:$M$200,"&gt;0")=0,NOT(ISNUMBER(parametros!$F6)),NOT(ISNUMBER(parametros!$D15)),parametros!$D15=0),"",ROUND(SUMPRODUCT(itens_Consumidos!$M$2:$M$200,itens_Consumidos!$C$2:$C$200)*(parametros!$F6-parametros!$F6/parametros!$D15),2))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29" t="s">
        <v>300</v>
      </c>
      <c r="B17" s="406"/>
      <c r="C17" s="406"/>
      <c r="D17" s="406"/>
      <c r="E17" s="406"/>
      <c r="F17" s="406"/>
      <c r="G17" s="406"/>
      <c r="H17" s="406"/>
      <c r="I17" s="406"/>
      <c r="J17" s="406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27" t="s">
        <v>301</v>
      </c>
      <c r="B19" s="406"/>
      <c r="C19" s="406"/>
      <c r="D19" s="406"/>
      <c r="E19" s="406"/>
      <c r="F19" s="406"/>
      <c r="G19" s="406"/>
      <c r="H19" s="406"/>
      <c r="I19" s="406"/>
      <c r="J19" s="406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463</v>
      </c>
      <c r="D20" s="58" t="str">
        <f>IF(COUNTIF(financeiro!$C$2:$C$73,"&lt;&gt;")=0,"",ROUND(SUM(financeiro!$C$2:$C$73),2))</f>
        <v/>
      </c>
      <c r="E20" s="58" t="s">
        <v>466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IF(COUNTIF(itens_Consumidos!$AG$2:$AG$6,"REVISAR*")&gt;0,"",ROUND(IF(itens_Consumidos!$AG$2="AJUSTE APLICADO",itens_Consumidos!$AE$2,SUM(itens_Consumidos!$F$2:$F$200))+IF(itens_Consumidos!$AG$3="AJUSTE APLICADO",itens_Consumidos!$AE$3,SUM(itens_Consumidos!$H$2:$H$200))+IF(itens_Consumidos!$AG$4="AJUSTE APLICADO",itens_Consumidos!$AE$4,SUM(itens_Consumidos!$J$2:$J$200))+IF(itens_Consumidos!$AG$5="AJUSTE APLICADO",itens_Consumidos!$AE$5,SUM(itens_Consumidos!$L$2:$L$200))+IF(itens_Consumidos!$AG$6="AJUSTE APLICADO",itens_Consumidos!$AE$6,SUM(itens_Consumidos!$N$2:$N$200)),2))))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31" t="str">
        <f>IF(AND(RESULTADOS!$G$44="Sim",RESULTADOS!$D$44&lt;&gt;""),RESULTADOS!$D$44,"")</f>
        <v/>
      </c>
      <c r="E24" s="432"/>
      <c r="F24" s="432"/>
      <c r="G24" s="432"/>
      <c r="H24" s="432"/>
      <c r="I24" s="432"/>
      <c r="J24" s="433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31" t="str">
        <f>IF(AND(RESULTADOS!$G$45="Sim",RESULTADOS!$D$45&lt;&gt;""),RESULTADOS!$D$45,"")</f>
        <v/>
      </c>
      <c r="E25" s="432"/>
      <c r="F25" s="432"/>
      <c r="G25" s="432"/>
      <c r="H25" s="432"/>
      <c r="I25" s="432"/>
      <c r="J25" s="433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36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32"/>
      <c r="G26" s="432"/>
      <c r="H26" s="432"/>
      <c r="I26" s="432"/>
      <c r="J26" s="433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30" t="s">
        <v>319</v>
      </c>
      <c r="B27" s="406"/>
      <c r="C27" s="406"/>
      <c r="D27" s="406"/>
      <c r="E27" s="406"/>
      <c r="F27" s="406"/>
      <c r="G27" s="406"/>
      <c r="H27" s="406"/>
      <c r="I27" s="406"/>
      <c r="J27" s="406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27" t="s">
        <v>326</v>
      </c>
      <c r="B30" s="406"/>
      <c r="C30" s="406"/>
      <c r="D30" s="406"/>
      <c r="E30" s="406"/>
      <c r="F30" s="406"/>
      <c r="G30" s="406"/>
      <c r="H30" s="406"/>
      <c r="I30" s="406"/>
      <c r="J30" s="406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24"/>
      <c r="C36" s="425"/>
      <c r="D36" s="425"/>
      <c r="E36" s="426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472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550</v>
      </c>
      <c r="T39" s="376">
        <f>ROUND(SUM($T$42:$T$46),2)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27" t="s">
        <v>346</v>
      </c>
      <c r="B40" s="406"/>
      <c r="C40" s="406"/>
      <c r="D40" s="406"/>
      <c r="E40" s="406"/>
      <c r="F40" s="406"/>
      <c r="G40" s="406"/>
      <c r="H40" s="406"/>
      <c r="I40" s="406"/>
      <c r="J40" s="406"/>
      <c r="K40" s="57"/>
      <c r="L40" s="57"/>
      <c r="M40" s="57"/>
      <c r="N40" s="57"/>
      <c r="O40" s="57"/>
      <c r="P40" s="57"/>
      <c r="Q40" s="57"/>
      <c r="S40" t="s">
        <v>536</v>
      </c>
      <c r="T40" s="367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S41" t="s">
        <v>551</v>
      </c>
      <c r="T41" s="376">
        <f>ROUND(SUM(itens_PC!$S$12:$S$16),2)</f>
        <v>0</v>
      </c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S42" t="s">
        <v>552</v>
      </c>
      <c r="T42" s="376">
        <f>ROUND(SUMIFS(itens_PC!$J$2:$J$5001,itens_PC!$C$2:$C$5001,"C0",itens_PC!$J$2:$J$5001,"&gt;0",itens_PC!$B$2:$B$5001,"&lt;="&amp;$T$31),2)</f>
        <v>0</v>
      </c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S43" t="s">
        <v>553</v>
      </c>
      <c r="T43" s="376">
        <f>ROUND(SUMIFS(itens_PC!$J$2:$J$5001,itens_PC!$C$2:$C$5001,"C1",itens_PC!$J$2:$J$5001,"&gt;0",itens_PC!$B$2:$B$5001,"&lt;="&amp;$T$31),2)</f>
        <v>0</v>
      </c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S44" t="s">
        <v>554</v>
      </c>
      <c r="T44" s="376">
        <f>ROUND(SUMIFS(itens_PC!$J$2:$J$5001,itens_PC!$C$2:$C$5001,"C2",itens_PC!$J$2:$J$5001,"&gt;0",itens_PC!$B$2:$B$5001,"&lt;="&amp;$T$31),2)</f>
        <v>0</v>
      </c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S45" t="s">
        <v>555</v>
      </c>
      <c r="T45" s="376">
        <f>ROUND(SUMIFS(itens_PC!$J$2:$J$5001,itens_PC!$C$2:$C$5001,"C3",itens_PC!$J$2:$J$5001,"&gt;0",itens_PC!$B$2:$B$5001,"&lt;="&amp;$T$31),2)</f>
        <v>0</v>
      </c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S46" t="s">
        <v>556</v>
      </c>
      <c r="T46" s="376">
        <f>ROUND(SUMIFS(itens_PC!$J$2:$J$5001,itens_PC!$C$2:$C$5001,"C4",itens_PC!$J$2:$J$5001,"&gt;0",itens_PC!$B$2:$B$5001,"&lt;="&amp;$T$31),2)</f>
        <v>0</v>
      </c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S47" t="s">
        <v>557</v>
      </c>
      <c r="T47" s="376">
        <f>ROUND($T$41-$T$39,2)</f>
        <v>0</v>
      </c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28"/>
      <c r="B48" s="406"/>
      <c r="C48" s="406"/>
      <c r="D48" s="406"/>
      <c r="E48" s="406"/>
      <c r="F48" s="406"/>
      <c r="G48" s="406"/>
      <c r="H48" s="406"/>
      <c r="I48" s="406"/>
      <c r="J48" s="406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28"/>
      <c r="B49" s="406"/>
      <c r="C49" s="406"/>
      <c r="D49" s="406"/>
      <c r="E49" s="406"/>
      <c r="F49" s="406"/>
      <c r="G49" s="406"/>
      <c r="H49" s="406"/>
      <c r="I49" s="406"/>
      <c r="J49" s="406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34" t="s">
        <v>374</v>
      </c>
      <c r="B52" s="435"/>
      <c r="C52" s="435"/>
      <c r="D52" s="435"/>
      <c r="E52" s="435"/>
      <c r="F52" s="435"/>
      <c r="G52" s="435"/>
      <c r="H52" s="435"/>
      <c r="I52" s="57"/>
      <c r="J52" s="434" t="s">
        <v>375</v>
      </c>
      <c r="K52" s="435"/>
      <c r="L52" s="435"/>
      <c r="M52" s="435"/>
      <c r="N52" s="435"/>
      <c r="O52" s="435"/>
      <c r="P52" s="435"/>
      <c r="Q52" s="435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455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456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457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458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459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460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461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462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S69" s="488" t="s">
        <v>574</v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S70" t="s">
        <v>575</v>
      </c>
      <c r="T70" s="489" t="str">
        <f>IF($T$75&lt;&gt;"AJUSTE APLICADO","",ROUND(SUM(itens_Consumidos!$AB$2:$AB$6)+SUM(itens_Consumidos!$AC$2:$AC$6),2))</f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S71" t="s">
        <v>576</v>
      </c>
      <c r="T71" s="489" t="str">
        <f>IF($T$75&lt;&gt;"AJUSTE APLICADO","",ROUND(SUM(itens_Consumidos!$AC$2:$AC$6),2))</f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S72" t="s">
        <v>577</v>
      </c>
      <c r="T72" s="489" t="str">
        <f>IF($T$75&lt;&gt;"AJUSTE APLICADO","",ROUND(SUM(itens_Consumidos!$AB$2:$AB$6),2))</f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S73" t="s">
        <v>578</v>
      </c>
      <c r="T73" s="489" t="str">
        <f>IF($T$75&lt;&gt;"AJUSTE APLICADO","",ROUND(SUM(itens_Consumidos!$AE$2:$AE$6),2))</f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S74" t="s">
        <v>579</v>
      </c>
      <c r="T74" s="489" t="str">
        <f>IF($T$75&lt;&gt;"AJUSTE APLICADO","",ROUND(SUM(itens_Consumidos!$AF$2:$AF$6),2))</f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S75" t="s">
        <v>580</v>
      </c>
      <c r="T75" t="str">
        <f>IF(COUNTIF(itens_Consumidos!$AG$2:$AG$6,"REVISAR*")&gt;0,"REVISAR",IF(COUNTIF(itens_Consumidos!$AG$2:$AG$6,"AJUSTE APLICADO")=0,"SEM AJUSTE","AJUSTE APLICADO"))</f>
        <v>SEM AJUSTE</v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8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7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6" priority="4">
      <formula>OR(ISNUMBER(SEARCH("MANUAL",F36)),ISNUMBER(SEARCH("DIVERGENTE",F36)),ISNUMBER(SEARCH("INCOMPLETO",F36)))</formula>
    </cfRule>
  </conditionalFormatting>
  <conditionalFormatting sqref="J4">
    <cfRule type="expression" dxfId="35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4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87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66" t="s">
        <v>277</v>
      </c>
      <c r="B1" s="466"/>
      <c r="C1" s="466"/>
      <c r="D1" s="466"/>
      <c r="E1" s="466"/>
      <c r="F1" s="466"/>
      <c r="G1" s="467" t="str">
        <f ca="1">$B$3</f>
        <v>REVISE</v>
      </c>
      <c r="H1" s="468"/>
    </row>
    <row r="2" spans="1:10" ht="90.5" customHeight="1" x14ac:dyDescent="0.3">
      <c r="A2" s="469" t="s">
        <v>449</v>
      </c>
      <c r="B2" s="469"/>
      <c r="C2" s="469"/>
      <c r="D2" s="469"/>
      <c r="E2" s="469"/>
      <c r="F2" s="469"/>
      <c r="G2" s="470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70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73" t="str">
        <f>$D$6</f>
        <v/>
      </c>
      <c r="H3" s="474"/>
      <c r="J3" s="244" t="s">
        <v>47</v>
      </c>
    </row>
    <row r="4" spans="1:10" ht="18" customHeight="1" x14ac:dyDescent="0.3">
      <c r="A4" s="288" t="str">
        <f>IF(MEMORIA_RESULTADOS!$B$4="PCs","VTA OFICIAL — inclui retroativo reconhecido + retroativo potencial","VTA OFICIAL")</f>
        <v>VTA OFICIAL</v>
      </c>
      <c r="B4" s="289"/>
      <c r="C4" s="317" t="str">
        <f>$H$8</f>
        <v>REVISE</v>
      </c>
      <c r="D4" s="318" t="s">
        <v>539</v>
      </c>
      <c r="E4" s="319" t="str">
        <f>$H$14</f>
        <v>REVISE</v>
      </c>
      <c r="F4" s="318" t="s">
        <v>454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75" t="str">
        <f>$D$22</f>
        <v/>
      </c>
      <c r="E5" s="476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 t="str">
        <f>IF(MEMORIA_RESULTADOS!$B$4&lt;&gt;"PCs","","Inclui R$ "&amp;TEXT(N(RETROATIVO_POTENCIAL_VTA),"#.##0,00")&amp;" de retroativo POTENCIAL (sujeito à confirmação da área gestora)")</f>
        <v/>
      </c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71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72"/>
      <c r="D7" s="472"/>
      <c r="E7" s="472"/>
      <c r="F7" s="472"/>
      <c r="G7" s="472"/>
      <c r="H7" s="472"/>
    </row>
    <row r="8" spans="1:10" ht="15" customHeight="1" x14ac:dyDescent="0.3">
      <c r="A8" s="371" t="str">
        <f>IF(MEMORIA_RESULTADOS!$B$4&lt;&gt;"PCs","","RETROATIVO POTENCIAL — POTENCIAL (incorporado ao VTA)")</f>
        <v/>
      </c>
      <c r="B8" s="371"/>
      <c r="C8" s="372" t="str">
        <f>IF(MEMORIA_RESULTADOS!$B$4&lt;&gt;"PCs","",IFERROR(RETROATIVO_POTENCIAL_VTA,""))</f>
        <v/>
      </c>
      <c r="D8" s="373" t="str">
        <f>IF(MEMORIA_RESULTADOS!$B$4&lt;&gt;"PCs","","RETROATIVO CONSIDERADO NO VTA")</f>
        <v/>
      </c>
      <c r="E8" s="374" t="str">
        <f>IF(OR(MEMORIA_RESULTADOS!$B$4&lt;&gt;"PCs",$D$22=""),"",ROUND(N($D$22)+N(RETROATIVO_POTENCIAL_VTA),2))</f>
        <v/>
      </c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37" t="s">
        <v>494</v>
      </c>
      <c r="B9" s="437"/>
      <c r="C9" s="437"/>
      <c r="D9" s="437"/>
      <c r="E9" s="437"/>
      <c r="F9" s="437"/>
      <c r="G9" s="437"/>
      <c r="H9" s="437"/>
      <c r="J9" s="252">
        <f>COUNTIF(parametros!$A$3:$A$6,"Sim")</f>
        <v>0</v>
      </c>
    </row>
    <row r="10" spans="1:10" ht="46" hidden="1" customHeight="1" x14ac:dyDescent="0.3">
      <c r="A10" s="257" t="s">
        <v>518</v>
      </c>
      <c r="B10" s="258" t="str">
        <f ca="1">IF(MEMORIA_RESULTADOS!$W$50="","",MEMORIA_RESULTADOS!$W$50)</f>
        <v/>
      </c>
      <c r="C10" s="464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65"/>
      <c r="E10" s="465"/>
      <c r="F10" s="464" t="s">
        <v>519</v>
      </c>
      <c r="G10" s="465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520</v>
      </c>
      <c r="B11" s="298" t="str">
        <f>IF(MEMORIA_RESULTADOS!$W$48="","",MEMORIA_RESULTADOS!$W$48)</f>
        <v/>
      </c>
      <c r="C11" s="440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41"/>
      <c r="E11" s="441"/>
      <c r="F11" s="440" t="s">
        <v>521</v>
      </c>
      <c r="G11" s="441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522</v>
      </c>
      <c r="B12" s="298" t="str">
        <f>IFERROR(comparativo_VTA!$B$208,"")</f>
        <v/>
      </c>
      <c r="C12" s="440" t="s">
        <v>523</v>
      </c>
      <c r="D12" s="441"/>
      <c r="E12" s="441"/>
      <c r="F12" s="440" t="s">
        <v>524</v>
      </c>
      <c r="G12" s="441"/>
      <c r="H12" s="302" t="s">
        <v>428</v>
      </c>
    </row>
    <row r="13" spans="1:10" ht="46" hidden="1" customHeight="1" x14ac:dyDescent="0.3">
      <c r="A13" s="299" t="s">
        <v>525</v>
      </c>
      <c r="B13" s="300" t="str">
        <f ca="1">IF(MEMORIA_RESULTADOS!$W$51="","",MEMORIA_RESULTADOS!$W$51)</f>
        <v/>
      </c>
      <c r="C13" s="444" t="s">
        <v>526</v>
      </c>
      <c r="D13" s="445"/>
      <c r="E13" s="445"/>
      <c r="F13" s="444" t="s">
        <v>527</v>
      </c>
      <c r="G13" s="445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495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498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56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57"/>
      <c r="G16" s="457"/>
      <c r="H16" s="457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58"/>
      <c r="F17" s="457"/>
      <c r="G17" s="457"/>
      <c r="H17" s="457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58"/>
      <c r="F18" s="457"/>
      <c r="G18" s="457"/>
      <c r="H18" s="457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58"/>
      <c r="F19" s="457"/>
      <c r="G19" s="457"/>
      <c r="H19" s="457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58"/>
      <c r="F20" s="457"/>
      <c r="G20" s="457"/>
      <c r="H20" s="457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58"/>
      <c r="F21" s="457"/>
      <c r="G21" s="457"/>
      <c r="H21" s="457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60" t="str">
        <f>IF($G$22="","","Retroativo potencial — em análise"&amp;CHAR(10)&amp;"Valor potencial relacionado a itens ainda em análise. Não integra o retroativo reconhecido enquanto não houver confirmação.")</f>
        <v/>
      </c>
      <c r="F22" s="461"/>
      <c r="G22" s="462" t="str">
        <f>IF($B$5&lt;&gt;"PCs","",IFERROR(RETROATIVO_POTENCIAL_PC,""))</f>
        <v/>
      </c>
      <c r="H22" s="463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42" t="str">
        <f>IF(OR(MEMORIA_RESULTADOS!$B$4&lt;&gt;"PCs",MEMORIA_RESULTADOS!$T$28=0),"","A diferença sem efeito financeiro não constitui "&amp;"retroativo. Consulte itens_PC -&gt; EFEITO_FINANCEIRO_PC = Nao.")</f>
        <v/>
      </c>
      <c r="F23" s="443"/>
      <c r="G23" s="443"/>
      <c r="H23" s="443"/>
    </row>
    <row r="24" spans="1:8" ht="22" customHeight="1" x14ac:dyDescent="0.3">
      <c r="A24" s="267" t="s">
        <v>534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496</v>
      </c>
      <c r="C25" s="271" t="s">
        <v>497</v>
      </c>
      <c r="D25" s="272" t="s">
        <v>498</v>
      </c>
      <c r="E25" s="446" t="s">
        <v>450</v>
      </c>
      <c r="F25" s="447"/>
      <c r="G25" s="447"/>
      <c r="H25" s="447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52"/>
      <c r="D34" s="453"/>
      <c r="E34" s="454" t="s">
        <v>451</v>
      </c>
      <c r="F34" s="455"/>
      <c r="G34" s="455"/>
      <c r="H34" s="455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48" t="str">
        <f ca="1">IF($B$35="","Aguardando dado","")</f>
        <v>Aguardando dado</v>
      </c>
      <c r="D35" s="449"/>
      <c r="E35" s="456" t="str">
        <f ca="1">IF($A$39="","",$A$39)</f>
        <v/>
      </c>
      <c r="F35" s="457"/>
      <c r="G35" s="457"/>
      <c r="H35" s="459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48" t="str">
        <f ca="1">IF($B$36="","Aguardando dado","")</f>
        <v>Aguardando dado</v>
      </c>
      <c r="D36" s="449"/>
      <c r="E36" s="458"/>
      <c r="F36" s="457"/>
      <c r="G36" s="457"/>
      <c r="H36" s="459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48" t="str">
        <f>IF($B$37="","Aguardando dado","")</f>
        <v>Aguardando dado</v>
      </c>
      <c r="D37" s="449"/>
      <c r="E37" s="458"/>
      <c r="F37" s="457"/>
      <c r="G37" s="457"/>
      <c r="H37" s="459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50" t="str">
        <f ca="1">IF($B$38="","Aguardando dado","")</f>
        <v>Aguardando dado</v>
      </c>
      <c r="D38" s="451"/>
      <c r="E38" s="458"/>
      <c r="F38" s="457"/>
      <c r="G38" s="457"/>
      <c r="H38" s="459"/>
    </row>
    <row r="39" spans="1:8" ht="15" customHeight="1" x14ac:dyDescent="0.3">
      <c r="A39" s="438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39"/>
      <c r="C39" s="439"/>
      <c r="D39" s="439"/>
      <c r="E39" s="439"/>
      <c r="F39" s="439"/>
      <c r="G39" s="439"/>
      <c r="H39" s="439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452</v>
      </c>
      <c r="B41" s="279"/>
      <c r="C41" s="279"/>
      <c r="D41" s="327" t="s">
        <v>453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77" t="s">
        <v>535</v>
      </c>
      <c r="B53" s="437"/>
      <c r="C53" s="437"/>
      <c r="D53" s="437"/>
      <c r="E53" s="437"/>
      <c r="F53" s="437"/>
      <c r="G53" s="437"/>
      <c r="H53" s="478"/>
    </row>
    <row r="54" spans="1:8" ht="13" customHeight="1" x14ac:dyDescent="0.3">
      <c r="A54" s="359" t="s">
        <v>445</v>
      </c>
      <c r="B54" s="360" t="s">
        <v>427</v>
      </c>
      <c r="C54" s="479" t="s">
        <v>499</v>
      </c>
      <c r="D54" s="480"/>
      <c r="E54" s="479"/>
      <c r="F54" s="479"/>
      <c r="G54" s="479"/>
      <c r="H54" s="479"/>
    </row>
    <row r="55" spans="1:8" ht="30" customHeight="1" x14ac:dyDescent="0.3">
      <c r="A55" s="334" t="s">
        <v>500</v>
      </c>
      <c r="B55" s="346" t="str">
        <f>IF($B$5&lt;&gt;"PCs","",MEMORIA_RESULTADOS!$T$33)</f>
        <v/>
      </c>
      <c r="C55" s="481" t="s">
        <v>501</v>
      </c>
      <c r="D55" s="482"/>
      <c r="E55" s="481"/>
      <c r="F55" s="481"/>
      <c r="G55" s="481"/>
      <c r="H55" s="481"/>
    </row>
    <row r="56" spans="1:8" ht="30" customHeight="1" x14ac:dyDescent="0.3">
      <c r="A56" s="334" t="s">
        <v>502</v>
      </c>
      <c r="B56" s="346" t="str">
        <f>IF($B$5&lt;&gt;"PCs","",MEMORIA_RESULTADOS!$T$34)</f>
        <v/>
      </c>
      <c r="C56" s="481" t="s">
        <v>503</v>
      </c>
      <c r="D56" s="482"/>
      <c r="E56" s="481"/>
      <c r="F56" s="481"/>
      <c r="G56" s="481"/>
      <c r="H56" s="481"/>
    </row>
    <row r="57" spans="1:8" ht="30" customHeight="1" x14ac:dyDescent="0.3">
      <c r="A57" s="334" t="s">
        <v>504</v>
      </c>
      <c r="B57" s="346" t="str">
        <f>IF($B$5&lt;&gt;"PCs","",MEMORIA_RESULTADOS!$T$35)</f>
        <v/>
      </c>
      <c r="C57" s="481" t="s">
        <v>505</v>
      </c>
      <c r="D57" s="482"/>
      <c r="E57" s="481"/>
      <c r="F57" s="481"/>
      <c r="G57" s="481"/>
      <c r="H57" s="481"/>
    </row>
    <row r="58" spans="1:8" ht="30" customHeight="1" x14ac:dyDescent="0.3">
      <c r="A58" s="334" t="s">
        <v>446</v>
      </c>
      <c r="B58" s="346" t="str">
        <f>IF($B$5&lt;&gt;"PCs","",MEMORIA_RESULTADOS!$T$36)</f>
        <v/>
      </c>
      <c r="C58" s="481" t="s">
        <v>506</v>
      </c>
      <c r="D58" s="482"/>
      <c r="E58" s="481"/>
      <c r="F58" s="481"/>
      <c r="G58" s="481"/>
      <c r="H58" s="481"/>
    </row>
    <row r="59" spans="1:8" ht="30" customHeight="1" x14ac:dyDescent="0.3">
      <c r="A59" s="334" t="s">
        <v>447</v>
      </c>
      <c r="B59" s="346" t="str">
        <f>IF($B$5&lt;&gt;"PCs","",MEMORIA_RESULTADOS!$T$37)</f>
        <v/>
      </c>
      <c r="C59" s="481" t="s">
        <v>507</v>
      </c>
      <c r="D59" s="482"/>
      <c r="E59" s="481"/>
      <c r="F59" s="481"/>
      <c r="G59" s="481"/>
      <c r="H59" s="481"/>
    </row>
    <row r="60" spans="1:8" ht="36" customHeight="1" x14ac:dyDescent="0.3">
      <c r="A60" s="334" t="s">
        <v>448</v>
      </c>
      <c r="B60" s="346" t="str">
        <f>$D$22</f>
        <v/>
      </c>
      <c r="C60" s="481" t="s">
        <v>540</v>
      </c>
      <c r="D60" s="482"/>
      <c r="E60" s="481"/>
      <c r="F60" s="481"/>
      <c r="G60" s="481"/>
      <c r="H60" s="481"/>
    </row>
    <row r="61" spans="1:8" ht="30" customHeight="1" x14ac:dyDescent="0.3">
      <c r="A61" s="334" t="s">
        <v>541</v>
      </c>
      <c r="B61" s="346" t="str">
        <f>IF($B$5&lt;&gt;"PCs","",IFERROR(RETROATIVO_POTENCIAL_VTA,""))</f>
        <v/>
      </c>
      <c r="C61" s="481" t="s">
        <v>558</v>
      </c>
      <c r="D61" s="482"/>
      <c r="E61" s="481"/>
      <c r="F61" s="481"/>
      <c r="G61" s="481"/>
      <c r="H61" s="481"/>
    </row>
    <row r="62" spans="1:8" ht="30" customHeight="1" x14ac:dyDescent="0.3">
      <c r="A62" s="334" t="s">
        <v>542</v>
      </c>
      <c r="B62" s="346" t="str">
        <f>IF(OR($B$5&lt;&gt;"PCs",$D$22=""),"",ROUND(N($D$22)+N(RETROATIVO_POTENCIAL_VTA),2))</f>
        <v/>
      </c>
      <c r="C62" s="481" t="s">
        <v>543</v>
      </c>
      <c r="D62" s="482"/>
      <c r="E62" s="481"/>
      <c r="F62" s="481"/>
      <c r="G62" s="481"/>
      <c r="H62" s="481"/>
    </row>
    <row r="63" spans="1:8" ht="30" customHeight="1" x14ac:dyDescent="0.3">
      <c r="A63" s="334" t="s">
        <v>544</v>
      </c>
      <c r="B63" s="346" t="str">
        <f ca="1">$B$36</f>
        <v/>
      </c>
      <c r="C63" s="481" t="s">
        <v>508</v>
      </c>
      <c r="D63" s="482"/>
      <c r="E63" s="481"/>
      <c r="F63" s="481"/>
      <c r="G63" s="481"/>
      <c r="H63" s="481"/>
    </row>
    <row r="64" spans="1:8" ht="30" customHeight="1" x14ac:dyDescent="0.3">
      <c r="A64" s="334" t="s">
        <v>545</v>
      </c>
      <c r="B64" s="346" t="str">
        <f ca="1">$B$38</f>
        <v/>
      </c>
      <c r="C64" s="481" t="s">
        <v>509</v>
      </c>
      <c r="D64" s="482"/>
      <c r="E64" s="481"/>
      <c r="F64" s="481"/>
      <c r="G64" s="481"/>
      <c r="H64" s="481"/>
    </row>
    <row r="65" spans="1:8" ht="30" customHeight="1" x14ac:dyDescent="0.3">
      <c r="A65" s="334" t="s">
        <v>546</v>
      </c>
      <c r="B65" s="347" t="str">
        <f>IF(VTA_FINAL="","",VTA_FINAL)</f>
        <v/>
      </c>
      <c r="C65" s="481" t="s">
        <v>547</v>
      </c>
      <c r="D65" s="482"/>
      <c r="E65" s="481"/>
      <c r="F65" s="481"/>
      <c r="G65" s="481"/>
      <c r="H65" s="481"/>
    </row>
    <row r="66" spans="1:8" ht="30" customHeight="1" x14ac:dyDescent="0.3">
      <c r="A66" s="334" t="s">
        <v>548</v>
      </c>
      <c r="B66" s="346" t="str">
        <f ca="1">$B$13</f>
        <v/>
      </c>
      <c r="C66" s="481" t="s">
        <v>510</v>
      </c>
      <c r="D66" s="482"/>
      <c r="E66" s="481"/>
      <c r="F66" s="481"/>
      <c r="G66" s="481"/>
      <c r="H66" s="481"/>
    </row>
    <row r="67" spans="1:8" ht="30" customHeight="1" x14ac:dyDescent="0.3">
      <c r="A67" s="334" t="s">
        <v>549</v>
      </c>
      <c r="B67" s="375" t="str">
        <f ca="1">$B$3</f>
        <v>REVISE</v>
      </c>
      <c r="C67" s="481" t="s">
        <v>511</v>
      </c>
      <c r="D67" s="482"/>
      <c r="E67" s="481"/>
      <c r="F67" s="481"/>
      <c r="G67" s="481"/>
      <c r="H67" s="481"/>
    </row>
    <row r="68" spans="1:8" ht="14.5" x14ac:dyDescent="0.3">
      <c r="A68" s="483" t="s">
        <v>464</v>
      </c>
      <c r="B68" s="483"/>
      <c r="C68" s="483"/>
      <c r="D68" s="483"/>
      <c r="E68" s="483"/>
      <c r="F68" s="483"/>
      <c r="G68" s="483"/>
      <c r="H68" s="483"/>
    </row>
    <row r="69" spans="1:8" ht="34" customHeight="1" x14ac:dyDescent="0.3">
      <c r="A69" s="484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84"/>
      <c r="C69" s="484"/>
      <c r="D69" s="484"/>
      <c r="E69" s="484"/>
      <c r="F69" s="484"/>
      <c r="G69" s="484"/>
      <c r="H69" s="484"/>
    </row>
    <row r="70" spans="1:8" x14ac:dyDescent="0.3">
      <c r="A70" s="365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65"/>
      <c r="C70" s="365"/>
      <c r="D70" s="365"/>
      <c r="E70" s="365"/>
      <c r="F70" s="365"/>
      <c r="G70" s="365"/>
      <c r="H70" s="365"/>
    </row>
    <row r="71" spans="1:8" ht="14.5" x14ac:dyDescent="0.3">
      <c r="A71" s="393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93"/>
      <c r="C71" s="393"/>
      <c r="D71" s="393"/>
      <c r="E71" s="393"/>
      <c r="F71" s="393"/>
      <c r="G71" s="393"/>
      <c r="H71" s="393"/>
    </row>
    <row r="72" spans="1:8" x14ac:dyDescent="0.3">
      <c r="A72" s="335" t="s">
        <v>291</v>
      </c>
      <c r="B72" s="335" t="s">
        <v>512</v>
      </c>
      <c r="C72" s="335" t="s">
        <v>513</v>
      </c>
      <c r="D72" s="335" t="s">
        <v>498</v>
      </c>
      <c r="E72" s="335" t="s">
        <v>514</v>
      </c>
    </row>
    <row r="73" spans="1:8" x14ac:dyDescent="0.3">
      <c r="A73" s="336" t="s">
        <v>21</v>
      </c>
      <c r="B73" s="346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6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6" t="str">
        <f>IF(MEMORIA_RESULTADOS!$B$4&lt;&gt;"Financeiro","Nao aplicavel ao metodo selecionado",IF(OR(B73="",C73="",NOT(ISNUMBER(C73))),"",ROUND(B73-C73,2)))</f>
        <v>Nao aplicavel ao metodo selecionado</v>
      </c>
      <c r="E73" s="337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6" t="s">
        <v>22</v>
      </c>
      <c r="B74" s="346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6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6" t="str">
        <f>IF(MEMORIA_RESULTADOS!$B$4&lt;&gt;"Financeiro","Nao aplicavel ao metodo selecionado",IF(OR(B74="",C74="",NOT(ISNUMBER(C74))),"",ROUND(B74-C74,2)))</f>
        <v>Nao aplicavel ao metodo selecionado</v>
      </c>
      <c r="E74" s="337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6" t="s">
        <v>23</v>
      </c>
      <c r="B75" s="346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6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6" t="str">
        <f>IF(MEMORIA_RESULTADOS!$B$4&lt;&gt;"Financeiro","Nao aplicavel ao metodo selecionado",IF(OR(B75="",C75="",NOT(ISNUMBER(C75))),"",ROUND(B75-C75,2)))</f>
        <v>Nao aplicavel ao metodo selecionado</v>
      </c>
      <c r="E75" s="337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6" t="s">
        <v>24</v>
      </c>
      <c r="B76" s="346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6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6" t="str">
        <f>IF(MEMORIA_RESULTADOS!$B$4&lt;&gt;"Financeiro","Nao aplicavel ao metodo selecionado",IF(OR(B76="",C76="",NOT(ISNUMBER(C76))),"",ROUND(B76-C76,2)))</f>
        <v>Nao aplicavel ao metodo selecionado</v>
      </c>
      <c r="E76" s="337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2" t="s">
        <v>25</v>
      </c>
      <c r="B77" s="363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3" t="str">
        <f>IF(MEMORIA_RESULTADOS!$B$4&lt;&gt;"Financeiro","Nao aplicavel ao metodo selecionado","Sem historico quantitativo suficiente")</f>
        <v>Nao aplicavel ao metodo selecionado</v>
      </c>
      <c r="D77" s="363" t="str">
        <f>IF(MEMORIA_RESULTADOS!$B$4&lt;&gt;"Financeiro","Nao aplicavel ao metodo selecionado",IF(OR(B77="",C77="",NOT(ISNUMBER(C77))),"",ROUND(B77-C77,2)))</f>
        <v>Nao aplicavel ao metodo selecionado</v>
      </c>
      <c r="E77" s="364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1"/>
      <c r="G77" s="361"/>
      <c r="H77" s="361"/>
    </row>
    <row r="78" spans="1:8" x14ac:dyDescent="0.3">
      <c r="A78" s="366"/>
      <c r="B78" s="361"/>
      <c r="C78" s="361"/>
      <c r="D78" s="361"/>
      <c r="E78" s="361"/>
      <c r="F78" s="361"/>
      <c r="G78" s="361"/>
      <c r="H78" s="361"/>
    </row>
    <row r="79" spans="1:8" ht="15.5" x14ac:dyDescent="0.3">
      <c r="A79" s="485" t="s">
        <v>515</v>
      </c>
      <c r="B79" s="485"/>
      <c r="C79" s="485"/>
      <c r="D79" s="485"/>
      <c r="E79" s="485"/>
      <c r="F79" s="485"/>
      <c r="G79" s="485"/>
      <c r="H79" s="485"/>
    </row>
    <row r="80" spans="1:8" ht="28" customHeight="1" x14ac:dyDescent="0.3">
      <c r="A80" s="486" t="s">
        <v>516</v>
      </c>
      <c r="B80" s="486"/>
      <c r="C80" s="486"/>
      <c r="D80" s="486"/>
      <c r="E80" s="486"/>
      <c r="F80" s="486"/>
      <c r="G80" s="486"/>
      <c r="H80" s="486"/>
    </row>
    <row r="81" spans="1:8" ht="28" customHeight="1" x14ac:dyDescent="0.3">
      <c r="A81" s="487" t="str">
        <f>IF(MEMORIA_RESULTADOS!$B$4="PCs","Para conferir: VTA oficial = execução apurada (já inclui o retroativo reconhecido) + retroativo POTENCIAL incorporado + saldo remanescente atualizado.","Para conferir: VTA oficial = execução apurada + parcela adicional do método + saldo remanescente atualizado.")</f>
        <v>Para conferir: VTA oficial = execução apurada + parcela adicional do método + saldo remanescente atualizado.</v>
      </c>
      <c r="B81" s="487"/>
      <c r="C81" s="487"/>
      <c r="D81" s="487"/>
      <c r="E81" s="487"/>
      <c r="F81" s="487"/>
      <c r="G81" s="487"/>
      <c r="H81" s="487"/>
    </row>
    <row r="82" spans="1:8" x14ac:dyDescent="0.3">
      <c r="A82" s="338" t="s">
        <v>467</v>
      </c>
      <c r="B82" s="339" t="s">
        <v>427</v>
      </c>
      <c r="C82" s="338" t="s">
        <v>468</v>
      </c>
    </row>
    <row r="83" spans="1:8" ht="24" x14ac:dyDescent="0.3">
      <c r="A83" s="340" t="s">
        <v>469</v>
      </c>
      <c r="B83" s="346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1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vigente, ja com o retroativo reconhecido.","Selecione o metodo em CONTROLE!B1.")))</f>
        <v>Selecione o metodo em CONTROLE!B1.</v>
      </c>
    </row>
    <row r="84" spans="1:8" x14ac:dyDescent="0.3">
      <c r="A84" s="340" t="str">
        <f>IF(MEMORIA_RESULTADOS!$B$4="PCs","(+) Retroativo potencial — POTENCIAL","(+) Ajustes ainda devidos")</f>
        <v>(+) Ajustes ainda devidos</v>
      </c>
      <c r="B84" s="346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1" t="str">
        <f>IF(MEMORIA_RESULTADOS!$B$4="Financeiro","Reajuste ja reconhecido e ainda nao contido no valor pago.",IF(MEMORIA_RESULTADOS!$B$4="PCs",IF(MEMORIA_RESULTADOS!$T$47&lt;0,"Retroativo POTENCIAL positivo dos PCs em analise, incorporado ao VTA por criterio prudencial. Ha ainda R$ "&amp;TEXT(-MEMORIA_RESULTADOS!$T$47,"#.##0,00")&amp;" de parcela potencial NEGATIVA apurada: ela permanece visivel, nao reduz o VTA e nao compensa a parcela positiva.","Retroativo POTENCIAL dos PCs ainda em analise pela area gestora, incorporado ao VTA por criterio prudencial. Nao e retroativo reconhecido a pagar."),IF(MEMORIA_RESULTADOS!$B$4="Itens","Nao aplicavel: o reajuste ja esta dentro da execucao atualizada.","")))</f>
        <v/>
      </c>
    </row>
    <row r="85" spans="1:8" ht="24" x14ac:dyDescent="0.3">
      <c r="A85" s="340" t="s">
        <v>470</v>
      </c>
      <c r="B85" s="346" t="str">
        <f>IF(MEMORIA_RESULTADOS!$D$35="","",MEMORIA_RESULTADOS!$D$35)</f>
        <v/>
      </c>
      <c r="C85" s="341" t="s">
        <v>474</v>
      </c>
    </row>
    <row r="86" spans="1:8" ht="24.5" x14ac:dyDescent="0.35">
      <c r="A86" s="343" t="s">
        <v>471</v>
      </c>
      <c r="B86" s="348" t="str">
        <f>IF(VTA_FINAL="","",VTA_FINAL)</f>
        <v/>
      </c>
      <c r="C86" s="342" t="str">
        <f>IF(AND(MEMORIA_RESULTADOS!$B$4="PCs",ISNUMBER(MEMORIA_RESULTADOS!$T$40),ISNUMBER(MEMORIA_RESULTADOS!$T$39),OR(MEMORIA_RESULTADOS!$T$39&lt;&gt;0,MEMORIA_RESULTADOS!$T$47&lt;&gt;0)),"VTA antes da parcela potencial: R$ "&amp;TEXT(MEMORIA_RESULTADOS!$T$40,"#.##0,00")&amp;"  +  Parcela potencial no VTA: R$ "&amp;TEXT(MEMORIA_RESULTADOS!$T$39,"#.##0,00")&amp;"  =  VALOR TOTAL ATUALIZADO "&amp;"— VTA."&amp;IF(MEMORIA_RESULTADOS!$T$47&lt;0,"  Há ainda R$ "&amp;TEXT(-MEMORIA_RESULTADOS!$T$47,"#.##0,00")&amp;" de parcela potencial negativa apurada: por critério "&amp;"prudencial ela permanece visível, não reduz o VTA e não compensa a "&amp;"parcela positiva.","  O VTA inclui essa parcela por critério prudencial; ela permanece "&amp;"sujeita à confirmação pela área gestora e não representa, nesta data, "&amp;"retroativo reconhecido a pagar."),"Resultado final do método de apuração selecionado.")</f>
        <v>Resultado final do método de apuração selecionado.</v>
      </c>
    </row>
    <row r="87" spans="1:8" ht="24" x14ac:dyDescent="0.3">
      <c r="A87" s="345" t="s">
        <v>517</v>
      </c>
      <c r="B87" s="349" t="str">
        <f>IF(OR($B$83="",$B$85="",$B$86=""),"",ROUND($B$86-($B$83+N($B$84)+$B$85),2))</f>
        <v/>
      </c>
      <c r="C87" s="344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</sheetData>
  <mergeCells count="50">
    <mergeCell ref="A69:H69"/>
    <mergeCell ref="A71:H71"/>
    <mergeCell ref="A79:H79"/>
    <mergeCell ref="A80:H80"/>
    <mergeCell ref="A81:H81"/>
    <mergeCell ref="C63:H63"/>
    <mergeCell ref="C64:H64"/>
    <mergeCell ref="C65:H65"/>
    <mergeCell ref="C66:H66"/>
    <mergeCell ref="A68:H68"/>
    <mergeCell ref="C67:H67"/>
    <mergeCell ref="C58:H58"/>
    <mergeCell ref="C59:H59"/>
    <mergeCell ref="C60:H60"/>
    <mergeCell ref="C61:H61"/>
    <mergeCell ref="C62:H62"/>
    <mergeCell ref="A53:H53"/>
    <mergeCell ref="C54:H54"/>
    <mergeCell ref="C55:H55"/>
    <mergeCell ref="C56:H56"/>
    <mergeCell ref="C57:H57"/>
    <mergeCell ref="A1:F1"/>
    <mergeCell ref="G1:H1"/>
    <mergeCell ref="A2:F2"/>
    <mergeCell ref="G2:H2"/>
    <mergeCell ref="B7:H7"/>
    <mergeCell ref="G3:H3"/>
    <mergeCell ref="D5:E5"/>
    <mergeCell ref="F10:G10"/>
    <mergeCell ref="F13:G13"/>
    <mergeCell ref="C12:E12"/>
    <mergeCell ref="C10:E10"/>
    <mergeCell ref="F11:G11"/>
    <mergeCell ref="F12:G12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</mergeCells>
  <conditionalFormatting sqref="A61:B61">
    <cfRule type="expression" dxfId="33" priority="60" stopIfTrue="1">
      <formula>$B$61&lt;&gt;""</formula>
    </cfRule>
  </conditionalFormatting>
  <conditionalFormatting sqref="A8:C8">
    <cfRule type="expression" dxfId="32" priority="58" stopIfTrue="1">
      <formula>$C$8&lt;&gt;""</formula>
    </cfRule>
  </conditionalFormatting>
  <conditionalFormatting sqref="A84:C84">
    <cfRule type="expression" dxfId="31" priority="56" stopIfTrue="1">
      <formula>(METODO_RETROATIVO="PCs")*(N(RETROATIVO_POTENCIAL_APURADO)&lt;&gt;0)</formula>
    </cfRule>
  </conditionalFormatting>
  <conditionalFormatting sqref="A7:H7">
    <cfRule type="expression" dxfId="29" priority="53" stopIfTrue="1">
      <formula>$J$5=0</formula>
    </cfRule>
    <cfRule type="expression" dxfId="28" priority="54" stopIfTrue="1">
      <formula>$J$5&gt;0</formula>
    </cfRule>
  </conditionalFormatting>
  <conditionalFormatting sqref="B38">
    <cfRule type="cellIs" dxfId="27" priority="28" stopIfTrue="1" operator="lessThan">
      <formula>0</formula>
    </cfRule>
  </conditionalFormatting>
  <conditionalFormatting sqref="C4">
    <cfRule type="cellIs" dxfId="26" priority="46" stopIfTrue="1" operator="equal">
      <formula>"VALIDADO"</formula>
    </cfRule>
    <cfRule type="cellIs" dxfId="25" priority="44" stopIfTrue="1" operator="equal">
      <formula>"REVISE"</formula>
    </cfRule>
    <cfRule type="cellIs" dxfId="24" priority="45" stopIfTrue="1" operator="equal">
      <formula>"ESTIMADO"</formula>
    </cfRule>
  </conditionalFormatting>
  <conditionalFormatting sqref="C86">
    <cfRule type="expression" dxfId="23" priority="57" stopIfTrue="1">
      <formula>(METODO_RETROATIVO="PCs")*(N(RETROATIVO_POTENCIAL_APURADO)&lt;&gt;0)</formula>
    </cfRule>
  </conditionalFormatting>
  <conditionalFormatting sqref="D4:D5 D6:E6">
    <cfRule type="expression" dxfId="22" priority="40" stopIfTrue="1">
      <formula>$H$14="VALIDADO"</formula>
    </cfRule>
  </conditionalFormatting>
  <conditionalFormatting sqref="D8:E8">
    <cfRule type="expression" dxfId="21" priority="59" stopIfTrue="1">
      <formula>$E$8&lt;&gt;""</formula>
    </cfRule>
  </conditionalFormatting>
  <conditionalFormatting sqref="E4">
    <cfRule type="cellIs" dxfId="20" priority="47" stopIfTrue="1" operator="equal">
      <formula>"REVISE"</formula>
    </cfRule>
    <cfRule type="cellIs" dxfId="19" priority="48" stopIfTrue="1" operator="equal">
      <formula>"ESTIMADO"</formula>
    </cfRule>
    <cfRule type="cellIs" dxfId="18" priority="49" stopIfTrue="1" operator="equal">
      <formula>"VALIDADO"</formula>
    </cfRule>
  </conditionalFormatting>
  <conditionalFormatting sqref="E22:H22">
    <cfRule type="expression" dxfId="17" priority="55" stopIfTrue="1">
      <formula>$G$22&lt;&gt;""</formula>
    </cfRule>
  </conditionalFormatting>
  <conditionalFormatting sqref="F4:G4 F5:H6">
    <cfRule type="expression" dxfId="16" priority="43" stopIfTrue="1">
      <formula>$H$33="ESTIMADO"</formula>
    </cfRule>
    <cfRule type="expression" dxfId="15" priority="42" stopIfTrue="1">
      <formula>$H$33="REVISE"</formula>
    </cfRule>
    <cfRule type="expression" dxfId="14" priority="41" stopIfTrue="1">
      <formula>$H$33="VALIDADO"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1" stopIfTrue="1" operator="equal">
      <formula>"ESTIMADO"</formula>
    </cfRule>
    <cfRule type="cellIs" dxfId="6" priority="12" stopIfTrue="1" operator="equal">
      <formula>"VALIDADO"</formula>
    </cfRule>
    <cfRule type="cellIs" dxfId="5" priority="10" stopIfTrue="1" operator="equal">
      <formula>"REVISE"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42</vt:i4>
      </vt:variant>
    </vt:vector>
  </HeadingPairs>
  <TitlesOfParts>
    <vt:vector size="57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RETROATIVO_POTENCIAL_APURADO</vt:lpstr>
      <vt:lpstr>RETROATIVO_POTENCIAL_NEGATIVO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2026-09-07T01:28:56Z</dcterms:modified>
</cp:coreProperties>
</file>