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2.AJUSTES_XLS_UX\templates\"/>
    </mc:Choice>
  </mc:AlternateContent>
  <xr:revisionPtr revIDLastSave="0" documentId="13_ncr:1_{72F9CDF8-433C-438C-A0DA-D24E3B4B9AB6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3" l="1"/>
  <c r="G39" i="20"/>
  <c r="F39" i="20"/>
  <c r="E39" i="20"/>
  <c r="D39" i="20"/>
  <c r="C39" i="20"/>
  <c r="B39" i="20"/>
  <c r="G38" i="20"/>
  <c r="F38" i="20"/>
  <c r="E38" i="20"/>
  <c r="D38" i="20"/>
  <c r="C38" i="20"/>
  <c r="B38" i="20"/>
  <c r="G37" i="20"/>
  <c r="F37" i="20"/>
  <c r="E37" i="20"/>
  <c r="D37" i="20"/>
  <c r="C37" i="20"/>
  <c r="B37" i="20"/>
  <c r="G36" i="20"/>
  <c r="F36" i="20"/>
  <c r="E36" i="20"/>
  <c r="D36" i="20"/>
  <c r="C36" i="20"/>
  <c r="B36" i="20"/>
  <c r="G35" i="20"/>
  <c r="F35" i="20"/>
  <c r="E35" i="20"/>
  <c r="D35" i="20"/>
  <c r="C35" i="20"/>
  <c r="B35" i="20"/>
  <c r="C31" i="20"/>
  <c r="B20" i="20"/>
  <c r="B19" i="20"/>
  <c r="B18" i="20"/>
  <c r="D17" i="20"/>
  <c r="E10" i="20"/>
  <c r="C10" i="20"/>
  <c r="E6" i="20"/>
  <c r="D6" i="20"/>
  <c r="C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E48" i="20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W49" i="14"/>
  <c r="B8" i="13"/>
  <c r="I9" i="9"/>
  <c r="D15" i="20" l="1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F6" i="20" s="1"/>
  <c r="F9" i="20" s="1"/>
  <c r="F10" i="20" s="1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AB164" i="5" l="1"/>
  <c r="Q64" i="5"/>
  <c r="E89" i="12"/>
  <c r="H90" i="11" s="1"/>
  <c r="C135" i="14"/>
  <c r="Q163" i="5"/>
  <c r="BB163" i="5" s="1"/>
  <c r="D171" i="11"/>
  <c r="D107" i="11"/>
  <c r="F125" i="12"/>
  <c r="K126" i="11" s="1"/>
  <c r="E183" i="12"/>
  <c r="H184" i="11" s="1"/>
  <c r="J184" i="11" s="1"/>
  <c r="D118" i="12"/>
  <c r="Q75" i="5"/>
  <c r="E34" i="12"/>
  <c r="H35" i="11" s="1"/>
  <c r="J35" i="11" s="1"/>
  <c r="E168" i="12"/>
  <c r="H169" i="11" s="1"/>
  <c r="J169" i="11" s="1"/>
  <c r="E115" i="12"/>
  <c r="H116" i="11" s="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H34" i="5" l="1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AY49" i="5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BD58" i="5" s="1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AY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U14" i="5" l="1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<sst xmlns="http://schemas.openxmlformats.org/spreadsheetml/2006/main" count="40902" uniqueCount="742">
  <si>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</si>
  <si>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</si>
  <si>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</si>
  <si>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</si>
  <si>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</si>
  <si>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</si>
  <si>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</si>
  <si>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</si>
  <si>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</si>
  <si>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</si>
  <si>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</si>
  <si>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</si>
  <si>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</si>
  <si>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</si>
  <si>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</si>
  <si>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</si>
  <si>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</si>
  <si>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</si>
  <si>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</si>
  <si>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</si>
  <si>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</si>
  <si>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</si>
  <si>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</si>
  <si>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</si>
  <si>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</si>
  <si>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</si>
  <si>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</si>
  <si>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</si>
  <si>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</si>
  <si>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</si>
  <si>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</si>
  <si>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</si>
  <si>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</si>
  <si>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</si>
  <si>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</si>
  <si>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</si>
  <si>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</si>
  <si>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</si>
  <si>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</si>
  <si>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</si>
  <si>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</si>
  <si>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</si>
  <si>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</si>
  <si>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</si>
  <si>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</si>
  <si>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</si>
  <si>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</si>
  <si>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</si>
  <si>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</si>
  <si>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</si>
  <si>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</si>
  <si>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</si>
  <si>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</si>
  <si>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</si>
  <si>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</si>
  <si>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</si>
  <si>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</si>
  <si>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</si>
  <si>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</si>
  <si>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</si>
  <si>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</si>
  <si>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</si>
  <si>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</si>
  <si>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</si>
  <si>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</si>
  <si>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</si>
  <si>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</si>
  <si>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</si>
  <si>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</si>
  <si>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</si>
  <si>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</si>
  <si>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</si>
  <si>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</si>
  <si>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</si>
  <si>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</si>
  <si>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</si>
  <si>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</si>
  <si>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</si>
  <si>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</si>
  <si>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</si>
  <si>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</si>
  <si>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</si>
  <si>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</si>
  <si>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</si>
  <si>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</si>
  <si>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</si>
  <si>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</si>
  <si>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</si>
  <si>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</si>
  <si>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</si>
  <si>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</si>
  <si>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</si>
  <si>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</si>
  <si>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</si>
  <si>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</si>
  <si>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</si>
  <si>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</si>
  <si>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</si>
  <si>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</si>
  <si>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</si>
  <si>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</si>
  <si>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</si>
  <si>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</si>
  <si>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</si>
  <si>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</si>
  <si>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</si>
  <si>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</si>
  <si>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</si>
  <si>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</si>
  <si>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</si>
  <si>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</si>
  <si>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</si>
  <si>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</si>
  <si>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</si>
  <si>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</si>
  <si>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</si>
  <si>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</si>
  <si>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</si>
  <si>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</si>
  <si>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</si>
  <si>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</si>
  <si>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</si>
  <si>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</si>
  <si>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</si>
  <si>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</si>
  <si>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</si>
  <si>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</si>
  <si>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</si>
  <si>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</si>
  <si>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</si>
  <si>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</si>
  <si>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</si>
  <si>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</si>
  <si>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</si>
  <si>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</si>
  <si>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</si>
  <si>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</si>
  <si>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</si>
  <si>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</si>
  <si>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</si>
  <si>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</si>
  <si>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</si>
  <si>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</si>
  <si>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</si>
  <si>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</si>
  <si>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</si>
  <si>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</si>
  <si>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</si>
  <si>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</si>
  <si>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</si>
  <si>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</si>
  <si>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</si>
  <si>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</si>
  <si>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</si>
  <si>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</si>
  <si>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</si>
  <si>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</si>
  <si>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</si>
  <si>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</si>
  <si>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</si>
  <si>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</si>
  <si>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</si>
  <si>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</si>
  <si>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</si>
  <si>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</si>
  <si>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</si>
  <si>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</si>
  <si>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</si>
  <si>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</si>
  <si>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</si>
  <si>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</si>
  <si>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</si>
  <si>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</si>
  <si>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</si>
  <si>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</si>
  <si>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</si>
  <si>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</si>
  <si>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</si>
  <si>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</si>
  <si>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</si>
  <si>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</si>
  <si>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</si>
  <si>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</si>
  <si>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</si>
  <si>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</si>
  <si>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</si>
  <si>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</si>
  <si>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</si>
  <si>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</si>
  <si>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</si>
  <si>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</si>
  <si>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</si>
  <si>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</si>
  <si>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</si>
  <si>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</si>
  <si>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</si>
  <si>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</si>
  <si>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</si>
  <si>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</si>
  <si>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</si>
  <si>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</si>
  <si>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</si>
  <si>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</si>
  <si>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</si>
  <si>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</si>
  <si>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</si>
  <si>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</si>
  <si>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</si>
  <si>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</si>
  <si>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</si>
  <si>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</si>
  <si>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</si>
  <si>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</si>
  <si>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</si>
  <si>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</si>
  <si>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</si>
  <si>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</si>
  <si>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</si>
  <si>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</si>
  <si>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</si>
  <si>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</si>
  <si>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</si>
  <si>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</si>
  <si>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</si>
  <si>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</si>
  <si>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</si>
  <si>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</si>
  <si>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</si>
  <si>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</si>
  <si>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</si>
  <si>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</si>
  <si>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</si>
  <si>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</si>
  <si>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</si>
  <si>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</si>
  <si>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</si>
  <si>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</si>
  <si>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</si>
  <si>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</si>
  <si>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</si>
  <si>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</si>
  <si>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</si>
  <si>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</si>
  <si>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</si>
  <si>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</si>
  <si>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</si>
  <si>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</si>
  <si>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</si>
  <si>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</si>
  <si>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</si>
  <si>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</si>
  <si>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</si>
  <si>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</si>
  <si>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</si>
  <si>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</si>
  <si>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</si>
  <si>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</si>
  <si>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</si>
  <si>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</si>
  <si>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</si>
  <si>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</si>
  <si>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</si>
  <si>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</si>
  <si>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</si>
  <si>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</si>
  <si>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</si>
  <si>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</si>
  <si>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</si>
  <si>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</si>
  <si>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</si>
  <si>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</si>
  <si>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</si>
  <si>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</si>
  <si>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</si>
  <si>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</si>
  <si>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</si>
  <si>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</si>
  <si>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</si>
  <si>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</si>
  <si>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</si>
  <si>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</si>
  <si>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</si>
  <si>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</si>
  <si>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</si>
  <si>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</si>
  <si>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</si>
  <si>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</si>
  <si>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</si>
  <si>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</si>
  <si>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</si>
  <si>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</si>
  <si>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</si>
  <si>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</si>
  <si>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</si>
  <si>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</si>
  <si>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</si>
  <si>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</si>
  <si>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</si>
  <si>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</si>
  <si>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</si>
  <si>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</si>
  <si>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</si>
  <si>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</si>
  <si>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</si>
  <si>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</si>
  <si>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</si>
  <si>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</si>
  <si>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</si>
  <si>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</si>
  <si>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</si>
  <si>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</si>
  <si>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</si>
  <si>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</si>
  <si>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</si>
  <si>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</si>
  <si>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</si>
  <si>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</si>
  <si>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</si>
  <si>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</si>
  <si>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</si>
  <si>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</si>
  <si>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</si>
  <si>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</si>
  <si>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</si>
  <si>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</si>
  <si>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</si>
  <si>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</si>
  <si>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</si>
  <si>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</si>
  <si>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</si>
  <si>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</si>
  <si>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</si>
  <si>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</si>
  <si>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</si>
  <si>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</si>
  <si>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</si>
  <si>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</si>
  <si>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</si>
  <si>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</si>
  <si>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</si>
  <si>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</si>
  <si>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</si>
  <si>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</si>
  <si>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</si>
  <si>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</si>
  <si>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</si>
  <si>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</si>
  <si>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</si>
  <si>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</si>
  <si>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</si>
  <si>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</si>
  <si>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</si>
  <si>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</si>
  <si>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</si>
  <si>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</si>
  <si>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</si>
  <si>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</si>
  <si>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</si>
  <si>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</si>
  <si>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</si>
  <si>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</si>
  <si>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</si>
  <si>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</si>
  <si>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</si>
  <si>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</si>
  <si>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</si>
  <si>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</si>
  <si>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</si>
  <si>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</si>
  <si>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</si>
  <si>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</si>
  <si>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</si>
  <si>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</si>
  <si>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</si>
  <si>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</si>
  <si>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</si>
  <si>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</si>
  <si>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</si>
  <si>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</si>
  <si>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</si>
  <si>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</si>
  <si>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</si>
  <si>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</si>
  <si>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</si>
  <si>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</si>
  <si>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</si>
  <si>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</si>
  <si>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</si>
  <si>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</si>
  <si>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</si>
  <si>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</si>
  <si>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</si>
  <si>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</si>
  <si>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</si>
  <si>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</si>
  <si>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</si>
  <si>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</si>
  <si>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</si>
  <si>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</si>
  <si>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</si>
  <si>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</si>
  <si>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</si>
  <si>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</si>
  <si>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</si>
  <si>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</si>
  <si>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</si>
  <si>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</si>
  <si>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</si>
  <si>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</si>
  <si>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</si>
  <si>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</si>
  <si>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</si>
  <si>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</si>
  <si>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</si>
  <si>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</si>
  <si>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</si>
  <si>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</si>
  <si>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</si>
  <si>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</si>
  <si>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</si>
  <si>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</si>
  <si>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</si>
  <si>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</si>
  <si>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</si>
  <si>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</si>
  <si>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</si>
  <si>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</si>
  <si>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</si>
  <si>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</si>
  <si>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</si>
  <si>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</si>
  <si>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</si>
  <si>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</si>
  <si>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</si>
  <si>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</si>
  <si>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</si>
  <si>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</si>
  <si>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</si>
  <si>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</si>
  <si>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</si>
  <si>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</si>
  <si>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</si>
  <si>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</si>
  <si>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</si>
  <si>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</si>
  <si>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</si>
  <si>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</si>
  <si>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</si>
  <si>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</si>
  <si>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</si>
  <si>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</si>
  <si>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</si>
  <si>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</si>
  <si>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</si>
  <si>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</si>
  <si>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</si>
  <si>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</si>
  <si>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</si>
  <si>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</si>
  <si>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</si>
  <si>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</si>
  <si>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</si>
  <si>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</si>
  <si>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</si>
  <si>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</si>
  <si>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</si>
  <si>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</si>
  <si>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</si>
  <si>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</si>
  <si>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</si>
  <si>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</si>
  <si>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</si>
  <si>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</si>
  <si>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</si>
  <si>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</si>
  <si>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</si>
  <si>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</si>
  <si>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</si>
  <si>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</si>
  <si>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</si>
  <si>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</si>
  <si>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</si>
  <si>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</si>
  <si>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</si>
  <si>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</si>
  <si>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</si>
  <si>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</si>
  <si>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</si>
  <si>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</si>
  <si>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</si>
  <si>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</si>
  <si>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</si>
  <si>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</si>
  <si>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</si>
  <si>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</si>
  <si>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</si>
  <si>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</si>
  <si>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</si>
  <si>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</si>
  <si>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</si>
  <si>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</si>
  <si>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</si>
  <si>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</si>
  <si>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</si>
  <si>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</si>
  <si>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</si>
  <si>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</si>
  <si>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</si>
  <si>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</si>
  <si>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</si>
  <si>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</si>
  <si>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</si>
  <si>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</si>
  <si>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</si>
  <si>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</si>
  <si>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</si>
  <si>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</si>
  <si>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</si>
  <si>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</si>
  <si>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</si>
  <si>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</si>
  <si>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</si>
  <si>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</si>
  <si>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</si>
  <si>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</si>
  <si>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</si>
  <si>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</si>
  <si>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</si>
  <si>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</si>
  <si>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</si>
  <si>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</si>
  <si>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</si>
  <si>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</si>
  <si>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</si>
  <si>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</si>
  <si>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</si>
  <si>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</si>
  <si>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</si>
  <si>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</si>
  <si>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</si>
  <si>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</si>
  <si>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</si>
  <si>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</si>
  <si>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</si>
  <si>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</si>
  <si>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</si>
  <si>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</si>
  <si>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</si>
  <si>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</si>
  <si>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</si>
  <si>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</si>
  <si>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</si>
  <si>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</si>
  <si>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</si>
  <si>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</si>
  <si>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</si>
  <si>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</si>
  <si>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</si>
  <si>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</si>
  <si>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</si>
  <si>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</si>
  <si>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</si>
  <si>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</si>
  <si>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</si>
  <si>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</si>
  <si>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</si>
  <si>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</si>
  <si>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</si>
  <si>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</si>
  <si>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</si>
  <si>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</si>
  <si>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</si>
  <si>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</si>
  <si>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</si>
  <si>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</si>
  <si>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</si>
  <si>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</si>
  <si>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</si>
  <si>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</si>
  <si>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</si>
  <si>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</si>
  <si>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</si>
  <si>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</si>
  <si>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</si>
  <si>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</si>
  <si>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</si>
  <si>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</si>
  <si>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</si>
  <si>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</si>
  <si>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</si>
  <si>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</si>
  <si>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</si>
  <si>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</si>
  <si>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</si>
  <si>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</si>
  <si>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</si>
  <si>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</si>
  <si>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</si>
  <si>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</si>
  <si>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</si>
  <si>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</si>
  <si>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</si>
  <si>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</si>
  <si>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</si>
  <si>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</si>
  <si>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</si>
  <si>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</si>
  <si>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</si>
  <si>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</si>
  <si>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</si>
  <si>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</si>
  <si>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</si>
  <si>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</si>
  <si>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</si>
  <si>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</si>
  <si>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</si>
  <si>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</si>
  <si>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</si>
  <si>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</si>
  <si>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</si>
  <si>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</si>
  <si>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</si>
  <si>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</si>
  <si>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</si>
  <si>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</si>
  <si>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</si>
  <si>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</si>
  <si>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</si>
  <si>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</si>
  <si>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</si>
  <si>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</si>
  <si>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</si>
  <si>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</si>
  <si>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</si>
  <si>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</si>
  <si>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</si>
  <si>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</si>
  <si>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</si>
  <si>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</si>
  <si>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</si>
  <si>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</si>
  <si>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</si>
  <si>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</si>
  <si>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</si>
  <si>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</si>
  <si>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</si>
  <si>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</si>
  <si>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</si>
  <si>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</si>
  <si>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</si>
  <si>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</si>
  <si>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</si>
  <si>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</si>
  <si>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</si>
  <si>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</si>
  <si>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</si>
  <si>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</si>
  <si>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</si>
  <si>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</si>
  <si>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</si>
  <si>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</si>
  <si>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</si>
  <si>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</si>
  <si>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</si>
  <si>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</si>
  <si>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</si>
  <si>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</si>
  <si>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</si>
  <si>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</si>
  <si>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</si>
  <si>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</si>
  <si>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</si>
  <si>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</si>
  <si>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</si>
  <si>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</si>
  <si>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</si>
  <si>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</si>
  <si>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</si>
  <si>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</si>
  <si>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</si>
  <si>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</si>
  <si>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</si>
  <si>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</si>
  <si>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</si>
  <si>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</si>
  <si>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</si>
  <si>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</si>
  <si>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</si>
  <si>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</si>
  <si>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</si>
  <si>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</si>
  <si>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</si>
  <si>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</si>
  <si>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</si>
  <si>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</si>
  <si>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</si>
  <si>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</si>
  <si>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</si>
  <si>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Síntese executiva da apuração do reajuste. A memória técnica, as conferências e os ajustes manuais estão na aba RESULTADOS_DETALHE.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</si>
  <si>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</si>
  <si>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</si>
  <si>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</si>
  <si>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</si>
  <si>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</si>
  <si>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</si>
  <si>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</si>
  <si>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</si>
  <si>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</si>
  <si>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</si>
  <si>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</si>
  <si>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</si>
  <si>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</si>
  <si>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</si>
  <si>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</si>
  <si>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</si>
  <si>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</si>
  <si>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</si>
  <si>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</si>
  <si>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</si>
  <si>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</si>
  <si>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</si>
  <si>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</si>
  <si>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</si>
  <si>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</si>
  <si>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</si>
  <si>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</si>
  <si>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</si>
  <si>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</si>
  <si>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</si>
  <si>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</si>
  <si>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</si>
  <si>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</si>
  <si>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</si>
  <si>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Editar na aba RESULTADOS_DETALHE — bloco 5. AJUSTES MANUAIS (clique aqui)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</si>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</sst>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6" formatCode="&quot;R$&quot;\ #,##0.00;\-&quot;R$&quot;\ #,##0.00;&quot;R$&quot;\ 0.00;@"/>
    <numFmt numFmtId="187" formatCode="0.00%;\-0.00%;0.00%;@"/>
  </numFmts>
  <fonts count="109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u/>
      <sz val="11"/>
      <color theme="10"/>
      <name val="Calibri"/>
      <family val="2"/>
    </font>
    <font>
      <b/>
      <u/>
      <sz val="9"/>
      <color rgb="FF0563C1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2">
    <xf numFmtId="0" fontId="0" fillId="0" borderId="38"/>
    <xf numFmtId="0" fontId="101" fillId="0" borderId="38" applyNumberFormat="0" applyFill="0" applyBorder="0" applyAlignment="0" applyProtection="0"/>
  </cellStyleXfs>
  <cellXfs count="60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6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6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7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6" fontId="57" fillId="66" borderId="0" xfId="0" applyNumberFormat="1" applyFont="1" applyFill="1" applyBorder="1" applyAlignment="1">
      <alignment horizontal="right" vertical="center" indent="1"/>
    </xf>
    <xf numFmtId="186" fontId="86" fillId="67" borderId="0" xfId="0" applyNumberFormat="1" applyFont="1" applyFill="1" applyBorder="1" applyAlignment="1">
      <alignment horizontal="right" vertical="center" indent="1"/>
    </xf>
    <xf numFmtId="186" fontId="88" fillId="39" borderId="0" xfId="0" applyNumberFormat="1" applyFont="1" applyFill="1" applyBorder="1" applyAlignment="1">
      <alignment horizontal="right" vertical="center" indent="1"/>
    </xf>
    <xf numFmtId="186" fontId="90" fillId="43" borderId="0" xfId="0" applyNumberFormat="1" applyFont="1" applyFill="1" applyBorder="1" applyAlignment="1">
      <alignment horizontal="right" vertical="center" indent="1"/>
    </xf>
    <xf numFmtId="187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6" fontId="99" fillId="0" borderId="92" xfId="0" applyNumberFormat="1" applyFont="1" applyBorder="1" applyAlignment="1">
      <alignment horizontal="right" vertical="center"/>
    </xf>
    <xf numFmtId="186" fontId="99" fillId="0" borderId="93" xfId="0" applyNumberFormat="1" applyFont="1" applyBorder="1" applyAlignment="1">
      <alignment horizontal="right" vertical="center"/>
    </xf>
    <xf numFmtId="186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6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6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7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7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7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6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6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6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6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6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5" fillId="70" borderId="3" xfId="0" applyFont="1" applyFill="1" applyBorder="1" applyAlignment="1">
      <alignment horizontal="center" vertical="center"/>
    </xf>
    <xf numFmtId="0" fontId="105" fillId="71" borderId="3" xfId="0" applyFont="1" applyFill="1" applyBorder="1" applyAlignment="1">
      <alignment horizontal="center" vertical="center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4" fillId="0" borderId="22" xfId="0" applyFont="1" applyBorder="1" applyAlignment="1">
      <alignment horizontal="left" vertical="center" wrapText="1" indent="1"/>
    </xf>
    <xf numFmtId="0" fontId="104" fillId="0" borderId="8" xfId="0" applyFont="1" applyBorder="1" applyAlignment="1">
      <alignment horizontal="left" vertical="center" wrapText="1" indent="1"/>
    </xf>
    <xf numFmtId="0" fontId="104" fillId="0" borderId="9" xfId="0" applyFont="1" applyBorder="1" applyAlignment="1">
      <alignment horizontal="left" vertical="center" wrapText="1" indent="1"/>
    </xf>
    <xf numFmtId="0" fontId="108" fillId="72" borderId="3" xfId="0" applyFont="1" applyFill="1" applyBorder="1" applyAlignment="1">
      <alignment horizontal="left" vertical="center" wrapText="1" indent="1"/>
    </xf>
    <xf numFmtId="0" fontId="107" fillId="70" borderId="3" xfId="0" applyFont="1" applyFill="1" applyBorder="1" applyAlignment="1">
      <alignment horizontal="left" vertical="center" wrapText="1" inden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0" fontId="50" fillId="0" borderId="91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102" fillId="0" borderId="8" xfId="1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3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  <xf numFmtId="4" fontId="22" fillId="44" borderId="3" xfId="0" applyNumberFormat="1" applyFont="1" applyFill="1" applyBorder="1"/>
    <xf numFmtId="4" fontId="106" fillId="39" borderId="3" xfId="0" applyNumberFormat="1" applyFont="1" applyFill="1" applyBorder="1"/>
    <xf numFmtId="169" fontId="22" fillId="44" borderId="3" xfId="0" applyNumberFormat="1" applyFont="1" applyFill="1" applyBorder="1"/>
  </cellXfs>
  <cellStyles count="2">
    <cellStyle name="Hiperlink" xfId="1" builtinId="8"/>
    <cellStyle name="Normal" xfId="0" builtinId="0"/>
  </cellStyles>
  <dxfs count="10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46300.604280671294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83" t="str">
        <f>IF(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="","",IF(((AND(IFERROR(VALUE(MID(TRIM(CONTROLE!$B$2),2,1)),0)&gt;1,NOT(ISNUMBER($E$3))))+(AND(IFERROR(VALUE(MID(TRIM(CONTROLE!$B$2),2,1)),0)&gt;2,NOT(ISNUMBER($E$4))))+(AND(IFERROR(VALUE(MID(TRIM(CONTROLE!$B$2),2,1)),0)&gt;3,NOT(ISNUMBER($E$5)))))=1,MEMORIA_RESULTADOS!$AG$41,MEMORIA_RESULTADOS!$AG$42)&amp;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","")&amp;"C3","")&amp;".")</f>
        <v/>
      </c>
      <c r="B8" s="484"/>
      <c r="C8" s="484"/>
      <c r="D8" s="484"/>
      <c r="E8" s="484"/>
      <c r="F8" s="485"/>
      <c r="G8" s="14"/>
      <c r="M8" s="177"/>
      <c r="N8" s="178"/>
      <c r="O8" s="179"/>
      <c r="P8" s="179"/>
      <c r="Q8" s="178"/>
    </row>
    <row r="9" spans="1:20" x14ac:dyDescent="0.35">
      <c r="A9" s="480" t="s">
        <v>49</v>
      </c>
      <c r="B9" s="481"/>
      <c r="C9" s="481"/>
      <c r="D9" s="481"/>
      <c r="E9" s="481"/>
      <c r="F9" s="482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4" t="s">
        <v>739</v>
      </c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08" priority="2">
      <formula>LEN($A$8)&gt;0</formula>
    </cfRule>
  </conditionalFormatting>
  <conditionalFormatting sqref="E3:E6">
    <cfRule type="expression" dxfId="107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6" priority="1" stopIfTrue="1">
      <formula>AND($C2&lt;&gt;"",$G2="")</formula>
    </cfRule>
    <cfRule type="expression" dxfId="105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4" priority="2">
      <formula>$U2="TOTAL"</formula>
    </cfRule>
  </conditionalFormatting>
  <conditionalFormatting sqref="E2:E201">
    <cfRule type="expression" dxfId="103" priority="3" stopIfTrue="1">
      <formula>AND($A2&lt;&gt;"",ISNUMBER($BI2),$BI2&gt;1)</formula>
    </cfRule>
    <cfRule type="expression" dxfId="102" priority="3">
      <formula>AND($A2&lt;&gt;"",ISNUMBER(E2),E2&gt;0)</formula>
    </cfRule>
    <cfRule type="expression" dxfId="101" priority="4">
      <formula>AND($A2&lt;&gt;"",E2=0)</formula>
    </cfRule>
    <cfRule type="expression" dxfId="100" priority="5">
      <formula>AND($A2&lt;&gt;"",E2="",OR(NOT(ISNUMBER($BI2)),$BI2&lt;=1))</formula>
    </cfRule>
  </conditionalFormatting>
  <conditionalFormatting sqref="G2:G201">
    <cfRule type="expression" dxfId="99" priority="6" stopIfTrue="1">
      <formula>AND($A2&lt;&gt;"",ISNUMBER($BI2),$BI2&gt;2)</formula>
    </cfRule>
    <cfRule type="expression" dxfId="98" priority="7">
      <formula>AND($A2&lt;&gt;"",ISNUMBER(G2),G2&gt;0)</formula>
    </cfRule>
    <cfRule type="expression" dxfId="97" priority="8">
      <formula>AND($A2&lt;&gt;"",G2=0)</formula>
    </cfRule>
    <cfRule type="expression" dxfId="96" priority="9">
      <formula>AND($A2&lt;&gt;"",G2="",OR(NOT(ISNUMBER($BI2)),$BI2&lt;=2))</formula>
    </cfRule>
  </conditionalFormatting>
  <conditionalFormatting sqref="I2:I201">
    <cfRule type="expression" dxfId="95" priority="10" stopIfTrue="1">
      <formula>AND($A2&lt;&gt;"",ISNUMBER($BI2),$BI2&gt;3)</formula>
    </cfRule>
    <cfRule type="expression" dxfId="94" priority="11">
      <formula>AND($A2&lt;&gt;"",ISNUMBER(I2),I2&gt;0)</formula>
    </cfRule>
    <cfRule type="expression" dxfId="93" priority="12">
      <formula>AND($A2&lt;&gt;"",I2=0)</formula>
    </cfRule>
    <cfRule type="expression" dxfId="92" priority="13">
      <formula>AND($A2&lt;&gt;"",I2="",OR(NOT(ISNUMBER($BI2)),$BI2&lt;=3))</formula>
    </cfRule>
  </conditionalFormatting>
  <conditionalFormatting sqref="K2:K201">
    <cfRule type="expression" dxfId="91" priority="14" stopIfTrue="1">
      <formula>AND($A2&lt;&gt;"",ISNUMBER($BI2),$BI2&gt;4)</formula>
    </cfRule>
    <cfRule type="expression" dxfId="90" priority="15">
      <formula>AND($A2&lt;&gt;"",ISNUMBER(K2),K2&gt;0)</formula>
    </cfRule>
    <cfRule type="expression" dxfId="89" priority="16">
      <formula>AND($A2&lt;&gt;"",K2=0)</formula>
    </cfRule>
    <cfRule type="expression" dxfId="88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3"/>
      <c r="X1" s="478" t="s">
        <v>547</v>
      </c>
      <c r="Y1" s="478" t="s">
        <v>548</v>
      </c>
      <c r="Z1" s="479" t="s">
        <v>549</v>
      </c>
      <c r="AA1" s="479" t="s">
        <v>550</v>
      </c>
      <c r="AB1" s="478" t="s">
        <v>551</v>
      </c>
      <c r="AC1" s="478" t="s">
        <v>552</v>
      </c>
      <c r="AD1" s="478" t="s">
        <v>553</v>
      </c>
      <c r="AE1" s="478" t="s">
        <v>554</v>
      </c>
      <c r="AF1" s="478" t="s">
        <v>555</v>
      </c>
      <c r="AG1" s="47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5"/>
      <c r="X2" s="475" t="s">
        <v>21</v>
      </c>
      <c r="Y2" s="603" t="str">
        <f>IF(COUNT($E$2:$E$200)=0,"",IF(OR(NOT(ISNUMBER(parametros!$F2)),NOT(ISNUMBER($AD2)),$AD2=0),"",ROUND(SUMPRODUCT($E$2:$E$200,$C$2:$C$200)*parametros!$F2/$AD2,2)))</f>
        <v/>
      </c>
      <c r="Z2" s="476"/>
      <c r="AA2" s="604"/>
      <c r="AB2" s="603" t="str">
        <f>IF($AG2&lt;&gt;"AJUSTE APLICADO","",IF($Z2="Valor pago",ROUND($AA2,2),ROUND($Y2-$AA2,2)))</f>
        <v/>
      </c>
      <c r="AC2" s="603" t="str">
        <f>IF($AG2&lt;&gt;"AJUSTE APLICADO","",ROUND($Y2-$AB2,2))</f>
        <v/>
      </c>
      <c r="AD2" s="605">
        <f>IF(ISNUMBER(parametros!$D11),parametros!$D11,"")</f>
        <v>1</v>
      </c>
      <c r="AE2" s="603" t="str">
        <f>IF($AG2&lt;&gt;"AJUSTE APLICADO","",ROUND($AB2*$AD2,2))</f>
        <v/>
      </c>
      <c r="AF2" s="603" t="str">
        <f>IF($AG2&lt;&gt;"AJUSTE APLICADO","",ROUND($AE2-$AB2,2))</f>
        <v/>
      </c>
      <c r="AG2" s="477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5"/>
      <c r="X3" s="475" t="s">
        <v>22</v>
      </c>
      <c r="Y3" s="603" t="str">
        <f>IF(COUNT($G$2:$G$200)=0,"",IF(OR(NOT(ISNUMBER(parametros!$F3)),NOT(ISNUMBER($AD3)),$AD3=0),"",ROUND(SUMPRODUCT($G$2:$G$200,$C$2:$C$200)*parametros!$F3/$AD3,2)))</f>
        <v/>
      </c>
      <c r="Z3" s="476"/>
      <c r="AA3" s="604"/>
      <c r="AB3" s="603" t="str">
        <f>IF($AG3&lt;&gt;"AJUSTE APLICADO","",IF($Z3="Valor pago",ROUND($AA3,2),ROUND($Y3-$AA3,2)))</f>
        <v/>
      </c>
      <c r="AC3" s="603" t="str">
        <f>IF($AG3&lt;&gt;"AJUSTE APLICADO","",ROUND($Y3-$AB3,2))</f>
        <v/>
      </c>
      <c r="AD3" s="605" t="str">
        <f>IF(ISNUMBER(parametros!$D12),parametros!$D12,"")</f>
        <v/>
      </c>
      <c r="AE3" s="603" t="str">
        <f>IF($AG3&lt;&gt;"AJUSTE APLICADO","",ROUND($AB3*$AD3,2))</f>
        <v/>
      </c>
      <c r="AF3" s="603" t="str">
        <f>IF($AG3&lt;&gt;"AJUSTE APLICADO","",ROUND($AE3-$AB3,2))</f>
        <v/>
      </c>
      <c r="AG3" s="477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5"/>
      <c r="X4" s="475" t="s">
        <v>23</v>
      </c>
      <c r="Y4" s="603" t="str">
        <f>IF(COUNT($I$2:$I$200)=0,"",IF(OR(NOT(ISNUMBER(parametros!$F4)),NOT(ISNUMBER($AD4)),$AD4=0),"",ROUND(SUMPRODUCT($I$2:$I$200,$C$2:$C$200)*parametros!$F4/$AD4,2)))</f>
        <v/>
      </c>
      <c r="Z4" s="476"/>
      <c r="AA4" s="604"/>
      <c r="AB4" s="603" t="str">
        <f>IF($AG4&lt;&gt;"AJUSTE APLICADO","",IF($Z4="Valor pago",ROUND($AA4,2),ROUND($Y4-$AA4,2)))</f>
        <v/>
      </c>
      <c r="AC4" s="603" t="str">
        <f>IF($AG4&lt;&gt;"AJUSTE APLICADO","",ROUND($Y4-$AB4,2))</f>
        <v/>
      </c>
      <c r="AD4" s="605" t="str">
        <f>IF(ISNUMBER(parametros!$D13),parametros!$D13,"")</f>
        <v/>
      </c>
      <c r="AE4" s="603" t="str">
        <f>IF($AG4&lt;&gt;"AJUSTE APLICADO","",ROUND($AB4*$AD4,2))</f>
        <v/>
      </c>
      <c r="AF4" s="603" t="str">
        <f>IF($AG4&lt;&gt;"AJUSTE APLICADO","",ROUND($AE4-$AB4,2))</f>
        <v/>
      </c>
      <c r="AG4" s="477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5"/>
      <c r="X5" s="475" t="s">
        <v>24</v>
      </c>
      <c r="Y5" s="603" t="str">
        <f>IF(COUNT($K$2:$K$200)=0,"",IF(OR(NOT(ISNUMBER(parametros!$F5)),NOT(ISNUMBER($AD5)),$AD5=0),"",ROUND(SUMPRODUCT($K$2:$K$200,$C$2:$C$200)*parametros!$F5/$AD5,2)))</f>
        <v/>
      </c>
      <c r="Z5" s="476"/>
      <c r="AA5" s="604"/>
      <c r="AB5" s="603" t="str">
        <f>IF($AG5&lt;&gt;"AJUSTE APLICADO","",IF($Z5="Valor pago",ROUND($AA5,2),ROUND($Y5-$AA5,2)))</f>
        <v/>
      </c>
      <c r="AC5" s="603" t="str">
        <f>IF($AG5&lt;&gt;"AJUSTE APLICADO","",ROUND($Y5-$AB5,2))</f>
        <v/>
      </c>
      <c r="AD5" s="605" t="str">
        <f>IF(ISNUMBER(parametros!$D14),parametros!$D14,"")</f>
        <v/>
      </c>
      <c r="AE5" s="603" t="str">
        <f>IF($AG5&lt;&gt;"AJUSTE APLICADO","",ROUND($AB5*$AD5,2))</f>
        <v/>
      </c>
      <c r="AF5" s="603" t="str">
        <f>IF($AG5&lt;&gt;"AJUSTE APLICADO","",ROUND($AE5-$AB5,2))</f>
        <v/>
      </c>
      <c r="AG5" s="477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5"/>
      <c r="X6" s="475" t="s">
        <v>25</v>
      </c>
      <c r="Y6" s="603" t="str">
        <f>IF(COUNT($M$2:$M$200)=0,"",IF(OR(NOT(ISNUMBER(parametros!$F6)),NOT(ISNUMBER($AD6)),$AD6=0),"",ROUND(SUMPRODUCT($M$2:$M$200,$C$2:$C$200)*parametros!$F6/$AD6,2)))</f>
        <v/>
      </c>
      <c r="Z6" s="476"/>
      <c r="AA6" s="604"/>
      <c r="AB6" s="603" t="str">
        <f>IF($AG6&lt;&gt;"AJUSTE APLICADO","",IF($Z6="Valor pago",ROUND($AA6,2),ROUND($Y6-$AA6,2)))</f>
        <v/>
      </c>
      <c r="AC6" s="603" t="str">
        <f>IF($AG6&lt;&gt;"AJUSTE APLICADO","",ROUND($Y6-$AB6,2))</f>
        <v/>
      </c>
      <c r="AD6" s="605" t="str">
        <f>IF(ISNUMBER(parametros!$D15),parametros!$D15,"")</f>
        <v/>
      </c>
      <c r="AE6" s="603" t="str">
        <f>IF($AG6&lt;&gt;"AJUSTE APLICADO","",ROUND($AB6*$AD6,2))</f>
        <v/>
      </c>
      <c r="AF6" s="603" t="str">
        <f>IF($AG6&lt;&gt;"AJUSTE APLICADO","",ROUND($AE6-$AB6,2))</f>
        <v/>
      </c>
      <c r="AG6" s="477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5"/>
      <c r="X8" s="487" t="s">
        <v>741</v>
      </c>
      <c r="Y8" s="487"/>
      <c r="Z8" s="487"/>
      <c r="AA8" s="487"/>
      <c r="AB8" s="487"/>
      <c r="AC8" s="487"/>
      <c r="AD8" s="487"/>
      <c r="AE8" s="487"/>
      <c r="AF8" s="487"/>
      <c r="AG8" s="487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5"/>
      <c r="X9" s="486" t="s">
        <v>740</v>
      </c>
      <c r="Y9" s="486"/>
      <c r="Z9" s="486"/>
      <c r="AA9" s="486"/>
      <c r="AB9" s="486"/>
      <c r="AC9" s="486"/>
      <c r="AD9" s="486"/>
      <c r="AE9" s="486"/>
      <c r="AF9" s="486"/>
      <c r="AG9" s="486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5"/>
      <c r="X10" s="486" t="s">
        <v>557</v>
      </c>
      <c r="Y10" s="486"/>
      <c r="Z10" s="486"/>
      <c r="AA10" s="486"/>
      <c r="AB10" s="486"/>
      <c r="AC10" s="486"/>
      <c r="AD10" s="486"/>
      <c r="AE10" s="486"/>
      <c r="AF10" s="486"/>
      <c r="AG10" s="486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5"/>
      <c r="X11" s="486" t="s">
        <v>558</v>
      </c>
      <c r="Y11" s="486"/>
      <c r="Z11" s="486"/>
      <c r="AA11" s="486"/>
      <c r="AB11" s="486"/>
      <c r="AC11" s="486"/>
      <c r="AD11" s="486"/>
      <c r="AE11" s="486"/>
      <c r="AF11" s="486"/>
      <c r="AG11" s="486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5"/>
      <c r="X12" s="486" t="s">
        <v>559</v>
      </c>
      <c r="Y12" s="486"/>
      <c r="Z12" s="486"/>
      <c r="AA12" s="486"/>
      <c r="AB12" s="486"/>
      <c r="AC12" s="486"/>
      <c r="AD12" s="486"/>
      <c r="AE12" s="486"/>
      <c r="AF12" s="486"/>
      <c r="AG12" s="486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5"/>
      <c r="X13" s="486" t="s">
        <v>560</v>
      </c>
      <c r="Y13" s="486"/>
      <c r="Z13" s="486"/>
      <c r="AA13" s="486"/>
      <c r="AB13" s="486"/>
      <c r="AC13" s="486"/>
      <c r="AD13" s="486"/>
      <c r="AE13" s="486"/>
      <c r="AF13" s="486"/>
      <c r="AG13" s="486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1" t="s">
        <v>469</v>
      </c>
      <c r="N1" s="492"/>
      <c r="O1" s="492"/>
      <c r="P1" s="492"/>
      <c r="Q1" s="492"/>
      <c r="R1" s="492"/>
      <c r="S1" s="492"/>
      <c r="T1" s="493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4" t="s">
        <v>476</v>
      </c>
      <c r="N10" s="492"/>
      <c r="O10" s="492"/>
      <c r="P10" s="492"/>
      <c r="Q10" s="492"/>
      <c r="R10" s="492"/>
      <c r="S10" s="492"/>
      <c r="T10" s="495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99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99"/>
      <c r="O19" s="499"/>
      <c r="P19" s="499"/>
      <c r="Q19" s="499"/>
      <c r="R19" s="499"/>
      <c r="S19" s="500">
        <f>ROUND(N($Q$18)+N(MEMORIA_RESULTADOS!$T$39),2)</f>
        <v>0</v>
      </c>
      <c r="T19" s="500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96" t="s">
        <v>481</v>
      </c>
      <c r="N20" s="497"/>
      <c r="O20" s="497"/>
      <c r="P20" s="497"/>
      <c r="Q20" s="497"/>
      <c r="R20" s="497"/>
      <c r="S20" s="497"/>
      <c r="T20" s="498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88" t="s">
        <v>482</v>
      </c>
      <c r="N21" s="489"/>
      <c r="O21" s="489"/>
      <c r="P21" s="489"/>
      <c r="Q21" s="489"/>
      <c r="R21" s="489"/>
      <c r="S21" s="489"/>
      <c r="T21" s="490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88" t="s">
        <v>520</v>
      </c>
      <c r="N22" s="489"/>
      <c r="O22" s="489"/>
      <c r="P22" s="489"/>
      <c r="Q22" s="489"/>
      <c r="R22" s="489"/>
      <c r="S22" s="489"/>
      <c r="T22" s="490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88" t="s">
        <v>483</v>
      </c>
      <c r="N23" s="489"/>
      <c r="O23" s="489"/>
      <c r="P23" s="489"/>
      <c r="Q23" s="489"/>
      <c r="R23" s="489"/>
      <c r="S23" s="489"/>
      <c r="T23" s="490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88" t="s">
        <v>484</v>
      </c>
      <c r="N24" s="489"/>
      <c r="O24" s="489"/>
      <c r="P24" s="489"/>
      <c r="Q24" s="489"/>
      <c r="R24" s="489"/>
      <c r="S24" s="489"/>
      <c r="T24" s="490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88" t="s">
        <v>485</v>
      </c>
      <c r="N25" s="489"/>
      <c r="O25" s="489"/>
      <c r="P25" s="489"/>
      <c r="Q25" s="489"/>
      <c r="R25" s="489"/>
      <c r="S25" s="489"/>
      <c r="T25" s="490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88" t="s">
        <v>486</v>
      </c>
      <c r="N26" s="489"/>
      <c r="O26" s="489"/>
      <c r="P26" s="489"/>
      <c r="Q26" s="489"/>
      <c r="R26" s="489"/>
      <c r="S26" s="489"/>
      <c r="T26" s="490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88" t="s">
        <v>521</v>
      </c>
      <c r="N27" s="489"/>
      <c r="O27" s="489"/>
      <c r="P27" s="489"/>
      <c r="Q27" s="489"/>
      <c r="R27" s="489"/>
      <c r="S27" s="489"/>
      <c r="T27" s="490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88" t="s">
        <v>522</v>
      </c>
      <c r="N28" s="489"/>
      <c r="O28" s="489"/>
      <c r="P28" s="489"/>
      <c r="Q28" s="489"/>
      <c r="R28" s="489"/>
      <c r="S28" s="489"/>
      <c r="T28" s="490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88" t="s">
        <v>487</v>
      </c>
      <c r="N29" s="489"/>
      <c r="O29" s="489"/>
      <c r="P29" s="489"/>
      <c r="Q29" s="489"/>
      <c r="R29" s="489"/>
      <c r="S29" s="489"/>
      <c r="T29" s="490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87" priority="1" stopIfTrue="1">
      <formula>AND(OR($A2&lt;&gt;"",$B2&lt;&gt;"",$D2&lt;&gt;"",$G2&lt;&gt;""),$L2="")</formula>
    </cfRule>
    <cfRule type="expression" dxfId="86" priority="2">
      <formula>$L2="Nao"</formula>
    </cfRule>
  </conditionalFormatting>
  <conditionalFormatting sqref="S3:S9">
    <cfRule type="expression" dxfId="85" priority="3" stopIfTrue="1">
      <formula>N($S3)&lt;&gt;0</formula>
    </cfRule>
  </conditionalFormatting>
  <conditionalFormatting sqref="S12:S18">
    <cfRule type="expression" dxfId="84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83" priority="7">
      <formula>OR(LEFT(UPPER($D2),6)="SUPRES",LEFT(UPPER($D2),4)="DECR")</formula>
    </cfRule>
    <cfRule type="expression" dxfId="82" priority="7">
      <formula>OR(LEFT(UPPER($D2),6)="SUPRES",LEFT(UPPER($D2),4)="DECR")</formula>
    </cfRule>
  </conditionalFormatting>
  <conditionalFormatting sqref="C2:C200">
    <cfRule type="expression" dxfId="81" priority="15">
      <formula>UPPER($C2)="C0"</formula>
    </cfRule>
    <cfRule type="expression" dxfId="80" priority="15">
      <formula>UPPER($C2)="C1"</formula>
    </cfRule>
    <cfRule type="expression" dxfId="79" priority="15">
      <formula>UPPER($C2)="C2"</formula>
    </cfRule>
    <cfRule type="expression" dxfId="78" priority="15">
      <formula>UPPER($C2)="C3"</formula>
    </cfRule>
    <cfRule type="expression" dxfId="77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03" t="s">
        <v>198</v>
      </c>
      <c r="B1" s="503" t="s">
        <v>199</v>
      </c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5"/>
      <c r="Q1" s="501" t="s">
        <v>200</v>
      </c>
      <c r="R1" s="502"/>
      <c r="S1" s="502"/>
      <c r="T1" s="502"/>
      <c r="U1" s="502"/>
      <c r="V1" s="502"/>
      <c r="W1" s="502"/>
      <c r="X1" s="502"/>
      <c r="Y1" s="502"/>
      <c r="Z1" s="506" t="s">
        <v>201</v>
      </c>
      <c r="AA1" s="502"/>
      <c r="AB1" s="502"/>
      <c r="AC1" s="502"/>
      <c r="AE1" s="507" t="s">
        <v>202</v>
      </c>
    </row>
    <row r="2" spans="1:31" ht="43.5" customHeight="1" x14ac:dyDescent="0.35">
      <c r="A2" s="508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502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46300.604280671294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09" t="s">
        <v>268</v>
      </c>
      <c r="B25" s="510"/>
      <c r="C25" s="511"/>
    </row>
    <row r="26" spans="1:3" x14ac:dyDescent="0.35">
      <c r="A26" s="310" t="s">
        <v>269</v>
      </c>
      <c r="B26" s="516" t="s">
        <v>270</v>
      </c>
      <c r="C26" s="517"/>
    </row>
    <row r="27" spans="1:3" x14ac:dyDescent="0.35">
      <c r="A27" s="311" t="s">
        <v>271</v>
      </c>
      <c r="B27" s="518" t="s">
        <v>272</v>
      </c>
      <c r="C27" s="515"/>
    </row>
    <row r="28" spans="1:3" x14ac:dyDescent="0.35">
      <c r="A28" s="312" t="s">
        <v>273</v>
      </c>
      <c r="B28" s="514" t="s">
        <v>274</v>
      </c>
      <c r="C28" s="515"/>
    </row>
    <row r="29" spans="1:3" x14ac:dyDescent="0.35">
      <c r="A29" s="313" t="s">
        <v>275</v>
      </c>
      <c r="B29" s="512" t="s">
        <v>276</v>
      </c>
      <c r="C29" s="51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27" t="s">
        <v>277</v>
      </c>
      <c r="B1" s="502"/>
      <c r="C1" s="502"/>
      <c r="D1" s="502"/>
      <c r="E1" s="502"/>
      <c r="F1" s="502"/>
      <c r="G1" s="502"/>
      <c r="H1" s="502"/>
      <c r="I1" s="502"/>
      <c r="J1" s="502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32" t="s">
        <v>281</v>
      </c>
      <c r="B2" s="502"/>
      <c r="C2" s="502"/>
      <c r="D2" s="502"/>
      <c r="E2" s="502"/>
      <c r="F2" s="502"/>
      <c r="G2" s="502"/>
      <c r="H2" s="502"/>
      <c r="I2" s="502"/>
      <c r="J2" s="502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90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90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90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21" t="str">
        <f>IF(AND(RESULTADOS_DETALHE!$G$43="Sim",RESULTADOS_DETALHE!$D$43&lt;&gt;""),RESULTADOS_DETALHE!$D$43,"")</f>
        <v/>
      </c>
      <c r="E5" s="522"/>
      <c r="F5" s="522"/>
      <c r="G5" s="522"/>
      <c r="H5" s="522"/>
      <c r="I5" s="522"/>
      <c r="J5" s="52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90" t="s">
        <v>631</v>
      </c>
    </row>
    <row r="6" spans="1:33" ht="34" customHeight="1" x14ac:dyDescent="0.35">
      <c r="A6" s="525" t="s">
        <v>289</v>
      </c>
      <c r="B6" s="502"/>
      <c r="C6" s="502"/>
      <c r="D6" s="502"/>
      <c r="E6" s="502"/>
      <c r="F6" s="502"/>
      <c r="G6" s="502"/>
      <c r="H6" s="502"/>
      <c r="I6" s="502"/>
      <c r="J6" s="502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90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90" t="s">
        <v>635</v>
      </c>
    </row>
    <row r="8" spans="1:33" ht="24" customHeight="1" x14ac:dyDescent="0.35">
      <c r="A8" s="524" t="s">
        <v>290</v>
      </c>
      <c r="B8" s="502"/>
      <c r="C8" s="502"/>
      <c r="D8" s="502"/>
      <c r="E8" s="502"/>
      <c r="F8" s="502"/>
      <c r="G8" s="502"/>
      <c r="H8" s="502"/>
      <c r="I8" s="502"/>
      <c r="J8" s="502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90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90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90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90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90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90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90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90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0" t="s">
        <v>651</v>
      </c>
    </row>
    <row r="17" spans="1:33" ht="24" customHeight="1" x14ac:dyDescent="0.35">
      <c r="A17" s="531" t="s">
        <v>300</v>
      </c>
      <c r="B17" s="502"/>
      <c r="C17" s="502"/>
      <c r="D17" s="502"/>
      <c r="E17" s="502"/>
      <c r="F17" s="502"/>
      <c r="G17" s="502"/>
      <c r="H17" s="502"/>
      <c r="I17" s="502"/>
      <c r="J17" s="502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90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90" t="s">
        <v>655</v>
      </c>
    </row>
    <row r="19" spans="1:33" ht="24" customHeight="1" x14ac:dyDescent="0.35">
      <c r="A19" s="524" t="s">
        <v>301</v>
      </c>
      <c r="B19" s="502"/>
      <c r="C19" s="502"/>
      <c r="D19" s="502"/>
      <c r="E19" s="502"/>
      <c r="F19" s="502"/>
      <c r="G19" s="502"/>
      <c r="H19" s="502"/>
      <c r="I19" s="502"/>
      <c r="J19" s="502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90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90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90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90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90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21" t="str">
        <f>IF(AND(RESULTADOS_DETALHE!$G$44="Sim",RESULTADOS_DETALHE!$D$44&lt;&gt;""),RESULTADOS_DETALHE!$D$44,"")</f>
        <v/>
      </c>
      <c r="E24" s="522"/>
      <c r="F24" s="522"/>
      <c r="G24" s="522"/>
      <c r="H24" s="522"/>
      <c r="I24" s="522"/>
      <c r="J24" s="52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90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21" t="str">
        <f>IF(AND(RESULTADOS_DETALHE!$G$45="Sim",RESULTADOS_DETALHE!$D$45&lt;&gt;""),RESULTADOS_DETALHE!$D$45,"")</f>
        <v/>
      </c>
      <c r="E25" s="522"/>
      <c r="F25" s="522"/>
      <c r="G25" s="522"/>
      <c r="H25" s="522"/>
      <c r="I25" s="522"/>
      <c r="J25" s="52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90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2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22"/>
      <c r="G26" s="522"/>
      <c r="H26" s="522"/>
      <c r="I26" s="522"/>
      <c r="J26" s="52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90" t="s">
        <v>669</v>
      </c>
    </row>
    <row r="27" spans="1:33" ht="34" customHeight="1" x14ac:dyDescent="0.35">
      <c r="A27" s="532" t="s">
        <v>319</v>
      </c>
      <c r="B27" s="502"/>
      <c r="C27" s="502"/>
      <c r="D27" s="502"/>
      <c r="E27" s="502"/>
      <c r="F27" s="502"/>
      <c r="G27" s="502"/>
      <c r="H27" s="502"/>
      <c r="I27" s="502"/>
      <c r="J27" s="502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90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90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90" t="s">
        <v>675</v>
      </c>
    </row>
    <row r="30" spans="1:33" ht="24" customHeight="1" x14ac:dyDescent="0.35">
      <c r="A30" s="524" t="s">
        <v>326</v>
      </c>
      <c r="B30" s="502"/>
      <c r="C30" s="502"/>
      <c r="D30" s="502"/>
      <c r="E30" s="502"/>
      <c r="F30" s="502"/>
      <c r="G30" s="502"/>
      <c r="H30" s="502"/>
      <c r="I30" s="502"/>
      <c r="J30" s="502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90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90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90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90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90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90" t="s">
        <v>687</v>
      </c>
    </row>
    <row r="36" spans="1:33" x14ac:dyDescent="0.35">
      <c r="A36" s="126" t="s">
        <v>343</v>
      </c>
      <c r="B36" s="528"/>
      <c r="C36" s="529"/>
      <c r="D36" s="529"/>
      <c r="E36" s="530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90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90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90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90" t="s">
        <v>695</v>
      </c>
    </row>
    <row r="40" spans="1:33" ht="24" customHeight="1" x14ac:dyDescent="0.35">
      <c r="A40" s="524" t="s">
        <v>346</v>
      </c>
      <c r="B40" s="502"/>
      <c r="C40" s="502"/>
      <c r="D40" s="502"/>
      <c r="E40" s="502"/>
      <c r="F40" s="502"/>
      <c r="G40" s="502"/>
      <c r="H40" s="502"/>
      <c r="I40" s="502"/>
      <c r="J40" s="502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90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735</v>
      </c>
      <c r="AG41" t="s">
        <v>736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737</v>
      </c>
      <c r="AG42" t="s">
        <v>738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25"/>
      <c r="B48" s="502"/>
      <c r="C48" s="502"/>
      <c r="D48" s="502"/>
      <c r="E48" s="502"/>
      <c r="F48" s="502"/>
      <c r="G48" s="502"/>
      <c r="H48" s="502"/>
      <c r="I48" s="502"/>
      <c r="J48" s="502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25"/>
      <c r="B49" s="502"/>
      <c r="C49" s="502"/>
      <c r="D49" s="502"/>
      <c r="E49" s="502"/>
      <c r="F49" s="502"/>
      <c r="G49" s="502"/>
      <c r="H49" s="502"/>
      <c r="I49" s="502"/>
      <c r="J49" s="502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19" t="s">
        <v>374</v>
      </c>
      <c r="B52" s="520"/>
      <c r="C52" s="520"/>
      <c r="D52" s="520"/>
      <c r="E52" s="520"/>
      <c r="F52" s="520"/>
      <c r="G52" s="520"/>
      <c r="H52" s="520"/>
      <c r="I52" s="57"/>
      <c r="J52" s="519" t="s">
        <v>375</v>
      </c>
      <c r="K52" s="520"/>
      <c r="L52" s="520"/>
      <c r="M52" s="520"/>
      <c r="N52" s="520"/>
      <c r="O52" s="520"/>
      <c r="P52" s="520"/>
      <c r="Q52" s="520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90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90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90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90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90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90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90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90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90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90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90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90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90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90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90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59" t="s">
        <v>621</v>
      </c>
      <c r="B1" s="559"/>
      <c r="C1" s="559"/>
      <c r="D1" s="559"/>
      <c r="E1" s="559"/>
      <c r="F1" s="559"/>
      <c r="G1" s="560" t="str">
        <f ca="1">$B$3</f>
        <v>REVISE</v>
      </c>
      <c r="H1" s="561"/>
    </row>
    <row r="2" spans="1:10" ht="90.5" customHeight="1" x14ac:dyDescent="0.3">
      <c r="A2" s="562" t="s">
        <v>622</v>
      </c>
      <c r="B2" s="562"/>
      <c r="C2" s="562"/>
      <c r="D2" s="562"/>
      <c r="E2" s="562"/>
      <c r="F2" s="562"/>
      <c r="G2" s="563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63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66" t="str">
        <f>$D$6</f>
        <v/>
      </c>
      <c r="H3" s="567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68" t="str">
        <f>$D$22</f>
        <v/>
      </c>
      <c r="E5" s="569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64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5"/>
      <c r="D7" s="565"/>
      <c r="E7" s="565"/>
      <c r="F7" s="565"/>
      <c r="G7" s="565"/>
      <c r="H7" s="565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40" t="s">
        <v>488</v>
      </c>
      <c r="B9" s="540"/>
      <c r="C9" s="540"/>
      <c r="D9" s="540"/>
      <c r="E9" s="540"/>
      <c r="F9" s="540"/>
      <c r="G9" s="540"/>
      <c r="H9" s="540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41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42"/>
      <c r="E10" s="542"/>
      <c r="F10" s="541" t="s">
        <v>509</v>
      </c>
      <c r="G10" s="542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49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50"/>
      <c r="E11" s="550"/>
      <c r="F11" s="549" t="s">
        <v>511</v>
      </c>
      <c r="G11" s="550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49" t="s">
        <v>734</v>
      </c>
      <c r="D12" s="550"/>
      <c r="E12" s="550"/>
      <c r="F12" s="549" t="s">
        <v>513</v>
      </c>
      <c r="G12" s="550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47" t="s">
        <v>515</v>
      </c>
      <c r="D13" s="548"/>
      <c r="E13" s="548"/>
      <c r="F13" s="547" t="s">
        <v>516</v>
      </c>
      <c r="G13" s="548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2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84" t="str">
        <f>IF(MEMORIA_RESULTADOS!$T$99=1,MEMORIA_RESULTADOS!$T$110,"")</f>
        <v/>
      </c>
      <c r="F16" s="585"/>
      <c r="G16" s="585"/>
      <c r="H16" s="585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3" t="str">
        <f>IF(B17="","",IF(MEMORIA_RESULTADOS!$E$11="",0,MEMORIA_RESULTADOS!$E$11))</f>
        <v/>
      </c>
      <c r="E17" s="395" t="str">
        <f>IF(MEMORIA_RESULTADOS!T$91="","",MEMORIA_RESULTADOS!T$96&amp;IF(MEMORIA_RESULTADOS!T$97="","",CHAR(10)&amp;MEMORIA_RESULTADOS!T$97))</f>
        <v/>
      </c>
      <c r="F17" s="394" t="str">
        <f>IF(OR(MEMORIA_RESULTADOS!T$91="A",MEMORIA_RESULTADOS!T$91="B"),MEMORIA_RESULTADOS!T$87,"")</f>
        <v/>
      </c>
      <c r="G17" s="391" t="str">
        <f>IF(OR(MEMORIA_RESULTADOS!T$91="A",MEMORIA_RESULTADOS!T$91="B"),MEMORIA_RESULTADOS!T$88,"")</f>
        <v/>
      </c>
      <c r="H17" s="391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3" t="str">
        <f>IF(B18="","",IF(MEMORIA_RESULTADOS!$E$12="",0,MEMORIA_RESULTADOS!$E$12))</f>
        <v/>
      </c>
      <c r="E18" s="395" t="str">
        <f>IF(MEMORIA_RESULTADOS!U$91="","",MEMORIA_RESULTADOS!U$96&amp;IF(MEMORIA_RESULTADOS!U$97="","",CHAR(10)&amp;MEMORIA_RESULTADOS!U$97))</f>
        <v/>
      </c>
      <c r="F18" s="394" t="str">
        <f>IF(OR(MEMORIA_RESULTADOS!U$91="A",MEMORIA_RESULTADOS!U$91="B"),MEMORIA_RESULTADOS!U$87,"")</f>
        <v/>
      </c>
      <c r="G18" s="391" t="str">
        <f>IF(OR(MEMORIA_RESULTADOS!U$91="A",MEMORIA_RESULTADOS!U$91="B"),MEMORIA_RESULTADOS!U$88,"")</f>
        <v/>
      </c>
      <c r="H18" s="391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3" t="str">
        <f>IF(B19="","",IF(MEMORIA_RESULTADOS!$E$13="",0,MEMORIA_RESULTADOS!$E$13))</f>
        <v/>
      </c>
      <c r="E19" s="395" t="str">
        <f>IF(MEMORIA_RESULTADOS!V$91="","",MEMORIA_RESULTADOS!V$96&amp;IF(MEMORIA_RESULTADOS!V$97="","",CHAR(10)&amp;MEMORIA_RESULTADOS!V$97))</f>
        <v/>
      </c>
      <c r="F19" s="394" t="str">
        <f>IF(OR(MEMORIA_RESULTADOS!V$91="A",MEMORIA_RESULTADOS!V$91="B"),MEMORIA_RESULTADOS!V$87,"")</f>
        <v/>
      </c>
      <c r="G19" s="391" t="str">
        <f>IF(OR(MEMORIA_RESULTADOS!V$91="A",MEMORIA_RESULTADOS!V$91="B"),MEMORIA_RESULTADOS!V$88,"")</f>
        <v/>
      </c>
      <c r="H19" s="391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3" t="str">
        <f>IF(B20="","",IF(MEMORIA_RESULTADOS!$E$14="",0,MEMORIA_RESULTADOS!$E$14))</f>
        <v/>
      </c>
      <c r="E20" s="395" t="str">
        <f>IF(MEMORIA_RESULTADOS!W$91="","",MEMORIA_RESULTADOS!W$96&amp;IF(MEMORIA_RESULTADOS!W$97="","",CHAR(10)&amp;MEMORIA_RESULTADOS!W$97))</f>
        <v/>
      </c>
      <c r="F20" s="394" t="str">
        <f>IF(OR(MEMORIA_RESULTADOS!W$91="A",MEMORIA_RESULTADOS!W$91="B"),MEMORIA_RESULTADOS!W$87,"")</f>
        <v/>
      </c>
      <c r="G20" s="391" t="str">
        <f>IF(OR(MEMORIA_RESULTADOS!W$91="A",MEMORIA_RESULTADOS!W$91="B"),MEMORIA_RESULTADOS!W$88,"")</f>
        <v/>
      </c>
      <c r="H20" s="391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86" t="str">
        <f>IF(MEMORIA_RESULTADOS!$T$101=1,MEMORIA_RESULTADOS!$T$111,IF(MEMORIA_RESULTADOS!$T$102=1,MEMORIA_RESULTADOS!$T$112,""))</f>
        <v/>
      </c>
      <c r="F21" s="587"/>
      <c r="G21" s="587"/>
      <c r="H21" s="587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80" t="str">
        <f>IF($G$22="","","Retroativo potencial — em análise"&amp;CHAR(10)&amp;"Valor potencial relacionado a itens ainda em análise. Não integra o retroativo reconhecido enquanto não houver confirmação.")</f>
        <v/>
      </c>
      <c r="F22" s="581"/>
      <c r="G22" s="582" t="str">
        <f>IF($B$5&lt;&gt;"PCs","",IFERROR(RETROATIVO_POTENCIAL_PC,""))</f>
        <v/>
      </c>
      <c r="H22" s="583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53" t="str">
        <f>IF(OR(MEMORIA_RESULTADOS!$B$4&lt;&gt;"PCs",MEMORIA_RESULTADOS!$T$28=0),"","A diferença sem efeito financeiro não constitui "&amp;"retroativo. Consulte itens_PC -&gt; EFEITO_FINANCEIRO_PC = Nao.")</f>
        <v/>
      </c>
      <c r="F23" s="554"/>
      <c r="G23" s="554"/>
      <c r="H23" s="554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55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56"/>
      <c r="G25" s="556"/>
      <c r="H25" s="556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72"/>
      <c r="D34" s="573"/>
      <c r="E34" s="574" t="s">
        <v>449</v>
      </c>
      <c r="F34" s="575"/>
      <c r="G34" s="575"/>
      <c r="H34" s="575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57" t="str">
        <f ca="1">IF($B$35="","Aguardando dado","")</f>
        <v>Aguardando dado</v>
      </c>
      <c r="D35" s="558"/>
      <c r="E35" s="576" t="str">
        <f ca="1">IF($A$39="","",$A$39)</f>
        <v/>
      </c>
      <c r="F35" s="577"/>
      <c r="G35" s="577"/>
      <c r="H35" s="578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57" t="str">
        <f ca="1">IF($B$36="","Aguardando dado","")</f>
        <v>Aguardando dado</v>
      </c>
      <c r="D36" s="558"/>
      <c r="E36" s="579"/>
      <c r="F36" s="577"/>
      <c r="G36" s="577"/>
      <c r="H36" s="578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57" t="str">
        <f>IF($B$37="","Aguardando dado","")</f>
        <v>Aguardando dado</v>
      </c>
      <c r="D37" s="558"/>
      <c r="E37" s="579"/>
      <c r="F37" s="577"/>
      <c r="G37" s="577"/>
      <c r="H37" s="578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70" t="str">
        <f ca="1">IF($B$38="","Aguardando dado","")</f>
        <v>Aguardando dado</v>
      </c>
      <c r="D38" s="571"/>
      <c r="E38" s="579"/>
      <c r="F38" s="577"/>
      <c r="G38" s="577"/>
      <c r="H38" s="578"/>
    </row>
    <row r="39" spans="1:8" ht="15" customHeight="1" x14ac:dyDescent="0.3">
      <c r="A39" s="551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52"/>
      <c r="C39" s="552"/>
      <c r="D39" s="552"/>
      <c r="E39" s="552"/>
      <c r="F39" s="552"/>
      <c r="G39" s="552"/>
      <c r="H39" s="552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43" t="s">
        <v>523</v>
      </c>
      <c r="B53" s="540"/>
      <c r="C53" s="540"/>
      <c r="D53" s="540"/>
      <c r="E53" s="540"/>
      <c r="F53" s="540"/>
      <c r="G53" s="540"/>
      <c r="H53" s="544"/>
    </row>
    <row r="54" spans="1:8" ht="13" customHeight="1" x14ac:dyDescent="0.3">
      <c r="A54" s="358" t="s">
        <v>445</v>
      </c>
      <c r="B54" s="359" t="s">
        <v>427</v>
      </c>
      <c r="C54" s="545" t="s">
        <v>490</v>
      </c>
      <c r="D54" s="546"/>
      <c r="E54" s="545"/>
      <c r="F54" s="545"/>
      <c r="G54" s="545"/>
      <c r="H54" s="545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36" t="s">
        <v>492</v>
      </c>
      <c r="D55" s="537"/>
      <c r="E55" s="536"/>
      <c r="F55" s="536"/>
      <c r="G55" s="536"/>
      <c r="H55" s="536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36" t="s">
        <v>494</v>
      </c>
      <c r="D56" s="537"/>
      <c r="E56" s="536"/>
      <c r="F56" s="536"/>
      <c r="G56" s="536"/>
      <c r="H56" s="536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36" t="s">
        <v>496</v>
      </c>
      <c r="D57" s="537"/>
      <c r="E57" s="536"/>
      <c r="F57" s="536"/>
      <c r="G57" s="536"/>
      <c r="H57" s="536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36" t="s">
        <v>497</v>
      </c>
      <c r="D58" s="537"/>
      <c r="E58" s="536"/>
      <c r="F58" s="536"/>
      <c r="G58" s="536"/>
      <c r="H58" s="536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36" t="s">
        <v>498</v>
      </c>
      <c r="D59" s="537"/>
      <c r="E59" s="536"/>
      <c r="F59" s="536"/>
      <c r="G59" s="536"/>
      <c r="H59" s="536"/>
    </row>
    <row r="60" spans="1:8" ht="36" customHeight="1" x14ac:dyDescent="0.3">
      <c r="A60" s="333" t="s">
        <v>448</v>
      </c>
      <c r="B60" s="345" t="str">
        <f>$D$22</f>
        <v/>
      </c>
      <c r="C60" s="536" t="s">
        <v>528</v>
      </c>
      <c r="D60" s="537"/>
      <c r="E60" s="536"/>
      <c r="F60" s="536"/>
      <c r="G60" s="536"/>
      <c r="H60" s="536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36" t="s">
        <v>546</v>
      </c>
      <c r="D61" s="537"/>
      <c r="E61" s="536"/>
      <c r="F61" s="536"/>
      <c r="G61" s="536"/>
      <c r="H61" s="536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36" t="s">
        <v>531</v>
      </c>
      <c r="D62" s="537"/>
      <c r="E62" s="536"/>
      <c r="F62" s="536"/>
      <c r="G62" s="536"/>
      <c r="H62" s="536"/>
    </row>
    <row r="63" spans="1:8" ht="30" customHeight="1" x14ac:dyDescent="0.3">
      <c r="A63" s="333" t="s">
        <v>532</v>
      </c>
      <c r="B63" s="345" t="str">
        <f ca="1">$B$36</f>
        <v/>
      </c>
      <c r="C63" s="536" t="s">
        <v>499</v>
      </c>
      <c r="D63" s="537"/>
      <c r="E63" s="536"/>
      <c r="F63" s="536"/>
      <c r="G63" s="536"/>
      <c r="H63" s="536"/>
    </row>
    <row r="64" spans="1:8" ht="30" customHeight="1" x14ac:dyDescent="0.3">
      <c r="A64" s="333" t="s">
        <v>533</v>
      </c>
      <c r="B64" s="345" t="str">
        <f ca="1">$B$38</f>
        <v/>
      </c>
      <c r="C64" s="536" t="s">
        <v>500</v>
      </c>
      <c r="D64" s="537"/>
      <c r="E64" s="536"/>
      <c r="F64" s="536"/>
      <c r="G64" s="536"/>
      <c r="H64" s="536"/>
    </row>
    <row r="65" spans="1:8" ht="30" customHeight="1" x14ac:dyDescent="0.3">
      <c r="A65" s="333" t="s">
        <v>534</v>
      </c>
      <c r="B65" s="346" t="str">
        <f>IF(VTA_FINAL="","",VTA_FINAL)</f>
        <v/>
      </c>
      <c r="C65" s="536" t="s">
        <v>535</v>
      </c>
      <c r="D65" s="537"/>
      <c r="E65" s="536"/>
      <c r="F65" s="536"/>
      <c r="G65" s="536"/>
      <c r="H65" s="536"/>
    </row>
    <row r="66" spans="1:8" ht="30" customHeight="1" x14ac:dyDescent="0.3">
      <c r="A66" s="333" t="s">
        <v>536</v>
      </c>
      <c r="B66" s="345" t="str">
        <f ca="1">$B$13</f>
        <v/>
      </c>
      <c r="C66" s="536" t="s">
        <v>501</v>
      </c>
      <c r="D66" s="537"/>
      <c r="E66" s="536"/>
      <c r="F66" s="536"/>
      <c r="G66" s="536"/>
      <c r="H66" s="536"/>
    </row>
    <row r="67" spans="1:8" ht="30" customHeight="1" x14ac:dyDescent="0.3">
      <c r="A67" s="333" t="s">
        <v>537</v>
      </c>
      <c r="B67" s="374" t="str">
        <f ca="1">$B$3</f>
        <v>REVISE</v>
      </c>
      <c r="C67" s="536" t="s">
        <v>502</v>
      </c>
      <c r="D67" s="537"/>
      <c r="E67" s="536"/>
      <c r="F67" s="536"/>
      <c r="G67" s="536"/>
      <c r="H67" s="536"/>
    </row>
    <row r="68" spans="1:8" ht="14.5" x14ac:dyDescent="0.3">
      <c r="A68" s="538" t="s">
        <v>462</v>
      </c>
      <c r="B68" s="538"/>
      <c r="C68" s="538"/>
      <c r="D68" s="538"/>
      <c r="E68" s="538"/>
      <c r="F68" s="538"/>
      <c r="G68" s="538"/>
      <c r="H68" s="538"/>
    </row>
    <row r="69" spans="1:8" ht="34" customHeight="1" x14ac:dyDescent="0.3">
      <c r="A69" s="539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39"/>
      <c r="C69" s="539"/>
      <c r="D69" s="539"/>
      <c r="E69" s="539"/>
      <c r="F69" s="539"/>
      <c r="G69" s="539"/>
      <c r="H69" s="539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92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2"/>
      <c r="C71" s="492"/>
      <c r="D71" s="492"/>
      <c r="E71" s="492"/>
      <c r="F71" s="492"/>
      <c r="G71" s="492"/>
      <c r="H71" s="492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33" t="s">
        <v>506</v>
      </c>
      <c r="B79" s="533"/>
      <c r="C79" s="533"/>
      <c r="D79" s="533"/>
      <c r="E79" s="533"/>
      <c r="F79" s="533"/>
      <c r="G79" s="533"/>
      <c r="H79" s="533"/>
    </row>
    <row r="80" spans="1:8" ht="28" customHeight="1" x14ac:dyDescent="0.3">
      <c r="A80" s="534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34"/>
      <c r="C80" s="534"/>
      <c r="D80" s="534"/>
      <c r="E80" s="534"/>
      <c r="F80" s="534"/>
      <c r="G80" s="534"/>
      <c r="H80" s="534"/>
    </row>
    <row r="81" spans="1:8" ht="28" customHeight="1" x14ac:dyDescent="0.3">
      <c r="A81" s="535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35"/>
      <c r="C81" s="535"/>
      <c r="D81" s="535"/>
      <c r="E81" s="535"/>
      <c r="F81" s="535"/>
      <c r="G81" s="535"/>
      <c r="H81" s="535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E22:F22"/>
    <mergeCell ref="G22:H22"/>
    <mergeCell ref="E16:H16"/>
    <mergeCell ref="E21:H21"/>
    <mergeCell ref="C36:D36"/>
    <mergeCell ref="C37:D37"/>
    <mergeCell ref="C38:D38"/>
    <mergeCell ref="C34:D34"/>
    <mergeCell ref="E34:H34"/>
    <mergeCell ref="E35:H38"/>
    <mergeCell ref="A1:F1"/>
    <mergeCell ref="G1:H1"/>
    <mergeCell ref="A2:F2"/>
    <mergeCell ref="G2:H2"/>
    <mergeCell ref="B7:H7"/>
    <mergeCell ref="G3:H3"/>
    <mergeCell ref="D5:E5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A79:H79"/>
    <mergeCell ref="A80:H80"/>
    <mergeCell ref="A81:H81"/>
    <mergeCell ref="C66:H66"/>
    <mergeCell ref="A68:H68"/>
    <mergeCell ref="C67:H67"/>
    <mergeCell ref="A69:H69"/>
    <mergeCell ref="A71:H71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6" customWidth="1"/>
    <col min="2" max="2" width="34.6328125" style="396" customWidth="1"/>
    <col min="3" max="6" width="26.6328125" style="396" customWidth="1"/>
    <col min="7" max="7" width="38.6328125" style="396" customWidth="1"/>
    <col min="8" max="8" width="2.6328125" style="396" customWidth="1"/>
    <col min="9" max="16384" width="8.7265625" style="396"/>
  </cols>
  <sheetData>
    <row r="1" spans="2:7" ht="6" customHeight="1" x14ac:dyDescent="0.35"/>
    <row r="2" spans="2:7" ht="30" customHeight="1" x14ac:dyDescent="0.35">
      <c r="B2" s="398" t="s">
        <v>697</v>
      </c>
      <c r="C2" s="397"/>
      <c r="D2" s="397"/>
      <c r="E2" s="397"/>
      <c r="F2" s="397"/>
      <c r="G2" s="397"/>
    </row>
    <row r="3" spans="2:7" ht="18" customHeight="1" x14ac:dyDescent="0.35">
      <c r="B3" s="399" t="s">
        <v>698</v>
      </c>
      <c r="C3" s="397"/>
      <c r="D3" s="397"/>
      <c r="E3" s="397"/>
      <c r="F3" s="397"/>
      <c r="G3" s="397"/>
    </row>
    <row r="4" spans="2:7" ht="8" customHeight="1" x14ac:dyDescent="0.35"/>
    <row r="5" spans="2:7" ht="16" customHeight="1" x14ac:dyDescent="0.3">
      <c r="B5" s="404" t="s">
        <v>699</v>
      </c>
      <c r="C5" s="400" t="s">
        <v>700</v>
      </c>
      <c r="D5" s="400" t="s">
        <v>701</v>
      </c>
      <c r="E5" s="400" t="s">
        <v>702</v>
      </c>
      <c r="F5" s="400" t="s">
        <v>703</v>
      </c>
      <c r="G5" s="406" t="s">
        <v>704</v>
      </c>
    </row>
    <row r="6" spans="2:7" ht="22" customHeight="1" x14ac:dyDescent="0.35">
      <c r="B6" s="405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1" t="str">
        <f>IF(CONTROLE!$B$2="",MEMORIA_RESULTADOS!$AG$2,UPPER(CONTROLE!$B$2))</f>
        <v>—</v>
      </c>
      <c r="D6" s="402" t="str">
        <f>IF(ISNUMBER(CONTROLE!$B$3),CONTROLE!$B$3,MEMORIA_RESULTADOS!$AG$2)</f>
        <v>—</v>
      </c>
      <c r="E6" s="401" t="str">
        <f>IF(CONTROLE!$B$7="",MEMORIA_RESULTADOS!$AG$2,CONTROLE!$B$7)</f>
        <v>—</v>
      </c>
      <c r="F6" s="403" t="str">
        <f>IF(ISNUMBER(RESULTADOS_DETALHE!$D$6),RESULTADOS_DETALHE!$D$6,MEMORIA_RESULTADOS!$AG$2)</f>
        <v>—</v>
      </c>
      <c r="G6" s="407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8" t="s">
        <v>705</v>
      </c>
      <c r="C8" s="410" t="s">
        <v>473</v>
      </c>
      <c r="D8" s="412" t="s">
        <v>474</v>
      </c>
      <c r="E8" s="414" t="s">
        <v>706</v>
      </c>
      <c r="F8" s="416" t="s">
        <v>703</v>
      </c>
      <c r="G8" s="418" t="s">
        <v>707</v>
      </c>
    </row>
    <row r="9" spans="2:7" ht="32" customHeight="1" x14ac:dyDescent="0.35">
      <c r="B9" s="420" t="str">
        <f>IF(ISNUMBER(VTA_FINAL),VTA_FINAL,MEMORIA_RESULTADOS!$AG$2)</f>
        <v>—</v>
      </c>
      <c r="C9" s="421" t="str">
        <f>IF(ISNUMBER(RESULTADOS_DETALHE!$D$22),RESULTADOS_DETALHE!$D$22,MEMORIA_RESULTADOS!$AG$2)</f>
        <v>—</v>
      </c>
      <c r="D9" s="422" t="str">
        <f>IF(NOT(METODO_RETROATIVO="PCs"),MEMORIA_RESULTADOS!$AG$2,IF(ISNUMBER(RETROATIVO_POTENCIAL_VTA),RETROATIVO_POTENCIAL_VTA,MEMORIA_RESULTADOS!$AG$2))</f>
        <v>—</v>
      </c>
      <c r="E9" s="423" t="str">
        <f ca="1">IF(ISNUMBER(SALDO_REMANESCENTE_ATUAL),SALDO_REMANESCENTE_ATUAL,MEMORIA_RESULTADOS!$AG$2)</f>
        <v>—</v>
      </c>
      <c r="F9" s="424" t="str">
        <f>F6</f>
        <v>—</v>
      </c>
      <c r="G9" s="425" t="str">
        <f ca="1">RESULTADOS_DETALHE!$A$7</f>
        <v>PENDÊNCIAS PARA CONCLUSÃO:</v>
      </c>
    </row>
    <row r="10" spans="2:7" ht="44" customHeight="1" x14ac:dyDescent="0.35">
      <c r="B10" s="409" t="str">
        <f>IF(AND(METODO_RETROATIVO="PCs",N(RETROATIVO_POTENCIAL_VTA)&lt;&gt;0),MEMORIA_RESULTADOS!$AG$8,MEMORIA_RESULTADOS!$AG$7)</f>
        <v>Valor Total Atualizado do contrato pelo método selecionado.</v>
      </c>
      <c r="C10" s="411" t="str">
        <f>MEMORIA_RESULTADOS!$AG$9</f>
        <v>Diferença reconhecida a pagar à contratada.</v>
      </c>
      <c r="D10" s="413" t="str">
        <f>IF(METODO_RETROATIVO="PCs",MEMORIA_RESULTADOS!$AG$10,MEMORIA_RESULTADOS!$AG$11)</f>
        <v>Não se aplica ao método selecionado.</v>
      </c>
      <c r="E10" s="415" t="str">
        <f>MEMORIA_RESULTADOS!$AG$12</f>
        <v>Saldo atualizado que ainda falta executar.</v>
      </c>
      <c r="F10" s="417" t="str">
        <f>IF(ISNUMBER(F9),MEMORIA_RESULTADOS!$AG$13,MEMORIA_RESULTADOS!$AG$14)</f>
        <v>Aguardando percentuais completos dos ciclos.</v>
      </c>
      <c r="G10" s="419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6" t="s">
        <v>708</v>
      </c>
      <c r="C12" s="427"/>
      <c r="D12" s="427"/>
      <c r="E12" s="427"/>
      <c r="F12" s="427"/>
      <c r="G12" s="427"/>
    </row>
    <row r="13" spans="2:7" ht="22" customHeight="1" x14ac:dyDescent="0.35">
      <c r="B13" s="468" t="s">
        <v>465</v>
      </c>
      <c r="C13" s="469" t="s">
        <v>427</v>
      </c>
      <c r="D13" s="589" t="s">
        <v>298</v>
      </c>
      <c r="E13" s="589"/>
      <c r="F13" s="589"/>
      <c r="G13" s="589"/>
    </row>
    <row r="14" spans="2:7" ht="30" customHeight="1" x14ac:dyDescent="0.35">
      <c r="B14" s="428" t="str">
        <f>RESULTADOS_DETALHE!$A$83</f>
        <v>Executado apurado</v>
      </c>
      <c r="C14" s="432" t="str">
        <f>IF(RESULTADOS_DETALHE!$B$83="",MEMORIA_RESULTADOS!$AG$2,RESULTADOS_DETALHE!$B$83)</f>
        <v>—</v>
      </c>
      <c r="D14" s="590" t="str">
        <f>IF(METODO_RETROATIVO="PCs",MEMORIA_RESULTADOS!$AG$24,IF(METODO_RETROATIVO="Itens",MEMORIA_RESULTADOS!$AG$26,MEMORIA_RESULTADOS!$AG$25))</f>
        <v>Valores efetivamente pagos, conforme a aba financeiro.</v>
      </c>
      <c r="E14" s="590"/>
      <c r="F14" s="590"/>
      <c r="G14" s="590"/>
    </row>
    <row r="15" spans="2:7" ht="30" customHeight="1" x14ac:dyDescent="0.35">
      <c r="B15" s="429" t="str">
        <f>RESULTADOS_DETALHE!$A$84</f>
        <v>(+) Ajustes ainda devidos</v>
      </c>
      <c r="C15" s="433" t="str">
        <f>IF(RESULTADOS_DETALHE!$B$84="",MEMORIA_RESULTADOS!$AG$2,RESULTADOS_DETALHE!$B$84)</f>
        <v>—</v>
      </c>
      <c r="D15" s="591" t="str">
        <f>IF(METODO_RETROATIVO="PCs",MEMORIA_RESULTADOS!$AG$27,IF(METODO_RETROATIVO="Itens",MEMORIA_RESULTADOS!$AG$29,MEMORIA_RESULTADOS!$AG$28))</f>
        <v>Reajuste já reconhecido e ainda não contido no valor pago.</v>
      </c>
      <c r="E15" s="591"/>
      <c r="F15" s="591"/>
      <c r="G15" s="591"/>
    </row>
    <row r="16" spans="2:7" ht="30" customHeight="1" thickBot="1" x14ac:dyDescent="0.4">
      <c r="B16" s="429" t="str">
        <f>RESULTADOS_DETALHE!$A$85</f>
        <v>(+) Remanescente atualizado</v>
      </c>
      <c r="C16" s="433" t="str">
        <f ca="1">IF(RESULTADOS_DETALHE!$B$85="",MEMORIA_RESULTADOS!$AG$2,RESULTADOS_DETALHE!$B$85)</f>
        <v>—</v>
      </c>
      <c r="D16" s="592" t="str">
        <f>IF(METODO_RETROATIVO="PCs",MEMORIA_RESULTADOS!$AG$30,MEMORIA_RESULTADOS!$AG$31)</f>
        <v>Saldo que ainda falta executar, já atualizado.</v>
      </c>
      <c r="E16" s="592"/>
      <c r="F16" s="592"/>
      <c r="G16" s="592"/>
    </row>
    <row r="17" spans="2:7" ht="30" customHeight="1" x14ac:dyDescent="0.35">
      <c r="B17" s="435" t="str">
        <f>RESULTADOS_DETALHE!$A$86</f>
        <v>(=) VTA Oficial</v>
      </c>
      <c r="C17" s="436" t="str">
        <f>IF(RESULTADOS_DETALHE!$B$86="",MEMORIA_RESULTADOS!$AG$2,RESULTADOS_DETALHE!$B$86)</f>
        <v>—</v>
      </c>
      <c r="D17" s="593" t="str">
        <f>MEMORIA_RESULTADOS!$AG$32</f>
        <v>Resultado final do método de apuração selecionado.</v>
      </c>
      <c r="E17" s="593"/>
      <c r="F17" s="593"/>
      <c r="G17" s="593"/>
    </row>
    <row r="18" spans="2:7" ht="30" customHeight="1" x14ac:dyDescent="0.35">
      <c r="B18" s="470" t="str">
        <f>MEMORIA_RESULTADOS!$AG$33</f>
        <v>VTA sem a parcela potencial (referência)</v>
      </c>
      <c r="C18" s="471" t="str">
        <f>IF(NOT(METODO_RETROATIVO="PCs"),MEMORIA_RESULTADOS!$AG$2,IF(ISNUMBER(VTA_SEM_POTENCIAL),VTA_SEM_POTENCIAL,MEMORIA_RESULTADOS!$AG$2))</f>
        <v>—</v>
      </c>
      <c r="D18" s="588" t="str">
        <f>IF(METODO_RETROATIVO="PCs",MEMORIA_RESULTADOS!$AG$34,MEMORIA_RESULTADOS!$AG$40)</f>
        <v>Não se aplica ao método selecionado.</v>
      </c>
      <c r="E18" s="588"/>
      <c r="F18" s="588"/>
      <c r="G18" s="588"/>
    </row>
    <row r="19" spans="2:7" ht="30" customHeight="1" x14ac:dyDescent="0.35">
      <c r="B19" s="430" t="str">
        <f>MEMORIA_RESULTADOS!$AG$35</f>
        <v>Parcela potencial negativa apurada</v>
      </c>
      <c r="C19" s="433" t="str">
        <f>IF(NOT(METODO_RETROATIVO="PCs"),MEMORIA_RESULTADOS!$AG$2,IF(N(RETROATIVO_POTENCIAL_NEGATIVO)&lt;0,RETROATIVO_POTENCIAL_NEGATIVO,0))</f>
        <v>—</v>
      </c>
      <c r="D19" s="591" t="str">
        <f>IF(NOT(METODO_RETROATIVO="PCs"),MEMORIA_RESULTADOS!$AG$40,IF(N(RETROATIVO_POTENCIAL_NEGATIVO)&lt;0,MEMORIA_RESULTADOS!$AG$36,MEMORIA_RESULTADOS!$AG$37))</f>
        <v>Não se aplica ao método selecionado.</v>
      </c>
      <c r="E19" s="591"/>
      <c r="F19" s="591"/>
      <c r="G19" s="591"/>
    </row>
    <row r="20" spans="2:7" ht="30" customHeight="1" x14ac:dyDescent="0.35">
      <c r="B20" s="431" t="str">
        <f>MEMORIA_RESULTADOS!$AG$38</f>
        <v>Conferência da formação (deve ser R$ 0,00)</v>
      </c>
      <c r="C20" s="434" t="str">
        <f ca="1">IF(CONFERENCIA_FORMACAO_VTA="",MEMORIA_RESULTADOS!$AG$2,CONFERENCIA_FORMACAO_VTA)</f>
        <v>—</v>
      </c>
      <c r="D20" s="591" t="str">
        <f ca="1">IF(RESULTADOS_DETALHE!$C$87="",MEMORIA_RESULTADOS!$AG$39,RESULTADOS_DETALHE!$C$87)</f>
        <v>Aguardando base para conferir.</v>
      </c>
      <c r="E20" s="591"/>
      <c r="F20" s="591"/>
      <c r="G20" s="591"/>
    </row>
    <row r="21" spans="2:7" ht="12" customHeight="1" x14ac:dyDescent="0.35"/>
    <row r="22" spans="2:7" ht="24" customHeight="1" x14ac:dyDescent="0.35">
      <c r="B22" s="426" t="s">
        <v>709</v>
      </c>
      <c r="C22" s="427"/>
      <c r="D22" s="427"/>
      <c r="E22" s="427"/>
      <c r="F22" s="427"/>
      <c r="G22" s="427"/>
    </row>
    <row r="23" spans="2:7" ht="22" customHeight="1" x14ac:dyDescent="0.35">
      <c r="B23" s="468" t="s">
        <v>710</v>
      </c>
      <c r="C23" s="472" t="s">
        <v>441</v>
      </c>
      <c r="D23" s="589" t="s">
        <v>711</v>
      </c>
      <c r="E23" s="589"/>
      <c r="F23" s="589"/>
      <c r="G23" s="589"/>
    </row>
    <row r="24" spans="2:7" ht="30" customHeight="1" x14ac:dyDescent="0.35">
      <c r="B24" s="437" t="s">
        <v>712</v>
      </c>
      <c r="C24" s="438" t="str">
        <f>IF(RESULTADOS_DETALHE!$H$8="",MEMORIA_RESULTADOS!$AG$2,RESULTADOS_DETALHE!$H$8)</f>
        <v>REVISE</v>
      </c>
      <c r="D24" s="596" t="s">
        <v>713</v>
      </c>
      <c r="E24" s="596"/>
      <c r="F24" s="596"/>
      <c r="G24" s="596"/>
    </row>
    <row r="25" spans="2:7" ht="30" customHeight="1" x14ac:dyDescent="0.35">
      <c r="B25" s="430" t="s">
        <v>714</v>
      </c>
      <c r="C25" s="439" t="str">
        <f>IF(RESULTADOS_DETALHE!$H$14="",MEMORIA_RESULTADOS!$AG$2,RESULTADOS_DETALHE!$H$14)</f>
        <v>REVISE</v>
      </c>
      <c r="D25" s="597" t="s">
        <v>715</v>
      </c>
      <c r="E25" s="597"/>
      <c r="F25" s="597"/>
      <c r="G25" s="597"/>
    </row>
    <row r="26" spans="2:7" ht="30" customHeight="1" x14ac:dyDescent="0.35">
      <c r="B26" s="430" t="s">
        <v>716</v>
      </c>
      <c r="C26" s="439" t="str">
        <f>IF(RESULTADOS_DETALHE!$H$24="",MEMORIA_RESULTADOS!$AG$2,RESULTADOS_DETALHE!$H$24)</f>
        <v>REVISE</v>
      </c>
      <c r="D26" s="597" t="s">
        <v>717</v>
      </c>
      <c r="E26" s="597"/>
      <c r="F26" s="597"/>
      <c r="G26" s="597"/>
    </row>
    <row r="27" spans="2:7" ht="30" customHeight="1" x14ac:dyDescent="0.35">
      <c r="B27" s="430" t="s">
        <v>430</v>
      </c>
      <c r="C27" s="439" t="str">
        <f ca="1">IF(RESULTADOS_DETALHE!$H$33="",MEMORIA_RESULTADOS!$AG$2,RESULTADOS_DETALHE!$H$33)</f>
        <v>REVISE</v>
      </c>
      <c r="D27" s="597" t="s">
        <v>718</v>
      </c>
      <c r="E27" s="597"/>
      <c r="F27" s="597"/>
      <c r="G27" s="597"/>
    </row>
    <row r="28" spans="2:7" ht="30" customHeight="1" x14ac:dyDescent="0.35">
      <c r="B28" s="430" t="s">
        <v>719</v>
      </c>
      <c r="C28" s="441" t="str">
        <f ca="1">IF(ISNUMBER(RESULTADOS_DETALHE!$B$35),RESULTADOS_DETALHE!$B$35,MEMORIA_RESULTADOS!$AG$2)</f>
        <v>—</v>
      </c>
      <c r="D28" s="597" t="s">
        <v>720</v>
      </c>
      <c r="E28" s="597"/>
      <c r="F28" s="597"/>
      <c r="G28" s="597"/>
    </row>
    <row r="29" spans="2:7" ht="30" customHeight="1" x14ac:dyDescent="0.35">
      <c r="B29" s="430" t="s">
        <v>721</v>
      </c>
      <c r="C29" s="439" t="str">
        <f ca="1">IF(RESULTADOS_DETALHE!$H$13="",MEMORIA_RESULTADOS!$AG$2,RESULTADOS_DETALHE!$H$13)</f>
        <v>POSICAO ATUAL NAO INFORMADA</v>
      </c>
      <c r="D29" s="597" t="s">
        <v>722</v>
      </c>
      <c r="E29" s="597"/>
      <c r="F29" s="597"/>
      <c r="G29" s="597"/>
    </row>
    <row r="30" spans="2:7" ht="30" customHeight="1" x14ac:dyDescent="0.35">
      <c r="B30" s="430" t="s">
        <v>723</v>
      </c>
      <c r="C30" s="442" t="str">
        <f ca="1">IF(RESULTADOS_DETALHE!$B$13="",MEMORIA_RESULTADOS!$AG$2,RESULTADOS_DETALHE!$B$13)</f>
        <v>—</v>
      </c>
      <c r="D30" s="597" t="s">
        <v>724</v>
      </c>
      <c r="E30" s="597"/>
      <c r="F30" s="597"/>
      <c r="G30" s="597"/>
    </row>
    <row r="31" spans="2:7" ht="30" customHeight="1" x14ac:dyDescent="0.35">
      <c r="B31" s="431" t="s">
        <v>725</v>
      </c>
      <c r="C31" s="440" t="str">
        <f>IF(COUNTA(RESULTADOS_DETALHE!$C$43:$G$50)=0,MEMORIA_RESULTADOS!$AG$17,IF(COUNTIF(RESULTADOS_DETALHE!$H$43:$H$50,"REVISE")&gt;0,"REVISE","VALIDADO"))</f>
        <v>SEM AJUSTES</v>
      </c>
      <c r="D31" s="598" t="s">
        <v>733</v>
      </c>
      <c r="E31" s="591"/>
      <c r="F31" s="591"/>
      <c r="G31" s="591"/>
    </row>
    <row r="32" spans="2:7" ht="12" customHeight="1" x14ac:dyDescent="0.35"/>
    <row r="33" spans="2:7" ht="24" customHeight="1" x14ac:dyDescent="0.35">
      <c r="B33" s="426" t="s">
        <v>726</v>
      </c>
      <c r="C33" s="427"/>
      <c r="D33" s="427"/>
      <c r="E33" s="427"/>
      <c r="F33" s="427"/>
      <c r="G33" s="427"/>
    </row>
    <row r="34" spans="2:7" ht="22" customHeight="1" x14ac:dyDescent="0.35">
      <c r="B34" s="468" t="s">
        <v>291</v>
      </c>
      <c r="C34" s="472" t="s">
        <v>727</v>
      </c>
      <c r="D34" s="472" t="s">
        <v>728</v>
      </c>
      <c r="E34" s="472" t="s">
        <v>729</v>
      </c>
      <c r="F34" s="472" t="s">
        <v>730</v>
      </c>
      <c r="G34" s="469" t="s">
        <v>441</v>
      </c>
    </row>
    <row r="35" spans="2:7" ht="30" customHeight="1" x14ac:dyDescent="0.35">
      <c r="B35" s="443" t="str">
        <f>"C0"&amp;IF(UPPER(CONTROLE!$B$2)="C0"," (vigente)","")</f>
        <v>C0</v>
      </c>
      <c r="C35" s="446" t="str">
        <f>IF(ISNUMBER(parametros!$C$2),parametros!$C$2,MEMORIA_RESULTADOS!$AG$2)</f>
        <v>—</v>
      </c>
      <c r="D35" s="446" t="str">
        <f>IF(ISNUMBER(parametros!$D$2),parametros!$D$2,MEMORIA_RESULTADOS!$AG$2)</f>
        <v>—</v>
      </c>
      <c r="E35" s="447" t="str">
        <f>IF(ISNUMBER(parametros!$E$2),parametros!$E$2,MEMORIA_RESULTADOS!$AG$2)</f>
        <v>—</v>
      </c>
      <c r="F35" s="446" t="str">
        <f>IF(ISNUMBER(parametros!$H$2),parametros!$H$2,IF(parametros!$H$2="",MEMORIA_RESULTADOS!$AG$2,parametros!$H$2))</f>
        <v>—</v>
      </c>
      <c r="G35" s="452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4" t="str">
        <f>"C1"&amp;IF(UPPER(CONTROLE!$B$2)="C1"," (vigente)","")</f>
        <v>C1</v>
      </c>
      <c r="C36" s="448" t="str">
        <f>IF(ISNUMBER(parametros!$C$3),parametros!$C$3,MEMORIA_RESULTADOS!$AG$2)</f>
        <v>—</v>
      </c>
      <c r="D36" s="448" t="str">
        <f>IF(ISNUMBER(parametros!$D$3),parametros!$D$3,MEMORIA_RESULTADOS!$AG$2)</f>
        <v>—</v>
      </c>
      <c r="E36" s="449" t="str">
        <f>IF(ISNUMBER(parametros!$E$3),parametros!$E$3,MEMORIA_RESULTADOS!$AG$2)</f>
        <v>—</v>
      </c>
      <c r="F36" s="448" t="str">
        <f>IF(ISNUMBER(parametros!$H$3),parametros!$H$3,IF(parametros!$H$3="",MEMORIA_RESULTADOS!$AG$2,parametros!$H$3))</f>
        <v>—</v>
      </c>
      <c r="G36" s="453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4" t="str">
        <f>"C2"&amp;IF(UPPER(CONTROLE!$B$2)="C2"," (vigente)","")</f>
        <v>C2</v>
      </c>
      <c r="C37" s="448" t="str">
        <f>IF(ISNUMBER(parametros!$C$4),parametros!$C$4,MEMORIA_RESULTADOS!$AG$2)</f>
        <v>—</v>
      </c>
      <c r="D37" s="448" t="str">
        <f>IF(ISNUMBER(parametros!$D$4),parametros!$D$4,MEMORIA_RESULTADOS!$AG$2)</f>
        <v>—</v>
      </c>
      <c r="E37" s="449" t="str">
        <f>IF(ISNUMBER(parametros!$E$4),parametros!$E$4,MEMORIA_RESULTADOS!$AG$2)</f>
        <v>—</v>
      </c>
      <c r="F37" s="448" t="str">
        <f>IF(ISNUMBER(parametros!$H$4),parametros!$H$4,IF(parametros!$H$4="",MEMORIA_RESULTADOS!$AG$2,parametros!$H$4))</f>
        <v>—</v>
      </c>
      <c r="G37" s="453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4" t="str">
        <f>"C3"&amp;IF(UPPER(CONTROLE!$B$2)="C3"," (vigente)","")</f>
        <v>C3</v>
      </c>
      <c r="C38" s="448" t="str">
        <f>IF(ISNUMBER(parametros!$C$5),parametros!$C$5,MEMORIA_RESULTADOS!$AG$2)</f>
        <v>—</v>
      </c>
      <c r="D38" s="448" t="str">
        <f>IF(ISNUMBER(parametros!$D$5),parametros!$D$5,MEMORIA_RESULTADOS!$AG$2)</f>
        <v>—</v>
      </c>
      <c r="E38" s="449" t="str">
        <f>IF(ISNUMBER(parametros!$E$5),parametros!$E$5,MEMORIA_RESULTADOS!$AG$2)</f>
        <v>—</v>
      </c>
      <c r="F38" s="448" t="str">
        <f>IF(ISNUMBER(parametros!$H$5),parametros!$H$5,IF(parametros!$H$5="",MEMORIA_RESULTADOS!$AG$2,parametros!$H$5))</f>
        <v>—</v>
      </c>
      <c r="G38" s="453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5" t="str">
        <f>"C4"&amp;IF(UPPER(CONTROLE!$B$2)="C4"," (vigente)","")</f>
        <v>C4</v>
      </c>
      <c r="C39" s="450" t="str">
        <f>IF(ISNUMBER(parametros!$C$6),parametros!$C$6,MEMORIA_RESULTADOS!$AG$2)</f>
        <v>—</v>
      </c>
      <c r="D39" s="450" t="str">
        <f>IF(ISNUMBER(parametros!$D$6),parametros!$D$6,MEMORIA_RESULTADOS!$AG$2)</f>
        <v>—</v>
      </c>
      <c r="E39" s="451" t="str">
        <f>IF(ISNUMBER(parametros!$E$6),parametros!$E$6,MEMORIA_RESULTADOS!$AG$2)</f>
        <v>—</v>
      </c>
      <c r="F39" s="450" t="str">
        <f>IF(ISNUMBER(parametros!$H$6),parametros!$H$6,IF(parametros!$H$6="",MEMORIA_RESULTADOS!$AG$2,parametros!$H$6))</f>
        <v>—</v>
      </c>
      <c r="G39" s="454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7" t="str">
        <f>RESULTADOS_DETALHE!$A$15</f>
        <v>2. EXECUÇÃO E RETROATIVO POR CICLO</v>
      </c>
      <c r="C41" s="427"/>
      <c r="D41" s="427"/>
      <c r="E41" s="427"/>
      <c r="F41" s="427"/>
      <c r="G41" s="427"/>
    </row>
    <row r="42" spans="2:7" ht="22" customHeight="1" x14ac:dyDescent="0.35">
      <c r="B42" s="468" t="s">
        <v>291</v>
      </c>
      <c r="C42" s="473" t="str">
        <f>RESULTADOS_DETALHE!$B$15</f>
        <v>Valor de referência</v>
      </c>
      <c r="D42" s="473" t="str">
        <f>RESULTADOS_DETALHE!$C$15</f>
        <v>Valor atualizado</v>
      </c>
      <c r="E42" s="473" t="str">
        <f>RESULTADOS_DETALHE!$D$15</f>
        <v>Diferença</v>
      </c>
    </row>
    <row r="43" spans="2:7" ht="20" customHeight="1" x14ac:dyDescent="0.35">
      <c r="B43" s="455" t="s">
        <v>21</v>
      </c>
      <c r="C43" s="432" t="str">
        <f>IF(RESULTADOS_DETALHE!$B$16="",MEMORIA_RESULTADOS!$AG$2,RESULTADOS_DETALHE!$B$16)</f>
        <v>—</v>
      </c>
      <c r="D43" s="432" t="str">
        <f>IF(RESULTADOS_DETALHE!$C$16="",MEMORIA_RESULTADOS!$AG$2,RESULTADOS_DETALHE!$C$16)</f>
        <v>—</v>
      </c>
      <c r="E43" s="432" t="str">
        <f>IF(RESULTADOS_DETALHE!$D$16="",MEMORIA_RESULTADOS!$AG$2,RESULTADOS_DETALHE!$D$16)</f>
        <v>—</v>
      </c>
    </row>
    <row r="44" spans="2:7" ht="20" customHeight="1" x14ac:dyDescent="0.35">
      <c r="B44" s="456" t="s">
        <v>22</v>
      </c>
      <c r="C44" s="433" t="str">
        <f>IF(RESULTADOS_DETALHE!$B$17="",MEMORIA_RESULTADOS!$AG$2,RESULTADOS_DETALHE!$B$17)</f>
        <v>—</v>
      </c>
      <c r="D44" s="433" t="str">
        <f>IF(RESULTADOS_DETALHE!$C$17="",MEMORIA_RESULTADOS!$AG$2,RESULTADOS_DETALHE!$C$17)</f>
        <v>—</v>
      </c>
      <c r="E44" s="433" t="str">
        <f>IF(RESULTADOS_DETALHE!$D$17="",MEMORIA_RESULTADOS!$AG$2,RESULTADOS_DETALHE!$D$17)</f>
        <v>—</v>
      </c>
    </row>
    <row r="45" spans="2:7" ht="20" customHeight="1" x14ac:dyDescent="0.35">
      <c r="B45" s="456" t="s">
        <v>23</v>
      </c>
      <c r="C45" s="433" t="str">
        <f>IF(RESULTADOS_DETALHE!$B$18="",MEMORIA_RESULTADOS!$AG$2,RESULTADOS_DETALHE!$B$18)</f>
        <v>—</v>
      </c>
      <c r="D45" s="433" t="str">
        <f>IF(RESULTADOS_DETALHE!$C$18="",MEMORIA_RESULTADOS!$AG$2,RESULTADOS_DETALHE!$C$18)</f>
        <v>—</v>
      </c>
      <c r="E45" s="433" t="str">
        <f>IF(RESULTADOS_DETALHE!$D$18="",MEMORIA_RESULTADOS!$AG$2,RESULTADOS_DETALHE!$D$18)</f>
        <v>—</v>
      </c>
    </row>
    <row r="46" spans="2:7" ht="20" customHeight="1" x14ac:dyDescent="0.35">
      <c r="B46" s="456" t="s">
        <v>24</v>
      </c>
      <c r="C46" s="433" t="str">
        <f>IF(RESULTADOS_DETALHE!$B$19="",MEMORIA_RESULTADOS!$AG$2,RESULTADOS_DETALHE!$B$19)</f>
        <v>—</v>
      </c>
      <c r="D46" s="433" t="str">
        <f>IF(RESULTADOS_DETALHE!$C$19="",MEMORIA_RESULTADOS!$AG$2,RESULTADOS_DETALHE!$C$19)</f>
        <v>—</v>
      </c>
      <c r="E46" s="433" t="str">
        <f>IF(RESULTADOS_DETALHE!$D$19="",MEMORIA_RESULTADOS!$AG$2,RESULTADOS_DETALHE!$D$19)</f>
        <v>—</v>
      </c>
    </row>
    <row r="47" spans="2:7" ht="20" customHeight="1" x14ac:dyDescent="0.35">
      <c r="B47" s="456" t="s">
        <v>25</v>
      </c>
      <c r="C47" s="433" t="str">
        <f>IF(RESULTADOS_DETALHE!$B$20="",MEMORIA_RESULTADOS!$AG$2,RESULTADOS_DETALHE!$B$20)</f>
        <v>—</v>
      </c>
      <c r="D47" s="433" t="str">
        <f>IF(RESULTADOS_DETALHE!$C$20="",MEMORIA_RESULTADOS!$AG$2,RESULTADOS_DETALHE!$C$20)</f>
        <v>—</v>
      </c>
      <c r="E47" s="433" t="str">
        <f>IF(RESULTADOS_DETALHE!$D$20="",MEMORIA_RESULTADOS!$AG$2,RESULTADOS_DETALHE!$D$20)</f>
        <v>—</v>
      </c>
    </row>
    <row r="48" spans="2:7" ht="20" customHeight="1" thickBot="1" x14ac:dyDescent="0.4">
      <c r="B48" s="457" t="s">
        <v>429</v>
      </c>
      <c r="C48" s="433"/>
      <c r="D48" s="433"/>
      <c r="E48" s="433" t="str">
        <f>IF(RESULTADOS_DETALHE!$D$21="",MEMORIA_RESULTADOS!$AG$2,RESULTADOS_DETALHE!$D$21)</f>
        <v>—</v>
      </c>
    </row>
    <row r="49" spans="2:7" ht="20" customHeight="1" x14ac:dyDescent="0.35">
      <c r="B49" s="458" t="s">
        <v>26</v>
      </c>
      <c r="C49" s="459" t="str">
        <f>IF(RESULTADOS_DETALHE!$B$22="",MEMORIA_RESULTADOS!$AG$2,RESULTADOS_DETALHE!$B$22)</f>
        <v>—</v>
      </c>
      <c r="D49" s="459" t="str">
        <f>IF(RESULTADOS_DETALHE!$C$22="",MEMORIA_RESULTADOS!$AG$2,RESULTADOS_DETALHE!$C$22)</f>
        <v>—</v>
      </c>
      <c r="E49" s="459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6" t="s">
        <v>731</v>
      </c>
      <c r="C51" s="427"/>
      <c r="D51" s="427"/>
      <c r="E51" s="427"/>
      <c r="F51" s="427"/>
      <c r="G51" s="427"/>
    </row>
    <row r="52" spans="2:7" ht="30" customHeight="1" x14ac:dyDescent="0.35">
      <c r="B52" s="594" t="str">
        <f>IF(RESULTADOS_DETALHE!$E$15="",MEMORIA_RESULTADOS!$AG$18,RESULTADOS_DETALHE!$E$16)</f>
        <v>Não há ciclo reajustado computado nesta apuração.</v>
      </c>
      <c r="C52" s="595"/>
      <c r="D52" s="595"/>
      <c r="E52" s="595"/>
      <c r="F52" s="595"/>
      <c r="G52" s="595"/>
    </row>
    <row r="53" spans="2:7" ht="22" customHeight="1" x14ac:dyDescent="0.35">
      <c r="B53" s="462" t="str">
        <f>IF(RESULTADOS_DETALHE!$E$15="","","Ciclo")</f>
        <v/>
      </c>
      <c r="C53" s="464" t="str">
        <f>RESULTADOS_DETALHE!$F$15&amp;""</f>
        <v/>
      </c>
      <c r="D53" s="464" t="str">
        <f>RESULTADOS_DETALHE!$G$15&amp;""</f>
        <v/>
      </c>
      <c r="E53" s="464" t="str">
        <f>IF(RESULTADOS_DETALHE!$H$15&lt;&gt;"",RESULTADOS_DETALHE!$H$15,IF(RESULTADOS_DETALHE!$E$15&lt;&gt;"",MEMORIA_RESULTADOS!$T$109,""))</f>
        <v/>
      </c>
      <c r="F53" s="599" t="str">
        <f>IF(RESULTADOS_DETALHE!$E$15="","",MEMORIA_RESULTADOS!$AG$19)</f>
        <v/>
      </c>
      <c r="G53" s="599"/>
    </row>
    <row r="54" spans="2:7" ht="32" customHeight="1" x14ac:dyDescent="0.35">
      <c r="B54" s="463" t="str">
        <f>IF(RESULTADOS_DETALHE!$E$17="","","C1")</f>
        <v/>
      </c>
      <c r="C54" s="465" t="str">
        <f>IF(RESULTADOS_DETALHE!$F$17="","",RESULTADOS_DETALHE!$F$17)</f>
        <v/>
      </c>
      <c r="D54" s="465" t="str">
        <f>IF(RESULTADOS_DETALHE!$G$17="","",RESULTADOS_DETALHE!$G$17)</f>
        <v/>
      </c>
      <c r="E54" s="465" t="str">
        <f>IF(RESULTADOS_DETALHE!$H$17="","",RESULTADOS_DETALHE!$H$17)</f>
        <v/>
      </c>
      <c r="F54" s="600" t="str">
        <f>RESULTADOS_DETALHE!$E$17&amp;""</f>
        <v/>
      </c>
      <c r="G54" s="600"/>
    </row>
    <row r="55" spans="2:7" ht="32" customHeight="1" x14ac:dyDescent="0.35">
      <c r="B55" s="463" t="str">
        <f>IF(RESULTADOS_DETALHE!$E$18="","","C2")</f>
        <v/>
      </c>
      <c r="C55" s="465" t="str">
        <f>IF(RESULTADOS_DETALHE!$F$18="","",RESULTADOS_DETALHE!$F$18)</f>
        <v/>
      </c>
      <c r="D55" s="465" t="str">
        <f>IF(RESULTADOS_DETALHE!$G$18="","",RESULTADOS_DETALHE!$G$18)</f>
        <v/>
      </c>
      <c r="E55" s="465" t="str">
        <f>IF(RESULTADOS_DETALHE!$H$18="","",RESULTADOS_DETALHE!$H$18)</f>
        <v/>
      </c>
      <c r="F55" s="600" t="str">
        <f>RESULTADOS_DETALHE!$E$18&amp;""</f>
        <v/>
      </c>
      <c r="G55" s="600"/>
    </row>
    <row r="56" spans="2:7" ht="32" customHeight="1" x14ac:dyDescent="0.35">
      <c r="B56" s="463" t="str">
        <f>IF(RESULTADOS_DETALHE!$E$19="","","C3")</f>
        <v/>
      </c>
      <c r="C56" s="465" t="str">
        <f>IF(RESULTADOS_DETALHE!$F$19="","",RESULTADOS_DETALHE!$F$19)</f>
        <v/>
      </c>
      <c r="D56" s="465" t="str">
        <f>IF(RESULTADOS_DETALHE!$G$19="","",RESULTADOS_DETALHE!$G$19)</f>
        <v/>
      </c>
      <c r="E56" s="465" t="str">
        <f>IF(RESULTADOS_DETALHE!$H$19="","",RESULTADOS_DETALHE!$H$19)</f>
        <v/>
      </c>
      <c r="F56" s="600" t="str">
        <f>RESULTADOS_DETALHE!$E$19&amp;""</f>
        <v/>
      </c>
      <c r="G56" s="600"/>
    </row>
    <row r="57" spans="2:7" ht="32" customHeight="1" x14ac:dyDescent="0.35">
      <c r="B57" s="463" t="str">
        <f>IF(RESULTADOS_DETALHE!$E$20="","","C4")</f>
        <v/>
      </c>
      <c r="C57" s="465" t="str">
        <f>IF(RESULTADOS_DETALHE!$F$20="","",RESULTADOS_DETALHE!$F$20)</f>
        <v/>
      </c>
      <c r="D57" s="465" t="str">
        <f>IF(RESULTADOS_DETALHE!$G$20="","",RESULTADOS_DETALHE!$G$20)</f>
        <v/>
      </c>
      <c r="E57" s="465" t="str">
        <f>IF(RESULTADOS_DETALHE!$H$20="","",RESULTADOS_DETALHE!$H$20)</f>
        <v/>
      </c>
      <c r="F57" s="600" t="str">
        <f>RESULTADOS_DETALHE!$E$20&amp;""</f>
        <v/>
      </c>
      <c r="G57" s="600"/>
    </row>
    <row r="58" spans="2:7" ht="30" customHeight="1" x14ac:dyDescent="0.35">
      <c r="B58" s="594" t="str">
        <f>RESULTADOS_DETALHE!$E$21&amp;""</f>
        <v/>
      </c>
      <c r="C58" s="595"/>
      <c r="D58" s="595"/>
      <c r="E58" s="595"/>
      <c r="F58" s="595"/>
      <c r="G58" s="595"/>
    </row>
    <row r="59" spans="2:7" ht="8" customHeight="1" x14ac:dyDescent="0.35"/>
    <row r="60" spans="2:7" ht="30" customHeight="1" x14ac:dyDescent="0.35">
      <c r="B60" s="601" t="s">
        <v>732</v>
      </c>
      <c r="C60" s="602"/>
      <c r="D60" s="602"/>
      <c r="E60" s="602"/>
      <c r="F60" s="602"/>
      <c r="G60" s="602"/>
    </row>
    <row r="61" spans="2:7" ht="12" customHeight="1" x14ac:dyDescent="0.35"/>
    <row r="62" spans="2:7" ht="24" customHeight="1" x14ac:dyDescent="0.35">
      <c r="B62" s="466" t="str">
        <f>IF(METODO_RETROATIVO="PCs",MEMORIA_RESULTADOS!$AG$20,"")</f>
        <v/>
      </c>
    </row>
    <row r="63" spans="2:7" ht="22" customHeight="1" x14ac:dyDescent="0.35">
      <c r="B63" s="462" t="str">
        <f>IF(METODO_RETROATIVO="PCs",MEMORIA_RESULTADOS!$AG$21,"")</f>
        <v/>
      </c>
      <c r="C63" s="461" t="str">
        <f>IF(METODO_RETROATIVO="PCs",MEMORIA_RESULTADOS!$AG$22,"")</f>
        <v/>
      </c>
      <c r="D63" s="599" t="str">
        <f>IF(METODO_RETROATIVO="PCs",MEMORIA_RESULTADOS!$AG$23,"")</f>
        <v/>
      </c>
      <c r="E63" s="599"/>
      <c r="F63" s="599"/>
      <c r="G63" s="599"/>
    </row>
    <row r="64" spans="2:7" ht="30" customHeight="1" x14ac:dyDescent="0.35">
      <c r="B64" s="460" t="str">
        <f>IF(METODO_RETROATIVO="PCs",RESULTADOS_DETALHE!$A$55,"")</f>
        <v/>
      </c>
      <c r="C64" s="467" t="str">
        <f>IF(METODO_RETROATIVO="PCs",IF(RESULTADOS_DETALHE!$B$55="",MEMORIA_RESULTADOS!$AG$2,RESULTADOS_DETALHE!$B$55),"")</f>
        <v/>
      </c>
      <c r="D64" s="600" t="str">
        <f>IF(METODO_RETROATIVO="PCs",RESULTADOS_DETALHE!$C$55,"")</f>
        <v/>
      </c>
      <c r="E64" s="600"/>
      <c r="F64" s="600"/>
      <c r="G64" s="600"/>
    </row>
    <row r="65" spans="2:7" ht="30" customHeight="1" x14ac:dyDescent="0.35">
      <c r="B65" s="460" t="str">
        <f>IF(METODO_RETROATIVO="PCs",RESULTADOS_DETALHE!$A$56,"")</f>
        <v/>
      </c>
      <c r="C65" s="467" t="str">
        <f>IF(METODO_RETROATIVO="PCs",IF(RESULTADOS_DETALHE!$B$56="",MEMORIA_RESULTADOS!$AG$2,RESULTADOS_DETALHE!$B$56),"")</f>
        <v/>
      </c>
      <c r="D65" s="600" t="str">
        <f>IF(METODO_RETROATIVO="PCs",RESULTADOS_DETALHE!$C$56,"")</f>
        <v/>
      </c>
      <c r="E65" s="600"/>
      <c r="F65" s="600"/>
      <c r="G65" s="600"/>
    </row>
    <row r="66" spans="2:7" ht="30" customHeight="1" x14ac:dyDescent="0.35">
      <c r="B66" s="460" t="str">
        <f>IF(METODO_RETROATIVO="PCs",RESULTADOS_DETALHE!$A$57,"")</f>
        <v/>
      </c>
      <c r="C66" s="467" t="str">
        <f>IF(METODO_RETROATIVO="PCs",IF(RESULTADOS_DETALHE!$B$57="",MEMORIA_RESULTADOS!$AG$2,RESULTADOS_DETALHE!$B$57),"")</f>
        <v/>
      </c>
      <c r="D66" s="600" t="str">
        <f>IF(METODO_RETROATIVO="PCs",RESULTADOS_DETALHE!$C$57,"")</f>
        <v/>
      </c>
      <c r="E66" s="600"/>
      <c r="F66" s="600"/>
      <c r="G66" s="600"/>
    </row>
    <row r="67" spans="2:7" ht="30" customHeight="1" x14ac:dyDescent="0.35">
      <c r="B67" s="460" t="str">
        <f>IF(METODO_RETROATIVO="PCs",RESULTADOS_DETALHE!$A$58,"")</f>
        <v/>
      </c>
      <c r="C67" s="467" t="str">
        <f>IF(METODO_RETROATIVO="PCs",IF(RESULTADOS_DETALHE!$B$58="",MEMORIA_RESULTADOS!$AG$2,RESULTADOS_DETALHE!$B$58),"")</f>
        <v/>
      </c>
      <c r="D67" s="600" t="str">
        <f>IF(METODO_RETROATIVO="PCs",RESULTADOS_DETALHE!$C$58,"")</f>
        <v/>
      </c>
      <c r="E67" s="600"/>
      <c r="F67" s="600"/>
      <c r="G67" s="600"/>
    </row>
    <row r="68" spans="2:7" ht="30" customHeight="1" x14ac:dyDescent="0.35">
      <c r="B68" s="460" t="str">
        <f>IF(METODO_RETROATIVO="PCs",RESULTADOS_DETALHE!$A$59,"")</f>
        <v/>
      </c>
      <c r="C68" s="467" t="str">
        <f>IF(METODO_RETROATIVO="PCs",IF(RESULTADOS_DETALHE!$B$59="",MEMORIA_RESULTADOS!$AG$2,RESULTADOS_DETALHE!$B$59),"")</f>
        <v/>
      </c>
      <c r="D68" s="600" t="str">
        <f>IF(METODO_RETROATIVO="PCs",RESULTADOS_DETALHE!$C$59,"")</f>
        <v/>
      </c>
      <c r="E68" s="600"/>
      <c r="F68" s="600"/>
      <c r="G68" s="600"/>
    </row>
    <row r="69" spans="2:7" ht="30" customHeight="1" x14ac:dyDescent="0.35">
      <c r="B69" s="460" t="str">
        <f>IF(METODO_RETROATIVO="PCs",RESULTADOS_DETALHE!$A$60,"")</f>
        <v/>
      </c>
      <c r="C69" s="467" t="str">
        <f>IF(METODO_RETROATIVO="PCs",IF(RESULTADOS_DETALHE!$B$60="",MEMORIA_RESULTADOS!$AG$2,RESULTADOS_DETALHE!$B$60),"")</f>
        <v/>
      </c>
      <c r="D69" s="600" t="str">
        <f>IF(METODO_RETROATIVO="PCs",RESULTADOS_DETALHE!$C$60,"")</f>
        <v/>
      </c>
      <c r="E69" s="600"/>
      <c r="F69" s="600"/>
      <c r="G69" s="600"/>
    </row>
    <row r="70" spans="2:7" ht="30" customHeight="1" x14ac:dyDescent="0.35">
      <c r="B70" s="460" t="str">
        <f>IF(METODO_RETROATIVO="PCs",RESULTADOS_DETALHE!$A$61,"")</f>
        <v/>
      </c>
      <c r="C70" s="467" t="str">
        <f>IF(METODO_RETROATIVO="PCs",IF(RESULTADOS_DETALHE!$B$61="",MEMORIA_RESULTADOS!$AG$2,RESULTADOS_DETALHE!$B$61),"")</f>
        <v/>
      </c>
      <c r="D70" s="600" t="str">
        <f>IF(METODO_RETROATIVO="PCs",RESULTADOS_DETALHE!$C$61,"")</f>
        <v/>
      </c>
      <c r="E70" s="600"/>
      <c r="F70" s="600"/>
      <c r="G70" s="600"/>
    </row>
    <row r="71" spans="2:7" ht="30" customHeight="1" x14ac:dyDescent="0.35">
      <c r="B71" s="460" t="str">
        <f>IF(METODO_RETROATIVO="PCs",RESULTADOS_DETALHE!$A$62,"")</f>
        <v/>
      </c>
      <c r="C71" s="467" t="str">
        <f>IF(METODO_RETROATIVO="PCs",IF(RESULTADOS_DETALHE!$B$62="",MEMORIA_RESULTADOS!$AG$2,RESULTADOS_DETALHE!$B$62),"")</f>
        <v/>
      </c>
      <c r="D71" s="600" t="str">
        <f>IF(METODO_RETROATIVO="PCs",RESULTADOS_DETALHE!$C$62,"")</f>
        <v/>
      </c>
      <c r="E71" s="600"/>
      <c r="F71" s="600"/>
      <c r="G71" s="600"/>
    </row>
    <row r="72" spans="2:7" ht="20" customHeight="1" x14ac:dyDescent="0.35"/>
    <row r="73" spans="2:7" ht="20" customHeight="1" x14ac:dyDescent="0.35"/>
  </sheetData>
  <mergeCells count="34"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  <mergeCell ref="B58:G58"/>
    <mergeCell ref="F53:G53"/>
    <mergeCell ref="F54:G54"/>
    <mergeCell ref="F55:G55"/>
    <mergeCell ref="F56:G56"/>
    <mergeCell ref="F57:G5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18:G18"/>
    <mergeCell ref="D13:G13"/>
    <mergeCell ref="D14:G14"/>
    <mergeCell ref="D15:G15"/>
    <mergeCell ref="D16:G16"/>
    <mergeCell ref="D17:G17"/>
  </mergeCells>
  <conditionalFormatting sqref="B10">
    <cfRule type="expression" dxfId="34" priority="4">
      <formula>AND(METODO_RETROATIVO="PCs",N(RETROATIVO_POTENCIAL_VTA)&lt;&gt;0)</formula>
    </cfRule>
  </conditionalFormatting>
  <conditionalFormatting sqref="B53:F53">
    <cfRule type="expression" dxfId="33" priority="29">
      <formula>$B$53&lt;&gt;""</formula>
    </cfRule>
  </conditionalFormatting>
  <conditionalFormatting sqref="B54:F57">
    <cfRule type="expression" dxfId="32" priority="30">
      <formula>$B$53&lt;&gt;""</formula>
    </cfRule>
  </conditionalFormatting>
  <conditionalFormatting sqref="B15:G15">
    <cfRule type="expression" dxfId="31" priority="7">
      <formula>AND(METODO_RETROATIVO="PCs",N(RETROATIVO_POTENCIAL_APURADO)&lt;&gt;0)</formula>
    </cfRule>
  </conditionalFormatting>
  <conditionalFormatting sqref="B19:G19">
    <cfRule type="expression" dxfId="30" priority="8">
      <formula>AND(METODO_RETROATIVO="PCs",N(RETROATIVO_POTENCIAL_NEGATIVO)&lt;0)</formula>
    </cfRule>
  </conditionalFormatting>
  <conditionalFormatting sqref="B35:G39">
    <cfRule type="expression" dxfId="29" priority="28">
      <formula>ISNUMBER(SEARCH("vigente",$B35))</formula>
    </cfRule>
  </conditionalFormatting>
  <conditionalFormatting sqref="B62:G62">
    <cfRule type="expression" dxfId="28" priority="32">
      <formula>METODO_RETROATIVO="PCs"</formula>
    </cfRule>
  </conditionalFormatting>
  <conditionalFormatting sqref="B63:G63">
    <cfRule type="expression" dxfId="27" priority="33">
      <formula>METODO_RETROATIVO="PCs"</formula>
    </cfRule>
  </conditionalFormatting>
  <conditionalFormatting sqref="B64:G71">
    <cfRule type="expression" dxfId="26" priority="34">
      <formula>METODO_RETROATIVO="PCs"</formula>
    </cfRule>
  </conditionalFormatting>
  <conditionalFormatting sqref="B70:G70">
    <cfRule type="expression" dxfId="25" priority="35">
      <formula>AND(METODO_RETROATIVO="PCs",N(RETROATIVO_POTENCIAL_VTA)&lt;&gt;0)</formula>
    </cfRule>
  </conditionalFormatting>
  <conditionalFormatting sqref="C20">
    <cfRule type="expression" dxfId="24" priority="9">
      <formula>AND(ISNUMBER($C$20),$C$20&lt;&gt;0)</formula>
    </cfRule>
  </conditionalFormatting>
  <conditionalFormatting sqref="C24">
    <cfRule type="expression" dxfId="23" priority="10">
      <formula>OR($C$24="VALIDADO",$C$24="RECONCILIADO")</formula>
    </cfRule>
    <cfRule type="expression" dxfId="22" priority="11">
      <formula>ISNUMBER(SEARCH("ESTIMAD",$C$24))</formula>
    </cfRule>
    <cfRule type="expression" dxfId="21" priority="12">
      <formula>ISNUMBER(SEARCH("REVISE",$C$24))</formula>
    </cfRule>
  </conditionalFormatting>
  <conditionalFormatting sqref="C25">
    <cfRule type="expression" dxfId="20" priority="13">
      <formula>OR($C$25="VALIDADO",$C$25="RECONCILIADO")</formula>
    </cfRule>
    <cfRule type="expression" dxfId="19" priority="14">
      <formula>ISNUMBER(SEARCH("ESTIMAD",$C$25))</formula>
    </cfRule>
    <cfRule type="expression" dxfId="18" priority="15">
      <formula>ISNUMBER(SEARCH("REVISE",$C$25))</formula>
    </cfRule>
  </conditionalFormatting>
  <conditionalFormatting sqref="C26">
    <cfRule type="expression" dxfId="17" priority="18">
      <formula>ISNUMBER(SEARCH("REVISE",$C$26))</formula>
    </cfRule>
    <cfRule type="expression" dxfId="16" priority="16">
      <formula>OR($C$26="VALIDADO",$C$26="RECONCILIADO")</formula>
    </cfRule>
    <cfRule type="expression" dxfId="15" priority="17">
      <formula>ISNUMBER(SEARCH("ESTIMAD",$C$26))</formula>
    </cfRule>
  </conditionalFormatting>
  <conditionalFormatting sqref="C27">
    <cfRule type="expression" dxfId="14" priority="21">
      <formula>ISNUMBER(SEARCH("REVISE",$C$27))</formula>
    </cfRule>
    <cfRule type="expression" dxfId="13" priority="19">
      <formula>OR($C$27="VALIDADO",$C$27="RECONCILIADO")</formula>
    </cfRule>
    <cfRule type="expression" dxfId="12" priority="20">
      <formula>ISNUMBER(SEARCH("ESTIMAD",$C$27))</formula>
    </cfRule>
  </conditionalFormatting>
  <conditionalFormatting sqref="C29">
    <cfRule type="expression" dxfId="11" priority="22">
      <formula>OR($C$29="VALIDADO",$C$29="RECONCILIADO")</formula>
    </cfRule>
    <cfRule type="expression" dxfId="10" priority="23">
      <formula>ISNUMBER(SEARCH("ESTIMAD",$C$29))</formula>
    </cfRule>
    <cfRule type="expression" dxfId="9" priority="24">
      <formula>ISNUMBER(SEARCH("REVISE",$C$29))</formula>
    </cfRule>
  </conditionalFormatting>
  <conditionalFormatting sqref="C31">
    <cfRule type="expression" dxfId="8" priority="25">
      <formula>OR($C$31="VALIDADO",$C$31="RECONCILIADO")</formula>
    </cfRule>
    <cfRule type="expression" dxfId="7" priority="26">
      <formula>ISNUMBER(SEARCH("ESTIMAD",$C$31))</formula>
    </cfRule>
    <cfRule type="expression" dxfId="6" priority="27">
      <formula>ISNUMBER(SEARCH("REVISE",$C$31))</formula>
    </cfRule>
  </conditionalFormatting>
  <conditionalFormatting sqref="E54:E57">
    <cfRule type="expression" dxfId="5" priority="31">
      <formula>$E54&lt;&gt;""</formula>
    </cfRule>
  </conditionalFormatting>
  <conditionalFormatting sqref="G6">
    <cfRule type="expression" dxfId="4" priority="3">
      <formula>ISNUMBER(SEARCH("REVISE",$G$6))</formula>
    </cfRule>
    <cfRule type="expression" dxfId="3" priority="2">
      <formula>ISNUMBER(SEARCH("ESTIMAD",$G$6))</formula>
    </cfRule>
    <cfRule type="expression" dxfId="2" priority="1">
      <formula>OR($G$6="VALIDADO",$G$6="RECONCILIADO")</formula>
    </cfRule>
  </conditionalFormatting>
  <conditionalFormatting sqref="G8:G10">
    <cfRule type="expression" dxfId="1" priority="6">
      <formula>LEFT($G$9,4)="APUR"</formula>
    </cfRule>
    <cfRule type="expression" dxfId="0" priority="5">
      <formula>LEFT($G$9,4)="PEND"</formula>
    </cfRule>
  </conditionalFormatting>
  <hyperlinks>
    <hyperlink ref="D31" location="'RESULTADOS_DETALHE'!A41" display="Editar na aba RESULTADOS_DETALHE — bloco 5. AJUSTES MANUAIS (clique aqui)" xr:uid="{3C504DE4-BE39-4F29-9363-002868180495}"/>
  </hyperlinks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2026-10-05T17:30:10Z</dcterms:modified>
</cp:coreProperties>
</file>