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9.PC_VTA_POT_TOTAL_1\templates\"/>
    </mc:Choice>
  </mc:AlternateContent>
  <xr:revisionPtr revIDLastSave="0" documentId="13_ncr:1_{970514E3-E033-47F1-839C-96A7F81B0D31}" xr6:coauthVersionLast="47" xr6:coauthVersionMax="47" xr10:uidLastSave="{00000000-0000-0000-0000-000000000000}"/>
  <bookViews>
    <workbookView xWindow="380" yWindow="38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" i="5" l="1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B8" i="13"/>
  <c r="I9" i="9"/>
  <c r="W49" i="14"/>
  <c r="C84" i="15" l="1"/>
  <c r="T46" i="14"/>
  <c r="T45" i="14"/>
  <c r="T44" i="14"/>
  <c r="T43" i="14"/>
  <c r="T42" i="14"/>
  <c r="C83" i="15"/>
  <c r="A81" i="15"/>
  <c r="D8" i="15"/>
  <c r="C8" i="15"/>
  <c r="A8" i="15"/>
  <c r="A6" i="15"/>
  <c r="A4" i="15"/>
  <c r="B84" i="15"/>
  <c r="A84" i="15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T39" i="14" l="1"/>
  <c r="T41" i="14"/>
  <c r="B61" i="15"/>
  <c r="B58" i="15"/>
  <c r="B59" i="15"/>
  <c r="B56" i="15"/>
  <c r="B57" i="15"/>
  <c r="C15" i="15"/>
  <c r="B55" i="15"/>
  <c r="T8" i="7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9" i="15"/>
  <c r="B18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S19" i="7" l="1"/>
  <c r="T47" i="14"/>
  <c r="M19" i="7" s="1"/>
  <c r="T40" i="14"/>
  <c r="C86" i="15" s="1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B66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38" i="15"/>
  <c r="B64" i="15" s="1"/>
  <c r="A39" i="15"/>
  <c r="E35" i="15" s="1"/>
  <c r="M263" i="14"/>
  <c r="A265" i="14" s="1"/>
  <c r="O258" i="14"/>
  <c r="H41" i="14" l="1"/>
  <c r="D22" i="15"/>
  <c r="H33" i="15"/>
  <c r="B26" i="14"/>
  <c r="B65" i="15" s="1"/>
  <c r="E26" i="14"/>
  <c r="J4" i="14" s="1"/>
  <c r="C38" i="15"/>
  <c r="G5" i="15"/>
  <c r="B60" i="15" l="1"/>
  <c r="B62" i="15"/>
  <c r="E8" i="15"/>
  <c r="H8" i="15"/>
  <c r="J5" i="15" s="1"/>
  <c r="E6" i="15"/>
  <c r="C22" i="15"/>
  <c r="D5" i="15"/>
  <c r="H4" i="15"/>
  <c r="B28" i="14"/>
  <c r="C5" i="15"/>
  <c r="B86" i="15"/>
  <c r="B87" i="15" s="1"/>
  <c r="C87" i="15" s="1"/>
  <c r="B207" i="1"/>
  <c r="G2" i="15" l="1"/>
  <c r="C4" i="15"/>
  <c r="B3" i="15"/>
  <c r="B67" i="15" s="1"/>
  <c r="B7" i="15" l="1"/>
  <c r="A7" i="15"/>
  <c r="G1" i="15"/>
</calcChain>
</file>

<file path=xl/sharedStrings.xml><?xml version="1.0" encoding="utf-8"?>
<sst xmlns="http://schemas.openxmlformats.org/spreadsheetml/2006/main" count="40688" uniqueCount="559">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</sst>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8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7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</borders>
  <cellStyleXfs count="1">
    <xf numFmtId="0" fontId="0" fillId="0" borderId="38"/>
  </cellStyleXfs>
  <cellXfs count="48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36" fillId="49" borderId="49" xfId="0" applyFont="1" applyFill="1" applyBorder="1" applyAlignment="1">
      <alignment horizontal="left" vertical="center" indent="1"/>
    </xf>
    <xf numFmtId="0" fontId="36" fillId="49" borderId="38" xfId="0" applyFont="1" applyFill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36" fillId="49" borderId="75" xfId="0" applyFont="1" applyFill="1" applyBorder="1" applyAlignment="1">
      <alignment horizontal="left" vertical="center"/>
    </xf>
    <xf numFmtId="0" fontId="36" fillId="49" borderId="38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0" fontId="79" fillId="52" borderId="77" xfId="0" applyFont="1" applyFill="1" applyBorder="1" applyAlignment="1">
      <alignment horizontal="left" vertical="center" wrapText="1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183" fontId="81" fillId="52" borderId="77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72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46271.464904398148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76" t="s">
        <v>49</v>
      </c>
      <c r="B9" s="377"/>
      <c r="C9" s="377"/>
      <c r="D9" s="377"/>
      <c r="E9" s="377"/>
      <c r="F9" s="378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465</v>
      </c>
      <c r="W1" s="13"/>
    </row>
    <row r="2" spans="1:2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82" t="s">
        <v>475</v>
      </c>
      <c r="N1" s="383"/>
      <c r="O1" s="383"/>
      <c r="P1" s="383"/>
      <c r="Q1" s="383"/>
      <c r="R1" s="383"/>
      <c r="S1" s="383"/>
      <c r="T1" s="384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0" t="s">
        <v>32</v>
      </c>
      <c r="N2" s="350" t="s">
        <v>476</v>
      </c>
      <c r="O2" s="350" t="s">
        <v>477</v>
      </c>
      <c r="P2" s="350" t="s">
        <v>478</v>
      </c>
      <c r="Q2" s="350" t="s">
        <v>479</v>
      </c>
      <c r="R2" s="350" t="s">
        <v>537</v>
      </c>
      <c r="S2" s="368" t="s">
        <v>480</v>
      </c>
      <c r="T2" s="350" t="s">
        <v>481</v>
      </c>
      <c r="U2" s="352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4" t="s">
        <v>21</v>
      </c>
      <c r="N3" s="355">
        <f>COUNTIF($C$2:$C$5001,M3)</f>
        <v>0</v>
      </c>
      <c r="O3" s="356">
        <f>SUMIF($C$2:$C$5001,M3,$D$2:$D$5001)</f>
        <v>0</v>
      </c>
      <c r="P3" s="356">
        <f>SUMIF($C$2:$C$5001,M3,$F$2:$F$5001)</f>
        <v>0</v>
      </c>
      <c r="Q3" s="356">
        <f>SUMIF($C$2:$C$5001,M3,$H$2:$H$5001)</f>
        <v>0</v>
      </c>
      <c r="R3" s="356">
        <f>SUMIF($C$2:$C$5001,M3,$I$2:$I$5001)</f>
        <v>0</v>
      </c>
      <c r="S3" s="356">
        <f>SUMIF($C$2:$C$5001,M3,$J$2:$J$5001)</f>
        <v>0</v>
      </c>
      <c r="T3" s="355">
        <f>COUNTIFS($C$2:$C$5001,M3,$K$2:$K$5001,"&lt;&gt;OK",$K$2:$K$5001,"&lt;&gt;")</f>
        <v>0</v>
      </c>
      <c r="U3" s="353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4" t="s">
        <v>22</v>
      </c>
      <c r="N4" s="355">
        <f>COUNTIF($C$2:$C$5001,M4)</f>
        <v>0</v>
      </c>
      <c r="O4" s="356">
        <f>SUMIF($C$2:$C$5001,M4,$D$2:$D$5001)</f>
        <v>0</v>
      </c>
      <c r="P4" s="356">
        <f>SUMIF($C$2:$C$5001,M4,$F$2:$F$5001)</f>
        <v>0</v>
      </c>
      <c r="Q4" s="356">
        <f>SUMIF($C$2:$C$5001,M4,$H$2:$H$5001)</f>
        <v>0</v>
      </c>
      <c r="R4" s="356">
        <f>SUMIF($C$2:$C$5001,M4,$I$2:$I$5001)</f>
        <v>0</v>
      </c>
      <c r="S4" s="356">
        <f>SUMIF($C$2:$C$5001,M4,$J$2:$J$5001)</f>
        <v>0</v>
      </c>
      <c r="T4" s="355">
        <f>COUNTIFS($C$2:$C$5001,M4,$K$2:$K$5001,"&lt;&gt;OK",$K$2:$K$5001,"&lt;&gt;")</f>
        <v>0</v>
      </c>
      <c r="U4" s="353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4" t="s">
        <v>23</v>
      </c>
      <c r="N5" s="355">
        <f>COUNTIF($C$2:$C$5001,M5)</f>
        <v>0</v>
      </c>
      <c r="O5" s="356">
        <f>SUMIF($C$2:$C$5001,M5,$D$2:$D$5001)</f>
        <v>0</v>
      </c>
      <c r="P5" s="356">
        <f>SUMIF($C$2:$C$5001,M5,$F$2:$F$5001)</f>
        <v>0</v>
      </c>
      <c r="Q5" s="356">
        <f>SUMIF($C$2:$C$5001,M5,$H$2:$H$5001)</f>
        <v>0</v>
      </c>
      <c r="R5" s="356">
        <f>SUMIF($C$2:$C$5001,M5,$I$2:$I$5001)</f>
        <v>0</v>
      </c>
      <c r="S5" s="356">
        <f>SUMIF($C$2:$C$5001,M5,$J$2:$J$5001)</f>
        <v>0</v>
      </c>
      <c r="T5" s="355">
        <f>COUNTIFS($C$2:$C$5001,M5,$K$2:$K$5001,"&lt;&gt;OK",$K$2:$K$5001,"&lt;&gt;")</f>
        <v>0</v>
      </c>
      <c r="U5" s="353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4" t="s">
        <v>24</v>
      </c>
      <c r="N6" s="355">
        <f>COUNTIF($C$2:$C$5001,M6)</f>
        <v>0</v>
      </c>
      <c r="O6" s="356">
        <f>SUMIF($C$2:$C$5001,M6,$D$2:$D$5001)</f>
        <v>0</v>
      </c>
      <c r="P6" s="356">
        <f>SUMIF($C$2:$C$5001,M6,$F$2:$F$5001)</f>
        <v>0</v>
      </c>
      <c r="Q6" s="356">
        <f>SUMIF($C$2:$C$5001,M6,$H$2:$H$5001)</f>
        <v>0</v>
      </c>
      <c r="R6" s="356">
        <f>SUMIF($C$2:$C$5001,M6,$I$2:$I$5001)</f>
        <v>0</v>
      </c>
      <c r="S6" s="356">
        <f>SUMIF($C$2:$C$5001,M6,$J$2:$J$5001)</f>
        <v>0</v>
      </c>
      <c r="T6" s="355">
        <f>COUNTIFS($C$2:$C$5001,M6,$K$2:$K$5001,"&lt;&gt;OK",$K$2:$K$5001,"&lt;&gt;")</f>
        <v>0</v>
      </c>
      <c r="U6" s="353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4" t="s">
        <v>25</v>
      </c>
      <c r="N7" s="355">
        <f>COUNTIF($C$2:$C$5001,M7)</f>
        <v>0</v>
      </c>
      <c r="O7" s="356">
        <f>SUMIF($C$2:$C$5001,M7,$D$2:$D$5001)</f>
        <v>0</v>
      </c>
      <c r="P7" s="356">
        <f>SUMIF($C$2:$C$5001,M7,$F$2:$F$5001)</f>
        <v>0</v>
      </c>
      <c r="Q7" s="356">
        <f>SUMIF($C$2:$C$5001,M7,$H$2:$H$5001)</f>
        <v>0</v>
      </c>
      <c r="R7" s="356">
        <f>SUMIF($C$2:$C$5001,M7,$I$2:$I$5001)</f>
        <v>0</v>
      </c>
      <c r="S7" s="356">
        <f>SUMIF($C$2:$C$5001,M7,$J$2:$J$5001)</f>
        <v>0</v>
      </c>
      <c r="T7" s="355">
        <f>COUNTIFS($C$2:$C$5001,M7,$K$2:$K$5001,"&lt;&gt;OK",$K$2:$K$5001,"&lt;&gt;")</f>
        <v>0</v>
      </c>
      <c r="U7" s="353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472" t="s">
        <v>530</v>
      </c>
      <c r="N8" s="473">
        <f>COUNTIF($A$2:$A$5001,"&lt;&gt;")-SUM(N3:N7)</f>
        <v>0</v>
      </c>
      <c r="O8" s="474">
        <f>SUM($D$2:$D$5001)-SUM(O3:O7)</f>
        <v>0</v>
      </c>
      <c r="P8" s="474">
        <f>SUM($F$2:$F$5001)-SUM(P3:P7)</f>
        <v>0</v>
      </c>
      <c r="Q8" s="474">
        <f>SUM($H$2:$H$5001)-SUM(Q3:Q7)</f>
        <v>0</v>
      </c>
      <c r="R8" s="474">
        <f>SUM($I$2:$I$5001)-SUM(R3:R7)</f>
        <v>0</v>
      </c>
      <c r="S8" s="474">
        <f>SUM($J$2:$J$5001)-SUM(S3:S7)</f>
        <v>0</v>
      </c>
      <c r="T8" s="473">
        <f>COUNTIFS($A$2:$A$5001,"&lt;&gt;",$K$2:$K$5001,"&lt;&gt;OK",$K$2:$K$5001,"&lt;&gt;")-SUM(T3:T7)</f>
        <v>0</v>
      </c>
      <c r="U8" s="353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478" t="s">
        <v>26</v>
      </c>
      <c r="N9" s="479">
        <f t="shared" ref="N9:T9" si="5">SUM(N3:N8)</f>
        <v>0</v>
      </c>
      <c r="O9" s="480">
        <f t="shared" si="5"/>
        <v>0</v>
      </c>
      <c r="P9" s="480">
        <f t="shared" si="5"/>
        <v>0</v>
      </c>
      <c r="Q9" s="480">
        <f t="shared" si="5"/>
        <v>0</v>
      </c>
      <c r="R9" s="480">
        <f t="shared" si="5"/>
        <v>0</v>
      </c>
      <c r="S9" s="486">
        <f t="shared" si="5"/>
        <v>0</v>
      </c>
      <c r="T9" s="481">
        <f t="shared" si="5"/>
        <v>0</v>
      </c>
      <c r="U9" s="353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75" t="s">
        <v>482</v>
      </c>
      <c r="N10" s="476"/>
      <c r="O10" s="476"/>
      <c r="P10" s="476"/>
      <c r="Q10" s="476"/>
      <c r="R10" s="476"/>
      <c r="S10" s="476"/>
      <c r="T10" s="477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0" t="s">
        <v>291</v>
      </c>
      <c r="N11" s="350" t="s">
        <v>483</v>
      </c>
      <c r="O11" s="350" t="s">
        <v>528</v>
      </c>
      <c r="P11" s="350" t="s">
        <v>529</v>
      </c>
      <c r="Q11" s="350" t="s">
        <v>484</v>
      </c>
      <c r="R11" s="350" t="s">
        <v>538</v>
      </c>
      <c r="S11" s="368" t="s">
        <v>485</v>
      </c>
      <c r="T11" s="350" t="s">
        <v>486</v>
      </c>
      <c r="U11" s="353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7" t="s">
        <v>21</v>
      </c>
      <c r="N12" s="357">
        <f>IF(MEMORIA_RESULTADOS!$T$31="",COUNTIFS($C$2:$C$5001,$M12,$G$2:$G$5001,"Sim"),COUNTIFS($C$2:$C$5001,$M12,$G$2:$G$5001,"Sim",$B$2:$B$5001,"&lt;="&amp;MEMORIA_RESULTADOS!$T$31))</f>
        <v>0</v>
      </c>
      <c r="O12" s="358">
        <f>IF(MEMORIA_RESULTADOS!$T$31="",SUMIFS($D$2:$D$5001,$C$2:$C$5001,$M12,$G$2:$G$5001,"Sim"),SUMIFS($D$2:$D$5001,$C$2:$C$5001,$M12,$G$2:$G$5001,"Sim",$B$2:$B$5001,"&lt;="&amp;MEMORIA_RESULTADOS!$T$31))</f>
        <v>0</v>
      </c>
      <c r="P12" s="358">
        <f>IF(MEMORIA_RESULTADOS!$T$31="",SUMIFS($U$2:$U$5001,$C$2:$C$5001,$M12,$G$2:$G$5001,"Sim"),SUMIFS($U$2:$U$5001,$C$2:$C$5001,$M12,$G$2:$G$5001,"Sim",$B$2:$B$5001,"&lt;="&amp;MEMORIA_RESULTADOS!$T$31))</f>
        <v>0</v>
      </c>
      <c r="Q12" s="358">
        <f>IF(MEMORIA_RESULTADOS!$T$31="",SUMIFS($H$2:$H$5001,$C$2:$C$5001,$M12,$G$2:$G$5001,"Sim"),SUMIFS($H$2:$H$5001,$C$2:$C$5001,$M12,$G$2:$G$5001,"Sim",$B$2:$B$5001,"&lt;="&amp;MEMORIA_RESULTADOS!$T$31))</f>
        <v>0</v>
      </c>
      <c r="R12" s="358">
        <f>IF(MEMORIA_RESULTADOS!$T$31="",SUMIFS($I$2:$I$5001,$C$2:$C$5001,$M12),SUMIFS($I$2:$I$5001,$C$2:$C$5001,$M12,$B$2:$B$5001,"&lt;="&amp;MEMORIA_RESULTADOS!$T$31))</f>
        <v>0</v>
      </c>
      <c r="S12" s="358">
        <f>IF(MEMORIA_RESULTADOS!$T$31="",SUMIFS($J$2:$J$5001,$C$2:$C$5001,$M12),SUMIFS($J$2:$J$5001,$C$2:$C$5001,$M12,$B$2:$B$5001,"&lt;="&amp;MEMORIA_RESULTADOS!$T$31))</f>
        <v>0</v>
      </c>
      <c r="T12" s="358">
        <f>IF(MEMORIA_RESULTADOS!$T$31="",0,SUMIFS($D$2:$D$5001,$C$2:$C$5001,$M12,$B$2:$B$5001,"&gt;"&amp;MEMORIA_RESULTADOS!$T$31))</f>
        <v>0</v>
      </c>
      <c r="U12" s="353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7" t="s">
        <v>22</v>
      </c>
      <c r="N13" s="357">
        <f>IF(MEMORIA_RESULTADOS!$T$31="",COUNTIFS($C$2:$C$5001,$M13,$G$2:$G$5001,"Sim"),COUNTIFS($C$2:$C$5001,$M13,$G$2:$G$5001,"Sim",$B$2:$B$5001,"&lt;="&amp;MEMORIA_RESULTADOS!$T$31))</f>
        <v>0</v>
      </c>
      <c r="O13" s="358">
        <f>IF(MEMORIA_RESULTADOS!$T$31="",SUMIFS($D$2:$D$5001,$C$2:$C$5001,$M13,$G$2:$G$5001,"Sim"),SUMIFS($D$2:$D$5001,$C$2:$C$5001,$M13,$G$2:$G$5001,"Sim",$B$2:$B$5001,"&lt;="&amp;MEMORIA_RESULTADOS!$T$31))</f>
        <v>0</v>
      </c>
      <c r="P13" s="358">
        <f>IF(MEMORIA_RESULTADOS!$T$31="",SUMIFS($U$2:$U$5001,$C$2:$C$5001,$M13,$G$2:$G$5001,"Sim"),SUMIFS($U$2:$U$5001,$C$2:$C$5001,$M13,$G$2:$G$5001,"Sim",$B$2:$B$5001,"&lt;="&amp;MEMORIA_RESULTADOS!$T$31))</f>
        <v>0</v>
      </c>
      <c r="Q13" s="358">
        <f>IF(MEMORIA_RESULTADOS!$T$31="",SUMIFS($H$2:$H$5001,$C$2:$C$5001,$M13,$G$2:$G$5001,"Sim"),SUMIFS($H$2:$H$5001,$C$2:$C$5001,$M13,$G$2:$G$5001,"Sim",$B$2:$B$5001,"&lt;="&amp;MEMORIA_RESULTADOS!$T$31))</f>
        <v>0</v>
      </c>
      <c r="R13" s="358">
        <f>IF(MEMORIA_RESULTADOS!$T$31="",SUMIFS($I$2:$I$5001,$C$2:$C$5001,$M13),SUMIFS($I$2:$I$5001,$C$2:$C$5001,$M13,$B$2:$B$5001,"&lt;="&amp;MEMORIA_RESULTADOS!$T$31))</f>
        <v>0</v>
      </c>
      <c r="S13" s="358">
        <f>IF(MEMORIA_RESULTADOS!$T$31="",SUMIFS($J$2:$J$5001,$C$2:$C$5001,$M13),SUMIFS($J$2:$J$5001,$C$2:$C$5001,$M13,$B$2:$B$5001,"&lt;="&amp;MEMORIA_RESULTADOS!$T$31))</f>
        <v>0</v>
      </c>
      <c r="T13" s="358">
        <f>IF(MEMORIA_RESULTADOS!$T$31="",0,SUMIFS($D$2:$D$5001,$C$2:$C$5001,$M13,$B$2:$B$5001,"&gt;"&amp;MEMORIA_RESULTADOS!$T$31))</f>
        <v>0</v>
      </c>
      <c r="U13" s="353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7" t="s">
        <v>23</v>
      </c>
      <c r="N14" s="357">
        <f>IF(MEMORIA_RESULTADOS!$T$31="",COUNTIFS($C$2:$C$5001,$M14,$G$2:$G$5001,"Sim"),COUNTIFS($C$2:$C$5001,$M14,$G$2:$G$5001,"Sim",$B$2:$B$5001,"&lt;="&amp;MEMORIA_RESULTADOS!$T$31))</f>
        <v>0</v>
      </c>
      <c r="O14" s="358">
        <f>IF(MEMORIA_RESULTADOS!$T$31="",SUMIFS($D$2:$D$5001,$C$2:$C$5001,$M14,$G$2:$G$5001,"Sim"),SUMIFS($D$2:$D$5001,$C$2:$C$5001,$M14,$G$2:$G$5001,"Sim",$B$2:$B$5001,"&lt;="&amp;MEMORIA_RESULTADOS!$T$31))</f>
        <v>0</v>
      </c>
      <c r="P14" s="358">
        <f>IF(MEMORIA_RESULTADOS!$T$31="",SUMIFS($U$2:$U$5001,$C$2:$C$5001,$M14,$G$2:$G$5001,"Sim"),SUMIFS($U$2:$U$5001,$C$2:$C$5001,$M14,$G$2:$G$5001,"Sim",$B$2:$B$5001,"&lt;="&amp;MEMORIA_RESULTADOS!$T$31))</f>
        <v>0</v>
      </c>
      <c r="Q14" s="358">
        <f>IF(MEMORIA_RESULTADOS!$T$31="",SUMIFS($H$2:$H$5001,$C$2:$C$5001,$M14,$G$2:$G$5001,"Sim"),SUMIFS($H$2:$H$5001,$C$2:$C$5001,$M14,$G$2:$G$5001,"Sim",$B$2:$B$5001,"&lt;="&amp;MEMORIA_RESULTADOS!$T$31))</f>
        <v>0</v>
      </c>
      <c r="R14" s="358">
        <f>IF(MEMORIA_RESULTADOS!$T$31="",SUMIFS($I$2:$I$5001,$C$2:$C$5001,$M14),SUMIFS($I$2:$I$5001,$C$2:$C$5001,$M14,$B$2:$B$5001,"&lt;="&amp;MEMORIA_RESULTADOS!$T$31))</f>
        <v>0</v>
      </c>
      <c r="S14" s="358">
        <f>IF(MEMORIA_RESULTADOS!$T$31="",SUMIFS($J$2:$J$5001,$C$2:$C$5001,$M14),SUMIFS($J$2:$J$5001,$C$2:$C$5001,$M14,$B$2:$B$5001,"&lt;="&amp;MEMORIA_RESULTADOS!$T$31))</f>
        <v>0</v>
      </c>
      <c r="T14" s="358">
        <f>IF(MEMORIA_RESULTADOS!$T$31="",0,SUMIFS($D$2:$D$5001,$C$2:$C$5001,$M14,$B$2:$B$5001,"&gt;"&amp;MEMORIA_RESULTADOS!$T$31))</f>
        <v>0</v>
      </c>
      <c r="U14" s="353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7" t="s">
        <v>24</v>
      </c>
      <c r="N15" s="357">
        <f>IF(MEMORIA_RESULTADOS!$T$31="",COUNTIFS($C$2:$C$5001,$M15,$G$2:$G$5001,"Sim"),COUNTIFS($C$2:$C$5001,$M15,$G$2:$G$5001,"Sim",$B$2:$B$5001,"&lt;="&amp;MEMORIA_RESULTADOS!$T$31))</f>
        <v>0</v>
      </c>
      <c r="O15" s="358">
        <f>IF(MEMORIA_RESULTADOS!$T$31="",SUMIFS($D$2:$D$5001,$C$2:$C$5001,$M15,$G$2:$G$5001,"Sim"),SUMIFS($D$2:$D$5001,$C$2:$C$5001,$M15,$G$2:$G$5001,"Sim",$B$2:$B$5001,"&lt;="&amp;MEMORIA_RESULTADOS!$T$31))</f>
        <v>0</v>
      </c>
      <c r="P15" s="358">
        <f>IF(MEMORIA_RESULTADOS!$T$31="",SUMIFS($U$2:$U$5001,$C$2:$C$5001,$M15,$G$2:$G$5001,"Sim"),SUMIFS($U$2:$U$5001,$C$2:$C$5001,$M15,$G$2:$G$5001,"Sim",$B$2:$B$5001,"&lt;="&amp;MEMORIA_RESULTADOS!$T$31))</f>
        <v>0</v>
      </c>
      <c r="Q15" s="358">
        <f>IF(MEMORIA_RESULTADOS!$T$31="",SUMIFS($H$2:$H$5001,$C$2:$C$5001,$M15,$G$2:$G$5001,"Sim"),SUMIFS($H$2:$H$5001,$C$2:$C$5001,$M15,$G$2:$G$5001,"Sim",$B$2:$B$5001,"&lt;="&amp;MEMORIA_RESULTADOS!$T$31))</f>
        <v>0</v>
      </c>
      <c r="R15" s="358">
        <f>IF(MEMORIA_RESULTADOS!$T$31="",SUMIFS($I$2:$I$5001,$C$2:$C$5001,$M15),SUMIFS($I$2:$I$5001,$C$2:$C$5001,$M15,$B$2:$B$5001,"&lt;="&amp;MEMORIA_RESULTADOS!$T$31))</f>
        <v>0</v>
      </c>
      <c r="S15" s="358">
        <f>IF(MEMORIA_RESULTADOS!$T$31="",SUMIFS($J$2:$J$5001,$C$2:$C$5001,$M15),SUMIFS($J$2:$J$5001,$C$2:$C$5001,$M15,$B$2:$B$5001,"&lt;="&amp;MEMORIA_RESULTADOS!$T$31))</f>
        <v>0</v>
      </c>
      <c r="T15" s="358">
        <f>IF(MEMORIA_RESULTADOS!$T$31="",0,SUMIFS($D$2:$D$5001,$C$2:$C$5001,$M15,$B$2:$B$5001,"&gt;"&amp;MEMORIA_RESULTADOS!$T$31))</f>
        <v>0</v>
      </c>
      <c r="U15" s="353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7" t="s">
        <v>25</v>
      </c>
      <c r="N16" s="357">
        <f>IF(MEMORIA_RESULTADOS!$T$31="",COUNTIFS($C$2:$C$5001,$M16,$G$2:$G$5001,"Sim"),COUNTIFS($C$2:$C$5001,$M16,$G$2:$G$5001,"Sim",$B$2:$B$5001,"&lt;="&amp;MEMORIA_RESULTADOS!$T$31))</f>
        <v>0</v>
      </c>
      <c r="O16" s="358">
        <f>IF(MEMORIA_RESULTADOS!$T$31="",SUMIFS($D$2:$D$5001,$C$2:$C$5001,$M16,$G$2:$G$5001,"Sim"),SUMIFS($D$2:$D$5001,$C$2:$C$5001,$M16,$G$2:$G$5001,"Sim",$B$2:$B$5001,"&lt;="&amp;MEMORIA_RESULTADOS!$T$31))</f>
        <v>0</v>
      </c>
      <c r="P16" s="358">
        <f>IF(MEMORIA_RESULTADOS!$T$31="",SUMIFS($U$2:$U$5001,$C$2:$C$5001,$M16,$G$2:$G$5001,"Sim"),SUMIFS($U$2:$U$5001,$C$2:$C$5001,$M16,$G$2:$G$5001,"Sim",$B$2:$B$5001,"&lt;="&amp;MEMORIA_RESULTADOS!$T$31))</f>
        <v>0</v>
      </c>
      <c r="Q16" s="358">
        <f>IF(MEMORIA_RESULTADOS!$T$31="",SUMIFS($H$2:$H$5001,$C$2:$C$5001,$M16,$G$2:$G$5001,"Sim"),SUMIFS($H$2:$H$5001,$C$2:$C$5001,$M16,$G$2:$G$5001,"Sim",$B$2:$B$5001,"&lt;="&amp;MEMORIA_RESULTADOS!$T$31))</f>
        <v>0</v>
      </c>
      <c r="R16" s="358">
        <f>IF(MEMORIA_RESULTADOS!$T$31="",SUMIFS($I$2:$I$5001,$C$2:$C$5001,$M16),SUMIFS($I$2:$I$5001,$C$2:$C$5001,$M16,$B$2:$B$5001,"&lt;="&amp;MEMORIA_RESULTADOS!$T$31))</f>
        <v>0</v>
      </c>
      <c r="S16" s="358">
        <f>IF(MEMORIA_RESULTADOS!$T$31="",SUMIFS($J$2:$J$5001,$C$2:$C$5001,$M16),SUMIFS($J$2:$J$5001,$C$2:$C$5001,$M16,$B$2:$B$5001,"&lt;="&amp;MEMORIA_RESULTADOS!$T$31))</f>
        <v>0</v>
      </c>
      <c r="T16" s="358">
        <f>IF(MEMORIA_RESULTADOS!$T$31="",0,SUMIFS($D$2:$D$5001,$C$2:$C$5001,$M16,$B$2:$B$5001,"&gt;"&amp;MEMORIA_RESULTADOS!$T$31))</f>
        <v>0</v>
      </c>
      <c r="U16" s="353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482" t="s">
        <v>530</v>
      </c>
      <c r="N17" s="369">
        <f>IF(MEMORIA_RESULTADOS!$T$31="",COUNTIF($G$2:$G$5001,"Sim")-SUM(N12:N16),COUNTIFS($G$2:$G$5001,"Sim",$B$2:$B$5001,"&lt;="&amp;MEMORIA_RESULTADOS!$T$31)-SUM(N12:N16))</f>
        <v>0</v>
      </c>
      <c r="O17" s="370">
        <f>IF(MEMORIA_RESULTADOS!$T$31="",SUMIFS($D$2:$D$5001,$G$2:$G$5001,"Sim")-SUM(O12:O16),SUMIFS($D$2:$D$5001,$G$2:$G$5001,"Sim",$B$2:$B$5001,"&lt;="&amp;MEMORIA_RESULTADOS!$T$31)-SUM(O12:O16))</f>
        <v>0</v>
      </c>
      <c r="P17" s="370">
        <f>IF(MEMORIA_RESULTADOS!$T$31="",SUMIFS($U$2:$U$5001,$G$2:$G$5001,"Sim")-SUM(P12:P16),SUMIFS($U$2:$U$5001,$G$2:$G$5001,"Sim",$B$2:$B$5001,"&lt;="&amp;MEMORIA_RESULTADOS!$T$31)-SUM(P12:P16))</f>
        <v>0</v>
      </c>
      <c r="Q17" s="370">
        <f>IF(MEMORIA_RESULTADOS!$T$31="",SUMIFS($H$2:$H$5001,$G$2:$G$5001,"Sim")-SUM(Q12:Q16),SUMIFS($H$2:$H$5001,$G$2:$G$5001,"Sim",$B$2:$B$5001,"&lt;="&amp;MEMORIA_RESULTADOS!$T$31)-SUM(Q12:Q16))</f>
        <v>0</v>
      </c>
      <c r="R17" s="370">
        <f>IF(MEMORIA_RESULTADOS!$T$31="",SUM($I$2:$I$5001)-SUM(R12:R16),SUMIFS($I$2:$I$5001,$B$2:$B$5001,"&lt;="&amp;MEMORIA_RESULTADOS!$T$31)-SUM(R12:R16))</f>
        <v>0</v>
      </c>
      <c r="S17" s="370">
        <f>IF(MEMORIA_RESULTADOS!$T$31="",SUM($J$2:$J$5001)-SUM(S12:S16),SUMIFS($J$2:$J$5001,$B$2:$B$5001,"&lt;="&amp;MEMORIA_RESULTADOS!$T$31)-SUM(S12:S16))</f>
        <v>0</v>
      </c>
      <c r="T17" s="370">
        <f>IF(MEMORIA_RESULTADOS!$T$31="",0,SUMIFS($D$2:$D$5001,$B$2:$B$5001,"&gt;"&amp;MEMORIA_RESULTADOS!$T$31)-SUM(T12:T16))</f>
        <v>0</v>
      </c>
      <c r="U17" s="353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483" t="s">
        <v>26</v>
      </c>
      <c r="N18" s="483">
        <f t="shared" ref="N18:T18" si="6">SUM(N12:N17)</f>
        <v>0</v>
      </c>
      <c r="O18" s="484">
        <f t="shared" si="6"/>
        <v>0</v>
      </c>
      <c r="P18" s="484">
        <f t="shared" si="6"/>
        <v>0</v>
      </c>
      <c r="Q18" s="484">
        <f t="shared" si="6"/>
        <v>0</v>
      </c>
      <c r="R18" s="484">
        <f t="shared" si="6"/>
        <v>0</v>
      </c>
      <c r="S18" s="487">
        <f t="shared" si="6"/>
        <v>0</v>
      </c>
      <c r="T18" s="484">
        <f t="shared" si="6"/>
        <v>0</v>
      </c>
      <c r="U18" s="353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85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85"/>
      <c r="O19" s="485"/>
      <c r="P19" s="485"/>
      <c r="Q19" s="485"/>
      <c r="R19" s="485"/>
      <c r="S19" s="488">
        <f>ROUND(N($Q$18)+N(MEMORIA_RESULTADOS!$T$39),2)</f>
        <v>0</v>
      </c>
      <c r="T19" s="488"/>
      <c r="U19" s="353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85" t="s">
        <v>487</v>
      </c>
      <c r="N20" s="386"/>
      <c r="O20" s="386"/>
      <c r="P20" s="386"/>
      <c r="Q20" s="386"/>
      <c r="R20" s="386"/>
      <c r="S20" s="386"/>
      <c r="T20" s="387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79" t="s">
        <v>488</v>
      </c>
      <c r="N21" s="380"/>
      <c r="O21" s="380"/>
      <c r="P21" s="380"/>
      <c r="Q21" s="380"/>
      <c r="R21" s="380"/>
      <c r="S21" s="380"/>
      <c r="T21" s="381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79" t="s">
        <v>531</v>
      </c>
      <c r="N22" s="380"/>
      <c r="O22" s="380"/>
      <c r="P22" s="380"/>
      <c r="Q22" s="380"/>
      <c r="R22" s="380"/>
      <c r="S22" s="380"/>
      <c r="T22" s="381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79" t="s">
        <v>489</v>
      </c>
      <c r="N23" s="380"/>
      <c r="O23" s="380"/>
      <c r="P23" s="380"/>
      <c r="Q23" s="380"/>
      <c r="R23" s="380"/>
      <c r="S23" s="380"/>
      <c r="T23" s="381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79" t="s">
        <v>490</v>
      </c>
      <c r="N24" s="380"/>
      <c r="O24" s="380"/>
      <c r="P24" s="380"/>
      <c r="Q24" s="380"/>
      <c r="R24" s="380"/>
      <c r="S24" s="380"/>
      <c r="T24" s="381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79" t="s">
        <v>491</v>
      </c>
      <c r="N25" s="380"/>
      <c r="O25" s="380"/>
      <c r="P25" s="380"/>
      <c r="Q25" s="380"/>
      <c r="R25" s="380"/>
      <c r="S25" s="380"/>
      <c r="T25" s="381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79" t="s">
        <v>492</v>
      </c>
      <c r="N26" s="380"/>
      <c r="O26" s="380"/>
      <c r="P26" s="380"/>
      <c r="Q26" s="380"/>
      <c r="R26" s="380"/>
      <c r="S26" s="380"/>
      <c r="T26" s="381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379" t="s">
        <v>532</v>
      </c>
      <c r="N27" s="380"/>
      <c r="O27" s="380"/>
      <c r="P27" s="380"/>
      <c r="Q27" s="380"/>
      <c r="R27" s="380"/>
      <c r="S27" s="380"/>
      <c r="T27" s="381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379" t="s">
        <v>533</v>
      </c>
      <c r="N28" s="380"/>
      <c r="O28" s="380"/>
      <c r="P28" s="380"/>
      <c r="Q28" s="380"/>
      <c r="R28" s="380"/>
      <c r="S28" s="380"/>
      <c r="T28" s="381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379" t="s">
        <v>493</v>
      </c>
      <c r="N29" s="380"/>
      <c r="O29" s="380"/>
      <c r="P29" s="380"/>
      <c r="Q29" s="380"/>
      <c r="R29" s="380"/>
      <c r="S29" s="380"/>
      <c r="T29" s="381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1:T1"/>
    <mergeCell ref="M10:T10"/>
    <mergeCell ref="M20:T20"/>
    <mergeCell ref="M21:T21"/>
    <mergeCell ref="M22:T22"/>
    <mergeCell ref="M19:R19"/>
    <mergeCell ref="S19:T19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conditionalFormatting sqref="S3:S9">
    <cfRule type="expression" dxfId="49" priority="3" stopIfTrue="1">
      <formula>N($S3)&lt;&gt;0</formula>
    </cfRule>
  </conditionalFormatting>
  <conditionalFormatting sqref="S12:S18">
    <cfRule type="expression" dxfId="48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473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7" priority="7">
      <formula>OR(LEFT(UPPER($D2),6)="SUPRES",LEFT(UPPER($D2),4)="DECR")</formula>
    </cfRule>
    <cfRule type="expression" dxfId="46" priority="7">
      <formula>OR(LEFT(UPPER($D2),6)="SUPRES",LEFT(UPPER($D2),4)="DECR")</formula>
    </cfRule>
  </conditionalFormatting>
  <conditionalFormatting sqref="C2:C200">
    <cfRule type="expression" dxfId="45" priority="15">
      <formula>UPPER($C2)="C0"</formula>
    </cfRule>
    <cfRule type="expression" dxfId="44" priority="15">
      <formula>UPPER($C2)="C1"</formula>
    </cfRule>
    <cfRule type="expression" dxfId="43" priority="15">
      <formula>UPPER($C2)="C2"</formula>
    </cfRule>
    <cfRule type="expression" dxfId="42" priority="15">
      <formula>UPPER($C2)="C3"</formula>
    </cfRule>
    <cfRule type="expression" dxfId="41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0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90" t="s">
        <v>198</v>
      </c>
      <c r="B1" s="390" t="s">
        <v>199</v>
      </c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392"/>
      <c r="Q1" s="388" t="s">
        <v>200</v>
      </c>
      <c r="R1" s="389"/>
      <c r="S1" s="389"/>
      <c r="T1" s="389"/>
      <c r="U1" s="389"/>
      <c r="V1" s="389"/>
      <c r="W1" s="389"/>
      <c r="X1" s="389"/>
      <c r="Y1" s="389"/>
      <c r="Z1" s="393" t="s">
        <v>201</v>
      </c>
      <c r="AA1" s="389"/>
      <c r="AB1" s="389"/>
      <c r="AC1" s="389"/>
      <c r="AE1" s="394" t="s">
        <v>202</v>
      </c>
    </row>
    <row r="2" spans="1:31" ht="43.5" customHeight="1" x14ac:dyDescent="0.35">
      <c r="A2" s="395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389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9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46271.464904398148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96" t="s">
        <v>268</v>
      </c>
      <c r="B25" s="397"/>
      <c r="C25" s="398"/>
    </row>
    <row r="26" spans="1:3" x14ac:dyDescent="0.35">
      <c r="A26" s="311" t="s">
        <v>269</v>
      </c>
      <c r="B26" s="403" t="s">
        <v>270</v>
      </c>
      <c r="C26" s="404"/>
    </row>
    <row r="27" spans="1:3" x14ac:dyDescent="0.35">
      <c r="A27" s="312" t="s">
        <v>271</v>
      </c>
      <c r="B27" s="405" t="s">
        <v>272</v>
      </c>
      <c r="C27" s="402"/>
    </row>
    <row r="28" spans="1:3" x14ac:dyDescent="0.35">
      <c r="A28" s="313" t="s">
        <v>273</v>
      </c>
      <c r="B28" s="401" t="s">
        <v>274</v>
      </c>
      <c r="C28" s="402"/>
    </row>
    <row r="29" spans="1:3" x14ac:dyDescent="0.35">
      <c r="A29" s="314" t="s">
        <v>275</v>
      </c>
      <c r="B29" s="399" t="s">
        <v>276</v>
      </c>
      <c r="C29" s="400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14" t="s">
        <v>277</v>
      </c>
      <c r="B1" s="389"/>
      <c r="C1" s="389"/>
      <c r="D1" s="389"/>
      <c r="E1" s="389"/>
      <c r="F1" s="389"/>
      <c r="G1" s="389"/>
      <c r="H1" s="389"/>
      <c r="I1" s="389"/>
      <c r="J1" s="389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19" t="s">
        <v>281</v>
      </c>
      <c r="B2" s="389"/>
      <c r="C2" s="389"/>
      <c r="D2" s="389"/>
      <c r="E2" s="389"/>
      <c r="F2" s="389"/>
      <c r="G2" s="389"/>
      <c r="H2" s="389"/>
      <c r="I2" s="389"/>
      <c r="J2" s="389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08" t="str">
        <f>IF(AND(RESULTADOS!$G$43="Sim",RESULTADOS!$D$43&lt;&gt;""),RESULTADOS!$D$43,"")</f>
        <v/>
      </c>
      <c r="E5" s="409"/>
      <c r="F5" s="409"/>
      <c r="G5" s="409"/>
      <c r="H5" s="409"/>
      <c r="I5" s="409"/>
      <c r="J5" s="410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12" t="s">
        <v>289</v>
      </c>
      <c r="B6" s="389"/>
      <c r="C6" s="389"/>
      <c r="D6" s="389"/>
      <c r="E6" s="389"/>
      <c r="F6" s="389"/>
      <c r="G6" s="389"/>
      <c r="H6" s="389"/>
      <c r="I6" s="389"/>
      <c r="J6" s="389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11" t="s">
        <v>290</v>
      </c>
      <c r="B8" s="389"/>
      <c r="C8" s="389"/>
      <c r="D8" s="389"/>
      <c r="E8" s="389"/>
      <c r="F8" s="389"/>
      <c r="G8" s="389"/>
      <c r="H8" s="389"/>
      <c r="I8" s="389"/>
      <c r="J8" s="389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IF(COUNTIFS(itens_Consumidos!$E$2:$E$200,"&gt;0")=0,"",0)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18" t="s">
        <v>300</v>
      </c>
      <c r="B17" s="389"/>
      <c r="C17" s="389"/>
      <c r="D17" s="389"/>
      <c r="E17" s="389"/>
      <c r="F17" s="389"/>
      <c r="G17" s="389"/>
      <c r="H17" s="389"/>
      <c r="I17" s="389"/>
      <c r="J17" s="389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11" t="s">
        <v>301</v>
      </c>
      <c r="B19" s="389"/>
      <c r="C19" s="389"/>
      <c r="D19" s="389"/>
      <c r="E19" s="389"/>
      <c r="F19" s="389"/>
      <c r="G19" s="389"/>
      <c r="H19" s="389"/>
      <c r="I19" s="389"/>
      <c r="J19" s="389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463</v>
      </c>
      <c r="D20" s="58" t="str">
        <f>IF(COUNTIF(financeiro!$C$2:$C$73,"&lt;&gt;")=0,"",ROUND(SUM(financeiro!$C$2:$C$73),2))</f>
        <v/>
      </c>
      <c r="E20" s="58" t="s">
        <v>466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08" t="str">
        <f>IF(AND(RESULTADOS!$G$44="Sim",RESULTADOS!$D$44&lt;&gt;""),RESULTADOS!$D$44,"")</f>
        <v/>
      </c>
      <c r="E24" s="409"/>
      <c r="F24" s="409"/>
      <c r="G24" s="409"/>
      <c r="H24" s="409"/>
      <c r="I24" s="409"/>
      <c r="J24" s="410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08" t="str">
        <f>IF(AND(RESULTADOS!$G$45="Sim",RESULTADOS!$D$45&lt;&gt;""),RESULTADOS!$D$45,"")</f>
        <v/>
      </c>
      <c r="E25" s="409"/>
      <c r="F25" s="409"/>
      <c r="G25" s="409"/>
      <c r="H25" s="409"/>
      <c r="I25" s="409"/>
      <c r="J25" s="410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13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09"/>
      <c r="G26" s="409"/>
      <c r="H26" s="409"/>
      <c r="I26" s="409"/>
      <c r="J26" s="410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19" t="s">
        <v>319</v>
      </c>
      <c r="B27" s="389"/>
      <c r="C27" s="389"/>
      <c r="D27" s="389"/>
      <c r="E27" s="389"/>
      <c r="F27" s="389"/>
      <c r="G27" s="389"/>
      <c r="H27" s="389"/>
      <c r="I27" s="389"/>
      <c r="J27" s="389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11" t="s">
        <v>326</v>
      </c>
      <c r="B30" s="389"/>
      <c r="C30" s="389"/>
      <c r="D30" s="389"/>
      <c r="E30" s="389"/>
      <c r="F30" s="389"/>
      <c r="G30" s="389"/>
      <c r="H30" s="389"/>
      <c r="I30" s="389"/>
      <c r="J30" s="389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15"/>
      <c r="C36" s="416"/>
      <c r="D36" s="416"/>
      <c r="E36" s="417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472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550</v>
      </c>
      <c r="T39" s="471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11" t="s">
        <v>346</v>
      </c>
      <c r="B40" s="389"/>
      <c r="C40" s="389"/>
      <c r="D40" s="389"/>
      <c r="E40" s="389"/>
      <c r="F40" s="389"/>
      <c r="G40" s="389"/>
      <c r="H40" s="389"/>
      <c r="I40" s="389"/>
      <c r="J40" s="389"/>
      <c r="K40" s="57"/>
      <c r="L40" s="57"/>
      <c r="M40" s="57"/>
      <c r="N40" s="57"/>
      <c r="O40" s="57"/>
      <c r="P40" s="57"/>
      <c r="Q40" s="57"/>
      <c r="S40" t="s">
        <v>536</v>
      </c>
      <c r="T40" s="367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551</v>
      </c>
      <c r="T41" s="471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552</v>
      </c>
      <c r="T42" s="471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553</v>
      </c>
      <c r="T43" s="471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554</v>
      </c>
      <c r="T44" s="471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555</v>
      </c>
      <c r="T45" s="471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556</v>
      </c>
      <c r="T46" s="471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557</v>
      </c>
      <c r="T47" s="471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12"/>
      <c r="B48" s="389"/>
      <c r="C48" s="389"/>
      <c r="D48" s="389"/>
      <c r="E48" s="389"/>
      <c r="F48" s="389"/>
      <c r="G48" s="389"/>
      <c r="H48" s="389"/>
      <c r="I48" s="389"/>
      <c r="J48" s="389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12"/>
      <c r="B49" s="389"/>
      <c r="C49" s="389"/>
      <c r="D49" s="389"/>
      <c r="E49" s="389"/>
      <c r="F49" s="389"/>
      <c r="G49" s="389"/>
      <c r="H49" s="389"/>
      <c r="I49" s="389"/>
      <c r="J49" s="389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06" t="s">
        <v>374</v>
      </c>
      <c r="B52" s="407"/>
      <c r="C52" s="407"/>
      <c r="D52" s="407"/>
      <c r="E52" s="407"/>
      <c r="F52" s="407"/>
      <c r="G52" s="407"/>
      <c r="H52" s="407"/>
      <c r="I52" s="57"/>
      <c r="J52" s="406" t="s">
        <v>375</v>
      </c>
      <c r="K52" s="407"/>
      <c r="L52" s="407"/>
      <c r="M52" s="407"/>
      <c r="N52" s="407"/>
      <c r="O52" s="407"/>
      <c r="P52" s="407"/>
      <c r="Q52" s="407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455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456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457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458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459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460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461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462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8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7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6" priority="4">
      <formula>OR(ISNUMBER(SEARCH("MANUAL",F36)),ISNUMBER(SEARCH("DIVERGENTE",F36)),ISNUMBER(SEARCH("INCOMPLETO",F36)))</formula>
    </cfRule>
  </conditionalFormatting>
  <conditionalFormatting sqref="J4">
    <cfRule type="expression" dxfId="35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4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32" t="s">
        <v>277</v>
      </c>
      <c r="B1" s="432"/>
      <c r="C1" s="432"/>
      <c r="D1" s="432"/>
      <c r="E1" s="432"/>
      <c r="F1" s="432"/>
      <c r="G1" s="433" t="str">
        <f ca="1">$B$3</f>
        <v>REVISE</v>
      </c>
      <c r="H1" s="434"/>
    </row>
    <row r="2" spans="1:10" ht="90.5" customHeight="1" x14ac:dyDescent="0.3">
      <c r="A2" s="435" t="s">
        <v>449</v>
      </c>
      <c r="B2" s="435"/>
      <c r="C2" s="435"/>
      <c r="D2" s="435"/>
      <c r="E2" s="435"/>
      <c r="F2" s="435"/>
      <c r="G2" s="436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36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39" t="str">
        <f>$D$6</f>
        <v/>
      </c>
      <c r="H3" s="440"/>
      <c r="J3" s="244" t="s">
        <v>47</v>
      </c>
    </row>
    <row r="4" spans="1:10" ht="18" customHeight="1" x14ac:dyDescent="0.3">
      <c r="A4" s="288" t="str">
        <f>IF(MEMORIA_RESULTADOS!$B$4="PCs","VTA OFICIAL — inclui retroativo reconhecido + retroativo potencial","VTA OFICIAL")</f>
        <v>VTA OFICIAL</v>
      </c>
      <c r="B4" s="289"/>
      <c r="C4" s="317" t="str">
        <f>$H$8</f>
        <v>REVISE</v>
      </c>
      <c r="D4" s="318" t="s">
        <v>539</v>
      </c>
      <c r="E4" s="319" t="str">
        <f>$H$14</f>
        <v>REVISE</v>
      </c>
      <c r="F4" s="318" t="s">
        <v>454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41" t="str">
        <f>$D$22</f>
        <v/>
      </c>
      <c r="E5" s="442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37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38"/>
      <c r="D7" s="438"/>
      <c r="E7" s="438"/>
      <c r="F7" s="438"/>
      <c r="G7" s="438"/>
      <c r="H7" s="438"/>
    </row>
    <row r="8" spans="1:10" ht="15" customHeight="1" x14ac:dyDescent="0.3">
      <c r="A8" s="371" t="str">
        <f>IF(MEMORIA_RESULTADOS!$B$4&lt;&gt;"PCs","","RETROATIVO POTENCIAL — POTENCIAL (incorporado ao VTA)")</f>
        <v/>
      </c>
      <c r="B8" s="371"/>
      <c r="C8" s="372" t="str">
        <f>IF(MEMORIA_RESULTADOS!$B$4&lt;&gt;"PCs","",IFERROR(RETROATIVO_POTENCIAL_VTA,""))</f>
        <v/>
      </c>
      <c r="D8" s="373" t="str">
        <f>IF(MEMORIA_RESULTADOS!$B$4&lt;&gt;"PCs","","RETROATIVO CONSIDERADO NO VTA")</f>
        <v/>
      </c>
      <c r="E8" s="374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28" t="s">
        <v>494</v>
      </c>
      <c r="B9" s="428"/>
      <c r="C9" s="428"/>
      <c r="D9" s="428"/>
      <c r="E9" s="428"/>
      <c r="F9" s="428"/>
      <c r="G9" s="428"/>
      <c r="H9" s="428"/>
      <c r="J9" s="252">
        <f>COUNTIF(parametros!$A$3:$A$6,"Sim")</f>
        <v>0</v>
      </c>
    </row>
    <row r="10" spans="1:10" ht="46" hidden="1" customHeight="1" x14ac:dyDescent="0.3">
      <c r="A10" s="257" t="s">
        <v>518</v>
      </c>
      <c r="B10" s="258" t="str">
        <f ca="1">IF(MEMORIA_RESULTADOS!$W$50="","",MEMORIA_RESULTADOS!$W$50)</f>
        <v/>
      </c>
      <c r="C10" s="443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44"/>
      <c r="E10" s="444"/>
      <c r="F10" s="443" t="s">
        <v>519</v>
      </c>
      <c r="G10" s="444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520</v>
      </c>
      <c r="B11" s="298" t="str">
        <f>IF(MEMORIA_RESULTADOS!$W$48="","",MEMORIA_RESULTADOS!$W$48)</f>
        <v/>
      </c>
      <c r="C11" s="447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48"/>
      <c r="E11" s="448"/>
      <c r="F11" s="447" t="s">
        <v>521</v>
      </c>
      <c r="G11" s="448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522</v>
      </c>
      <c r="B12" s="298" t="str">
        <f>IFERROR(comparativo_VTA!$B$208,"")</f>
        <v/>
      </c>
      <c r="C12" s="447" t="s">
        <v>523</v>
      </c>
      <c r="D12" s="448"/>
      <c r="E12" s="448"/>
      <c r="F12" s="447" t="s">
        <v>524</v>
      </c>
      <c r="G12" s="448"/>
      <c r="H12" s="302" t="s">
        <v>428</v>
      </c>
    </row>
    <row r="13" spans="1:10" ht="46" hidden="1" customHeight="1" x14ac:dyDescent="0.3">
      <c r="A13" s="299" t="s">
        <v>525</v>
      </c>
      <c r="B13" s="300" t="str">
        <f ca="1">IF(MEMORIA_RESULTADOS!$W$51="","",MEMORIA_RESULTADOS!$W$51)</f>
        <v/>
      </c>
      <c r="C13" s="445" t="s">
        <v>526</v>
      </c>
      <c r="D13" s="446"/>
      <c r="E13" s="446"/>
      <c r="F13" s="445" t="s">
        <v>527</v>
      </c>
      <c r="G13" s="446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495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498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63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64"/>
      <c r="G16" s="464"/>
      <c r="H16" s="464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65"/>
      <c r="F17" s="464"/>
      <c r="G17" s="464"/>
      <c r="H17" s="464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65"/>
      <c r="F18" s="464"/>
      <c r="G18" s="464"/>
      <c r="H18" s="464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65"/>
      <c r="F19" s="464"/>
      <c r="G19" s="464"/>
      <c r="H19" s="464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65"/>
      <c r="F20" s="464"/>
      <c r="G20" s="464"/>
      <c r="H20" s="464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65"/>
      <c r="F21" s="464"/>
      <c r="G21" s="464"/>
      <c r="H21" s="464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67" t="str">
        <f>IF($G$22="","","Retroativo potencial — em análise"&amp;CHAR(10)&amp;"Valor potencial relacionado a itens ainda em análise. Não integra o retroativo reconhecido enquanto não houver confirmação.")</f>
        <v/>
      </c>
      <c r="F22" s="468"/>
      <c r="G22" s="469" t="str">
        <f>IF($B$5&lt;&gt;"PCs","",IFERROR(RETROATIVO_POTENCIAL_PC,""))</f>
        <v/>
      </c>
      <c r="H22" s="470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51" t="str">
        <f>IF(OR(MEMORIA_RESULTADOS!$B$4&lt;&gt;"PCs",MEMORIA_RESULTADOS!$T$28=0),"","A diferença sem efeito financeiro não constitui "&amp;"retroativo. Consulte itens_PC -&gt; EFEITO_FINANCEIRO_PC = Nao.")</f>
        <v/>
      </c>
      <c r="F23" s="452"/>
      <c r="G23" s="452"/>
      <c r="H23" s="452"/>
    </row>
    <row r="24" spans="1:8" ht="22" customHeight="1" x14ac:dyDescent="0.3">
      <c r="A24" s="267" t="s">
        <v>534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496</v>
      </c>
      <c r="C25" s="271" t="s">
        <v>497</v>
      </c>
      <c r="D25" s="272" t="s">
        <v>498</v>
      </c>
      <c r="E25" s="453" t="s">
        <v>450</v>
      </c>
      <c r="F25" s="454"/>
      <c r="G25" s="454"/>
      <c r="H25" s="454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59"/>
      <c r="D34" s="460"/>
      <c r="E34" s="461" t="s">
        <v>451</v>
      </c>
      <c r="F34" s="462"/>
      <c r="G34" s="462"/>
      <c r="H34" s="462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55" t="str">
        <f ca="1">IF($B$35="","Aguardando dado","")</f>
        <v>Aguardando dado</v>
      </c>
      <c r="D35" s="456"/>
      <c r="E35" s="463" t="str">
        <f ca="1">IF($A$39="","",$A$39)</f>
        <v/>
      </c>
      <c r="F35" s="464"/>
      <c r="G35" s="464"/>
      <c r="H35" s="466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55" t="str">
        <f ca="1">IF($B$36="","Aguardando dado","")</f>
        <v>Aguardando dado</v>
      </c>
      <c r="D36" s="456"/>
      <c r="E36" s="465"/>
      <c r="F36" s="464"/>
      <c r="G36" s="464"/>
      <c r="H36" s="466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55" t="str">
        <f>IF($B$37="","Aguardando dado","")</f>
        <v>Aguardando dado</v>
      </c>
      <c r="D37" s="456"/>
      <c r="E37" s="465"/>
      <c r="F37" s="464"/>
      <c r="G37" s="464"/>
      <c r="H37" s="466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57" t="str">
        <f ca="1">IF($B$38="","Aguardando dado","")</f>
        <v>Aguardando dado</v>
      </c>
      <c r="D38" s="458"/>
      <c r="E38" s="465"/>
      <c r="F38" s="464"/>
      <c r="G38" s="464"/>
      <c r="H38" s="466"/>
    </row>
    <row r="39" spans="1:8" ht="15" customHeight="1" x14ac:dyDescent="0.3">
      <c r="A39" s="449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50"/>
      <c r="C39" s="450"/>
      <c r="D39" s="450"/>
      <c r="E39" s="450"/>
      <c r="F39" s="450"/>
      <c r="G39" s="450"/>
      <c r="H39" s="450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452</v>
      </c>
      <c r="B41" s="279"/>
      <c r="C41" s="279"/>
      <c r="D41" s="327" t="s">
        <v>453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27" t="s">
        <v>535</v>
      </c>
      <c r="B53" s="428"/>
      <c r="C53" s="428"/>
      <c r="D53" s="428"/>
      <c r="E53" s="428"/>
      <c r="F53" s="428"/>
      <c r="G53" s="428"/>
      <c r="H53" s="429"/>
    </row>
    <row r="54" spans="1:8" ht="13" customHeight="1" x14ac:dyDescent="0.3">
      <c r="A54" s="359" t="s">
        <v>445</v>
      </c>
      <c r="B54" s="360" t="s">
        <v>427</v>
      </c>
      <c r="C54" s="430" t="s">
        <v>499</v>
      </c>
      <c r="D54" s="431"/>
      <c r="E54" s="430"/>
      <c r="F54" s="430"/>
      <c r="G54" s="430"/>
      <c r="H54" s="430"/>
    </row>
    <row r="55" spans="1:8" ht="30" customHeight="1" x14ac:dyDescent="0.3">
      <c r="A55" s="334" t="s">
        <v>500</v>
      </c>
      <c r="B55" s="346" t="str">
        <f>IF($B$5&lt;&gt;"PCs","",MEMORIA_RESULTADOS!$T$33)</f>
        <v/>
      </c>
      <c r="C55" s="424" t="s">
        <v>501</v>
      </c>
      <c r="D55" s="425"/>
      <c r="E55" s="424"/>
      <c r="F55" s="424"/>
      <c r="G55" s="424"/>
      <c r="H55" s="424"/>
    </row>
    <row r="56" spans="1:8" ht="30" customHeight="1" x14ac:dyDescent="0.3">
      <c r="A56" s="334" t="s">
        <v>502</v>
      </c>
      <c r="B56" s="346" t="str">
        <f>IF($B$5&lt;&gt;"PCs","",MEMORIA_RESULTADOS!$T$34)</f>
        <v/>
      </c>
      <c r="C56" s="424" t="s">
        <v>503</v>
      </c>
      <c r="D56" s="425"/>
      <c r="E56" s="424"/>
      <c r="F56" s="424"/>
      <c r="G56" s="424"/>
      <c r="H56" s="424"/>
    </row>
    <row r="57" spans="1:8" ht="30" customHeight="1" x14ac:dyDescent="0.3">
      <c r="A57" s="334" t="s">
        <v>504</v>
      </c>
      <c r="B57" s="346" t="str">
        <f>IF($B$5&lt;&gt;"PCs","",MEMORIA_RESULTADOS!$T$35)</f>
        <v/>
      </c>
      <c r="C57" s="424" t="s">
        <v>505</v>
      </c>
      <c r="D57" s="425"/>
      <c r="E57" s="424"/>
      <c r="F57" s="424"/>
      <c r="G57" s="424"/>
      <c r="H57" s="424"/>
    </row>
    <row r="58" spans="1:8" ht="30" customHeight="1" x14ac:dyDescent="0.3">
      <c r="A58" s="334" t="s">
        <v>446</v>
      </c>
      <c r="B58" s="346" t="str">
        <f>IF($B$5&lt;&gt;"PCs","",MEMORIA_RESULTADOS!$T$36)</f>
        <v/>
      </c>
      <c r="C58" s="424" t="s">
        <v>506</v>
      </c>
      <c r="D58" s="425"/>
      <c r="E58" s="424"/>
      <c r="F58" s="424"/>
      <c r="G58" s="424"/>
      <c r="H58" s="424"/>
    </row>
    <row r="59" spans="1:8" ht="30" customHeight="1" x14ac:dyDescent="0.3">
      <c r="A59" s="334" t="s">
        <v>447</v>
      </c>
      <c r="B59" s="346" t="str">
        <f>IF($B$5&lt;&gt;"PCs","",MEMORIA_RESULTADOS!$T$37)</f>
        <v/>
      </c>
      <c r="C59" s="424" t="s">
        <v>507</v>
      </c>
      <c r="D59" s="425"/>
      <c r="E59" s="424"/>
      <c r="F59" s="424"/>
      <c r="G59" s="424"/>
      <c r="H59" s="424"/>
    </row>
    <row r="60" spans="1:8" ht="36" customHeight="1" x14ac:dyDescent="0.3">
      <c r="A60" s="334" t="s">
        <v>448</v>
      </c>
      <c r="B60" s="346" t="str">
        <f>$D$22</f>
        <v/>
      </c>
      <c r="C60" s="424" t="s">
        <v>540</v>
      </c>
      <c r="D60" s="425"/>
      <c r="E60" s="424"/>
      <c r="F60" s="424"/>
      <c r="G60" s="424"/>
      <c r="H60" s="424"/>
    </row>
    <row r="61" spans="1:8" ht="30" customHeight="1" x14ac:dyDescent="0.3">
      <c r="A61" s="334" t="s">
        <v>541</v>
      </c>
      <c r="B61" s="346" t="str">
        <f>IF($B$5&lt;&gt;"PCs","",IFERROR(RETROATIVO_POTENCIAL_VTA,""))</f>
        <v/>
      </c>
      <c r="C61" s="424" t="s">
        <v>558</v>
      </c>
      <c r="D61" s="425"/>
      <c r="E61" s="424"/>
      <c r="F61" s="424"/>
      <c r="G61" s="424"/>
      <c r="H61" s="424"/>
    </row>
    <row r="62" spans="1:8" ht="30" customHeight="1" x14ac:dyDescent="0.3">
      <c r="A62" s="334" t="s">
        <v>542</v>
      </c>
      <c r="B62" s="346" t="str">
        <f>IF(OR($B$5&lt;&gt;"PCs",$D$22=""),"",ROUND(N($D$22)+N(RETROATIVO_POTENCIAL_VTA),2))</f>
        <v/>
      </c>
      <c r="C62" s="424" t="s">
        <v>543</v>
      </c>
      <c r="D62" s="425"/>
      <c r="E62" s="424"/>
      <c r="F62" s="424"/>
      <c r="G62" s="424"/>
      <c r="H62" s="424"/>
    </row>
    <row r="63" spans="1:8" ht="30" customHeight="1" x14ac:dyDescent="0.3">
      <c r="A63" s="334" t="s">
        <v>544</v>
      </c>
      <c r="B63" s="346" t="str">
        <f ca="1">$B$36</f>
        <v/>
      </c>
      <c r="C63" s="424" t="s">
        <v>508</v>
      </c>
      <c r="D63" s="425"/>
      <c r="E63" s="424"/>
      <c r="F63" s="424"/>
      <c r="G63" s="424"/>
      <c r="H63" s="424"/>
    </row>
    <row r="64" spans="1:8" ht="30" customHeight="1" x14ac:dyDescent="0.3">
      <c r="A64" s="334" t="s">
        <v>545</v>
      </c>
      <c r="B64" s="346" t="str">
        <f ca="1">$B$38</f>
        <v/>
      </c>
      <c r="C64" s="424" t="s">
        <v>509</v>
      </c>
      <c r="D64" s="425"/>
      <c r="E64" s="424"/>
      <c r="F64" s="424"/>
      <c r="G64" s="424"/>
      <c r="H64" s="424"/>
    </row>
    <row r="65" spans="1:8" ht="30" customHeight="1" x14ac:dyDescent="0.3">
      <c r="A65" s="334" t="s">
        <v>546</v>
      </c>
      <c r="B65" s="347" t="str">
        <f>IF(VTA_FINAL="","",VTA_FINAL)</f>
        <v/>
      </c>
      <c r="C65" s="424" t="s">
        <v>547</v>
      </c>
      <c r="D65" s="425"/>
      <c r="E65" s="424"/>
      <c r="F65" s="424"/>
      <c r="G65" s="424"/>
      <c r="H65" s="424"/>
    </row>
    <row r="66" spans="1:8" ht="30" customHeight="1" x14ac:dyDescent="0.3">
      <c r="A66" s="334" t="s">
        <v>548</v>
      </c>
      <c r="B66" s="346" t="str">
        <f ca="1">$B$13</f>
        <v/>
      </c>
      <c r="C66" s="424" t="s">
        <v>510</v>
      </c>
      <c r="D66" s="425"/>
      <c r="E66" s="424"/>
      <c r="F66" s="424"/>
      <c r="G66" s="424"/>
      <c r="H66" s="424"/>
    </row>
    <row r="67" spans="1:8" ht="30" customHeight="1" x14ac:dyDescent="0.3">
      <c r="A67" s="334" t="s">
        <v>549</v>
      </c>
      <c r="B67" s="375" t="str">
        <f ca="1">$B$3</f>
        <v>REVISE</v>
      </c>
      <c r="C67" s="424" t="s">
        <v>511</v>
      </c>
      <c r="D67" s="425"/>
      <c r="E67" s="424"/>
      <c r="F67" s="424"/>
      <c r="G67" s="424"/>
      <c r="H67" s="424"/>
    </row>
    <row r="68" spans="1:8" ht="14.5" x14ac:dyDescent="0.3">
      <c r="A68" s="426" t="s">
        <v>464</v>
      </c>
      <c r="B68" s="426"/>
      <c r="C68" s="426"/>
      <c r="D68" s="426"/>
      <c r="E68" s="426"/>
      <c r="F68" s="426"/>
      <c r="G68" s="426"/>
      <c r="H68" s="426"/>
    </row>
    <row r="69" spans="1:8" ht="34" customHeight="1" x14ac:dyDescent="0.3">
      <c r="A69" s="420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20"/>
      <c r="C69" s="420"/>
      <c r="D69" s="420"/>
      <c r="E69" s="420"/>
      <c r="F69" s="420"/>
      <c r="G69" s="420"/>
      <c r="H69" s="420"/>
    </row>
    <row r="70" spans="1:8" x14ac:dyDescent="0.3">
      <c r="A70" s="365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5"/>
      <c r="C70" s="365"/>
      <c r="D70" s="365"/>
      <c r="E70" s="365"/>
      <c r="F70" s="365"/>
      <c r="G70" s="365"/>
      <c r="H70" s="365"/>
    </row>
    <row r="71" spans="1:8" ht="14.5" x14ac:dyDescent="0.3">
      <c r="A71" s="383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83"/>
      <c r="C71" s="383"/>
      <c r="D71" s="383"/>
      <c r="E71" s="383"/>
      <c r="F71" s="383"/>
      <c r="G71" s="383"/>
      <c r="H71" s="383"/>
    </row>
    <row r="72" spans="1:8" x14ac:dyDescent="0.3">
      <c r="A72" s="335" t="s">
        <v>291</v>
      </c>
      <c r="B72" s="335" t="s">
        <v>512</v>
      </c>
      <c r="C72" s="335" t="s">
        <v>513</v>
      </c>
      <c r="D72" s="335" t="s">
        <v>498</v>
      </c>
      <c r="E72" s="335" t="s">
        <v>514</v>
      </c>
    </row>
    <row r="73" spans="1:8" x14ac:dyDescent="0.3">
      <c r="A73" s="336" t="s">
        <v>21</v>
      </c>
      <c r="B73" s="34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6" t="str">
        <f>IF(MEMORIA_RESULTADOS!$B$4&lt;&gt;"Financeiro","Nao aplicavel ao metodo selecionado",IF(OR(B73="",C73="",NOT(ISNUMBER(C73))),"",ROUND(B73-C73,2)))</f>
        <v>Nao aplicavel ao metodo selecionado</v>
      </c>
      <c r="E73" s="337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6" t="s">
        <v>22</v>
      </c>
      <c r="B74" s="34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6" t="str">
        <f>IF(MEMORIA_RESULTADOS!$B$4&lt;&gt;"Financeiro","Nao aplicavel ao metodo selecionado",IF(OR(B74="",C74="",NOT(ISNUMBER(C74))),"",ROUND(B74-C74,2)))</f>
        <v>Nao aplicavel ao metodo selecionado</v>
      </c>
      <c r="E74" s="337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6" t="s">
        <v>23</v>
      </c>
      <c r="B75" s="34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6" t="str">
        <f>IF(MEMORIA_RESULTADOS!$B$4&lt;&gt;"Financeiro","Nao aplicavel ao metodo selecionado",IF(OR(B75="",C75="",NOT(ISNUMBER(C75))),"",ROUND(B75-C75,2)))</f>
        <v>Nao aplicavel ao metodo selecionado</v>
      </c>
      <c r="E75" s="337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6" t="s">
        <v>24</v>
      </c>
      <c r="B76" s="34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6" t="str">
        <f>IF(MEMORIA_RESULTADOS!$B$4&lt;&gt;"Financeiro","Nao aplicavel ao metodo selecionado",IF(OR(B76="",C76="",NOT(ISNUMBER(C76))),"",ROUND(B76-C76,2)))</f>
        <v>Nao aplicavel ao metodo selecionado</v>
      </c>
      <c r="E76" s="337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2" t="s">
        <v>25</v>
      </c>
      <c r="B77" s="363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3" t="str">
        <f>IF(MEMORIA_RESULTADOS!$B$4&lt;&gt;"Financeiro","Nao aplicavel ao metodo selecionado","Sem historico quantitativo suficiente")</f>
        <v>Nao aplicavel ao metodo selecionado</v>
      </c>
      <c r="D77" s="363" t="str">
        <f>IF(MEMORIA_RESULTADOS!$B$4&lt;&gt;"Financeiro","Nao aplicavel ao metodo selecionado",IF(OR(B77="",C77="",NOT(ISNUMBER(C77))),"",ROUND(B77-C77,2)))</f>
        <v>Nao aplicavel ao metodo selecionado</v>
      </c>
      <c r="E77" s="364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1"/>
      <c r="G77" s="361"/>
      <c r="H77" s="361"/>
    </row>
    <row r="78" spans="1:8" x14ac:dyDescent="0.3">
      <c r="A78" s="366"/>
      <c r="B78" s="361"/>
      <c r="C78" s="361"/>
      <c r="D78" s="361"/>
      <c r="E78" s="361"/>
      <c r="F78" s="361"/>
      <c r="G78" s="361"/>
      <c r="H78" s="361"/>
    </row>
    <row r="79" spans="1:8" ht="15.5" x14ac:dyDescent="0.3">
      <c r="A79" s="421" t="s">
        <v>515</v>
      </c>
      <c r="B79" s="421"/>
      <c r="C79" s="421"/>
      <c r="D79" s="421"/>
      <c r="E79" s="421"/>
      <c r="F79" s="421"/>
      <c r="G79" s="421"/>
      <c r="H79" s="421"/>
    </row>
    <row r="80" spans="1:8" ht="28" customHeight="1" x14ac:dyDescent="0.3">
      <c r="A80" s="422" t="s">
        <v>516</v>
      </c>
      <c r="B80" s="422"/>
      <c r="C80" s="422"/>
      <c r="D80" s="422"/>
      <c r="E80" s="422"/>
      <c r="F80" s="422"/>
      <c r="G80" s="422"/>
      <c r="H80" s="422"/>
    </row>
    <row r="81" spans="1:8" ht="28" customHeight="1" x14ac:dyDescent="0.3">
      <c r="A81" s="423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423"/>
      <c r="C81" s="423"/>
      <c r="D81" s="423"/>
      <c r="E81" s="423"/>
      <c r="F81" s="423"/>
      <c r="G81" s="423"/>
      <c r="H81" s="423"/>
    </row>
    <row r="82" spans="1:8" x14ac:dyDescent="0.3">
      <c r="A82" s="338" t="s">
        <v>467</v>
      </c>
      <c r="B82" s="339" t="s">
        <v>427</v>
      </c>
      <c r="C82" s="338" t="s">
        <v>468</v>
      </c>
    </row>
    <row r="83" spans="1:8" ht="24" x14ac:dyDescent="0.3">
      <c r="A83" s="340" t="s">
        <v>469</v>
      </c>
      <c r="B83" s="346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</f>
        <v>Selecione o metodo em CONTROLE!B1.</v>
      </c>
    </row>
    <row r="84" spans="1:8" x14ac:dyDescent="0.3">
      <c r="A84" s="340" t="str">
        <f>IF(MEMORIA_RESULTADOS!$B$4="PCs","(+) Retroativo potencial — POTENCIAL","(+) Ajustes ainda devidos")</f>
        <v>(+) Ajustes ainda devidos</v>
      </c>
      <c r="B84" s="346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1" t="str">
        <f>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</f>
        <v/>
      </c>
    </row>
    <row r="85" spans="1:8" ht="24" x14ac:dyDescent="0.3">
      <c r="A85" s="340" t="s">
        <v>470</v>
      </c>
      <c r="B85" s="346" t="str">
        <f>IF(MEMORIA_RESULTADOS!$D$35="","",MEMORIA_RESULTADOS!$D$35)</f>
        <v/>
      </c>
      <c r="C85" s="341" t="s">
        <v>474</v>
      </c>
    </row>
    <row r="86" spans="1:8" ht="24.5" x14ac:dyDescent="0.35">
      <c r="A86" s="343" t="s">
        <v>471</v>
      </c>
      <c r="B86" s="348" t="str">
        <f>IF(VTA_FINAL="","",VTA_FINAL)</f>
        <v/>
      </c>
      <c r="C86" s="342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5" t="s">
        <v>517</v>
      </c>
      <c r="B87" s="349" t="str">
        <f>IF(OR($B$83="",$B$85="",$B$86=""),"",ROUND($B$86-($B$83+N($B$84)+$B$85),2))</f>
        <v/>
      </c>
      <c r="C87" s="344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0"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  <mergeCell ref="F10:G10"/>
    <mergeCell ref="F13:G13"/>
    <mergeCell ref="C12:E12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  <mergeCell ref="A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A68:H68"/>
    <mergeCell ref="C67:H67"/>
    <mergeCell ref="A69:H69"/>
    <mergeCell ref="A71:H71"/>
    <mergeCell ref="A79:H79"/>
    <mergeCell ref="A80:H80"/>
    <mergeCell ref="A81:H81"/>
  </mergeCells>
  <conditionalFormatting sqref="A61:B61">
    <cfRule type="expression" dxfId="33" priority="60" stopIfTrue="1">
      <formula>$B$61&lt;&gt;""</formula>
    </cfRule>
  </conditionalFormatting>
  <conditionalFormatting sqref="A8:C8">
    <cfRule type="expression" dxfId="32" priority="58" stopIfTrue="1">
      <formula>$C$8&lt;&gt;""</formula>
    </cfRule>
  </conditionalFormatting>
  <conditionalFormatting sqref="A84:C84">
    <cfRule type="expression" dxfId="31" priority="56" stopIfTrue="1">
      <formula>(METODO_RETROATIVO="PCs")*(N(RETROATIVO_POTENCIAL_APURADO)&lt;&gt;0)</formula>
    </cfRule>
  </conditionalFormatting>
  <conditionalFormatting sqref="A7:H7">
    <cfRule type="expression" dxfId="29" priority="53" stopIfTrue="1">
      <formula>$J$5=0</formula>
    </cfRule>
    <cfRule type="expression" dxfId="28" priority="54" stopIfTrue="1">
      <formula>$J$5&gt;0</formula>
    </cfRule>
  </conditionalFormatting>
  <conditionalFormatting sqref="B38">
    <cfRule type="cellIs" dxfId="27" priority="28" stopIfTrue="1" operator="lessThan">
      <formula>0</formula>
    </cfRule>
  </conditionalFormatting>
  <conditionalFormatting sqref="C4">
    <cfRule type="cellIs" dxfId="26" priority="46" stopIfTrue="1" operator="equal">
      <formula>"VALIDADO"</formula>
    </cfRule>
    <cfRule type="cellIs" dxfId="25" priority="44" stopIfTrue="1" operator="equal">
      <formula>"REVISE"</formula>
    </cfRule>
    <cfRule type="cellIs" dxfId="24" priority="45" stopIfTrue="1" operator="equal">
      <formula>"ESTIMADO"</formula>
    </cfRule>
  </conditionalFormatting>
  <conditionalFormatting sqref="C86">
    <cfRule type="expression" dxfId="23" priority="57" stopIfTrue="1">
      <formula>(METODO_RETROATIVO="PCs")*(N(RETROATIVO_POTENCIAL_APURADO)&lt;&gt;0)</formula>
    </cfRule>
  </conditionalFormatting>
  <conditionalFormatting sqref="D4:D5 D6:E6">
    <cfRule type="expression" dxfId="22" priority="40" stopIfTrue="1">
      <formula>$H$14="VALIDADO"</formula>
    </cfRule>
  </conditionalFormatting>
  <conditionalFormatting sqref="D8:E8">
    <cfRule type="expression" dxfId="21" priority="59" stopIfTrue="1">
      <formula>$E$8&lt;&gt;""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3" stopIfTrue="1">
      <formula>$H$33="ESTIMADO"</formula>
    </cfRule>
    <cfRule type="expression" dxfId="15" priority="42" stopIfTrue="1">
      <formula>$H$33="REVISE"</formula>
    </cfRule>
    <cfRule type="expression" dxfId="14" priority="41" stopIfTrue="1">
      <formula>$H$33="VALIDADO"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1" stopIfTrue="1" operator="equal">
      <formula>"ESTIMADO"</formula>
    </cfRule>
    <cfRule type="cellIs" dxfId="6" priority="12" stopIfTrue="1" operator="equal">
      <formula>"VALIDADO"</formula>
    </cfRule>
    <cfRule type="cellIs" dxfId="5" priority="10" stopIfTrue="1" operator="equal">
      <formula>"REVISE"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42</vt:i4>
      </vt:variant>
    </vt:vector>
  </HeadingPairs>
  <TitlesOfParts>
    <vt:vector size="57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2026-09-06T14:09:28Z</dcterms:modified>
</cp:coreProperties>
</file>