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ПОБЕДА\"/>
    </mc:Choice>
  </mc:AlternateContent>
  <bookViews>
    <workbookView xWindow="0" yWindow="0" windowWidth="38400" windowHeight="11400" firstSheet="3" activeTab="3"/>
  </bookViews>
  <sheets>
    <sheet name="Заказы" sheetId="2" state="hidden" r:id="rId1"/>
    <sheet name="Люди" sheetId="3" state="hidden" r:id="rId2"/>
    <sheet name="Свод QUERY" sheetId="4" state="hidden" r:id="rId3"/>
    <sheet name="Итого номера по базе" sheetId="7" r:id="rId4"/>
    <sheet name="Лист1" sheetId="8" r:id="rId5"/>
  </sheets>
  <definedNames>
    <definedName name="_xlnm._FilterDatabase" localSheetId="0" hidden="1">Заказы!$A$1:$G$2757</definedName>
    <definedName name="_xlnm._FilterDatabase" localSheetId="3" hidden="1">'Итого номера по базе'!$A$1:$A$1514</definedName>
    <definedName name="_xlnm._FilterDatabase" localSheetId="4" hidden="1">Лист1!$E$1:$E$2061</definedName>
  </definedNames>
  <calcPr calcId="162913"/>
  <extLst>
    <ext uri="GoogleSheetsCustomDataVersion1">
      <go:sheetsCustomData xmlns:go="http://customooxmlschemas.google.com/" r:id="rId9" roundtripDataSignature="AMtx7mi7NRX6VcW9n7ur9eZs9A+EbjbpYA=="/>
    </ext>
  </extLst>
</workbook>
</file>

<file path=xl/calcChain.xml><?xml version="1.0" encoding="utf-8"?>
<calcChain xmlns="http://schemas.openxmlformats.org/spreadsheetml/2006/main">
  <c r="E2" i="8" l="1"/>
  <c r="E194" i="8"/>
  <c r="E207" i="8"/>
  <c r="E208" i="8"/>
  <c r="E209" i="8"/>
  <c r="E210" i="8"/>
  <c r="E211" i="8"/>
  <c r="E182" i="8"/>
  <c r="E42" i="8"/>
  <c r="E74" i="8"/>
  <c r="E102" i="8"/>
  <c r="E212" i="8"/>
  <c r="E213" i="8"/>
  <c r="E214" i="8"/>
  <c r="E68" i="8"/>
  <c r="E215" i="8"/>
  <c r="E216" i="8"/>
  <c r="E217" i="8"/>
  <c r="E218" i="8"/>
  <c r="E219" i="8"/>
  <c r="E220" i="8"/>
  <c r="E121" i="8"/>
  <c r="E221" i="8"/>
  <c r="E222" i="8"/>
  <c r="E223" i="8"/>
  <c r="E224" i="8"/>
  <c r="E69" i="8"/>
  <c r="E225" i="8"/>
  <c r="E226" i="8"/>
  <c r="E227" i="8"/>
  <c r="E228" i="8"/>
  <c r="E229" i="8"/>
  <c r="E230" i="8"/>
  <c r="E231" i="8"/>
  <c r="E124" i="8"/>
  <c r="E125" i="8"/>
  <c r="E232" i="8"/>
  <c r="E233" i="8"/>
  <c r="E234" i="8"/>
  <c r="E235" i="8"/>
  <c r="E236" i="8"/>
  <c r="E237" i="8"/>
  <c r="E200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149" i="8"/>
  <c r="E256" i="8"/>
  <c r="E257" i="8"/>
  <c r="E258" i="8"/>
  <c r="E259" i="8"/>
  <c r="E260" i="8"/>
  <c r="E261" i="8"/>
  <c r="E262" i="8"/>
  <c r="E263" i="8"/>
  <c r="E264" i="8"/>
  <c r="E265" i="8"/>
  <c r="E201" i="8"/>
  <c r="E266" i="8"/>
  <c r="E267" i="8"/>
  <c r="E268" i="8"/>
  <c r="E269" i="8"/>
  <c r="E270" i="8"/>
  <c r="E271" i="8"/>
  <c r="E272" i="8"/>
  <c r="E39" i="8"/>
  <c r="E273" i="8"/>
  <c r="E48" i="8"/>
  <c r="E274" i="8"/>
  <c r="E275" i="8"/>
  <c r="E11" i="8"/>
  <c r="E276" i="8"/>
  <c r="E174" i="8"/>
  <c r="E93" i="8"/>
  <c r="E277" i="8"/>
  <c r="E278" i="8"/>
  <c r="E279" i="8"/>
  <c r="E280" i="8"/>
  <c r="E281" i="8"/>
  <c r="E282" i="8"/>
  <c r="E283" i="8"/>
  <c r="E284" i="8"/>
  <c r="E285" i="8"/>
  <c r="E286" i="8"/>
  <c r="E287" i="8"/>
  <c r="E193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73" i="8"/>
  <c r="E301" i="8"/>
  <c r="E70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24" i="8"/>
  <c r="E314" i="8"/>
  <c r="E9" i="8"/>
  <c r="E140" i="8"/>
  <c r="E315" i="8"/>
  <c r="E316" i="8"/>
  <c r="E204" i="8"/>
  <c r="E317" i="8"/>
  <c r="E318" i="8"/>
  <c r="E60" i="8"/>
  <c r="E50" i="8"/>
  <c r="E319" i="8"/>
  <c r="E77" i="8"/>
  <c r="E320" i="8"/>
  <c r="E143" i="8"/>
  <c r="E321" i="8"/>
  <c r="E322" i="8"/>
  <c r="E323" i="8"/>
  <c r="E67" i="8"/>
  <c r="E75" i="8"/>
  <c r="E90" i="8"/>
  <c r="E324" i="8"/>
  <c r="E63" i="8"/>
  <c r="E188" i="8"/>
  <c r="E119" i="8"/>
  <c r="E325" i="8"/>
  <c r="E326" i="8"/>
  <c r="E327" i="8"/>
  <c r="E328" i="8"/>
  <c r="E62" i="8"/>
  <c r="E329" i="8"/>
  <c r="E17" i="8"/>
  <c r="E330" i="8"/>
  <c r="E331" i="8"/>
  <c r="E198" i="8"/>
  <c r="E332" i="8"/>
  <c r="E178" i="8"/>
  <c r="E130" i="8"/>
  <c r="E6" i="8"/>
  <c r="E13" i="8"/>
  <c r="E333" i="8"/>
  <c r="E334" i="8"/>
  <c r="E335" i="8"/>
  <c r="E336" i="8"/>
  <c r="E4" i="8"/>
  <c r="E337" i="8"/>
  <c r="E338" i="8"/>
  <c r="E199" i="8"/>
  <c r="E29" i="8"/>
  <c r="E186" i="8"/>
  <c r="E5" i="8"/>
  <c r="E91" i="8"/>
  <c r="E339" i="8"/>
  <c r="E191" i="8"/>
  <c r="E167" i="8"/>
  <c r="E340" i="8"/>
  <c r="E161" i="8"/>
  <c r="E172" i="8"/>
  <c r="E341" i="8"/>
  <c r="E136" i="8"/>
  <c r="E54" i="8"/>
  <c r="E342" i="8"/>
  <c r="E343" i="8"/>
  <c r="E59" i="8"/>
  <c r="E14" i="8"/>
  <c r="E344" i="8"/>
  <c r="E345" i="8"/>
  <c r="E346" i="8"/>
  <c r="E165" i="8"/>
  <c r="E347" i="8"/>
  <c r="E348" i="8"/>
  <c r="E89" i="8"/>
  <c r="E78" i="8"/>
  <c r="E349" i="8"/>
  <c r="E169" i="8"/>
  <c r="E350" i="8"/>
  <c r="E351" i="8"/>
  <c r="E195" i="8"/>
  <c r="E352" i="8"/>
  <c r="E57" i="8"/>
  <c r="E112" i="8"/>
  <c r="E353" i="8"/>
  <c r="E354" i="8"/>
  <c r="E355" i="8"/>
  <c r="E146" i="8"/>
  <c r="E356" i="8"/>
  <c r="E357" i="8"/>
  <c r="E87" i="8"/>
  <c r="E34" i="8"/>
  <c r="E358" i="8"/>
  <c r="E37" i="8"/>
  <c r="E127" i="8"/>
  <c r="E359" i="8"/>
  <c r="E142" i="8"/>
  <c r="E360" i="8"/>
  <c r="E361" i="8"/>
  <c r="E21" i="8"/>
  <c r="E168" i="8"/>
  <c r="E362" i="8"/>
  <c r="E363" i="8"/>
  <c r="E364" i="8"/>
  <c r="E365" i="8"/>
  <c r="E366" i="8"/>
  <c r="E367" i="8"/>
  <c r="E368" i="8"/>
  <c r="E99" i="8"/>
  <c r="E28" i="8"/>
  <c r="E155" i="8"/>
  <c r="E123" i="8"/>
  <c r="E53" i="8"/>
  <c r="E369" i="8"/>
  <c r="E370" i="8"/>
  <c r="E371" i="8"/>
  <c r="E372" i="8"/>
  <c r="E373" i="8"/>
  <c r="E374" i="8"/>
  <c r="E375" i="8"/>
  <c r="E376" i="8"/>
  <c r="E377" i="8"/>
  <c r="E378" i="8"/>
  <c r="E379" i="8"/>
  <c r="E45" i="8"/>
  <c r="E101" i="8"/>
  <c r="E380" i="8"/>
  <c r="E381" i="8"/>
  <c r="E382" i="8"/>
  <c r="E383" i="8"/>
  <c r="E27" i="8"/>
  <c r="E384" i="8"/>
  <c r="E385" i="8"/>
  <c r="E386" i="8"/>
  <c r="E387" i="8"/>
  <c r="E388" i="8"/>
  <c r="E389" i="8"/>
  <c r="E390" i="8"/>
  <c r="E391" i="8"/>
  <c r="E132" i="8"/>
  <c r="E392" i="8"/>
  <c r="E393" i="8"/>
  <c r="E202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154" i="8"/>
  <c r="E409" i="8"/>
  <c r="E410" i="8"/>
  <c r="E411" i="8"/>
  <c r="E412" i="8"/>
  <c r="E413" i="8"/>
  <c r="E414" i="8"/>
  <c r="E415" i="8"/>
  <c r="E88" i="8"/>
  <c r="E416" i="8"/>
  <c r="E417" i="8"/>
  <c r="E418" i="8"/>
  <c r="E419" i="8"/>
  <c r="E3" i="8"/>
  <c r="E420" i="8"/>
  <c r="E421" i="8"/>
  <c r="E422" i="8"/>
  <c r="E423" i="8"/>
  <c r="E424" i="8"/>
  <c r="E425" i="8"/>
  <c r="E426" i="8"/>
  <c r="E427" i="8"/>
  <c r="E428" i="8"/>
  <c r="E104" i="8"/>
  <c r="E429" i="8"/>
  <c r="E145" i="8"/>
  <c r="E430" i="8"/>
  <c r="E431" i="8"/>
  <c r="E432" i="8"/>
  <c r="E433" i="8"/>
  <c r="E434" i="8"/>
  <c r="E435" i="8"/>
  <c r="E436" i="8"/>
  <c r="E437" i="8"/>
  <c r="E147" i="8"/>
  <c r="E438" i="8"/>
  <c r="E439" i="8"/>
  <c r="E440" i="8"/>
  <c r="E441" i="8"/>
  <c r="E442" i="8"/>
  <c r="E443" i="8"/>
  <c r="E444" i="8"/>
  <c r="E76" i="8"/>
  <c r="E445" i="8"/>
  <c r="E16" i="8"/>
  <c r="E446" i="8"/>
  <c r="E148" i="8"/>
  <c r="E447" i="8"/>
  <c r="E23" i="8"/>
  <c r="E448" i="8"/>
  <c r="E138" i="8"/>
  <c r="E449" i="8"/>
  <c r="E84" i="8"/>
  <c r="E450" i="8"/>
  <c r="E451" i="8"/>
  <c r="E115" i="8"/>
  <c r="E452" i="8"/>
  <c r="E133" i="8"/>
  <c r="E453" i="8"/>
  <c r="E454" i="8"/>
  <c r="E455" i="8"/>
  <c r="E128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83" i="8"/>
  <c r="E470" i="8"/>
  <c r="E471" i="8"/>
  <c r="E472" i="8"/>
  <c r="E473" i="8"/>
  <c r="E97" i="8"/>
  <c r="E474" i="8"/>
  <c r="E475" i="8"/>
  <c r="E476" i="8"/>
  <c r="E477" i="8"/>
  <c r="E190" i="8"/>
  <c r="E478" i="8"/>
  <c r="E479" i="8"/>
  <c r="E480" i="8"/>
  <c r="E481" i="8"/>
  <c r="E482" i="8"/>
  <c r="E483" i="8"/>
  <c r="E484" i="8"/>
  <c r="E485" i="8"/>
  <c r="E179" i="8"/>
  <c r="E92" i="8"/>
  <c r="E486" i="8"/>
  <c r="E487" i="8"/>
  <c r="E183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166" i="8"/>
  <c r="E500" i="8"/>
  <c r="E501" i="8"/>
  <c r="E502" i="8"/>
  <c r="E503" i="8"/>
  <c r="E504" i="8"/>
  <c r="E203" i="8"/>
  <c r="E505" i="8"/>
  <c r="E103" i="8"/>
  <c r="E126" i="8"/>
  <c r="E506" i="8"/>
  <c r="E507" i="8"/>
  <c r="E180" i="8"/>
  <c r="E31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5" i="8"/>
  <c r="E521" i="8"/>
  <c r="E114" i="8"/>
  <c r="E522" i="8"/>
  <c r="E523" i="8"/>
  <c r="E524" i="8"/>
  <c r="E525" i="8"/>
  <c r="E526" i="8"/>
  <c r="E527" i="8"/>
  <c r="E528" i="8"/>
  <c r="E529" i="8"/>
  <c r="E530" i="8"/>
  <c r="E86" i="8"/>
  <c r="E98" i="8"/>
  <c r="E531" i="8"/>
  <c r="E532" i="8"/>
  <c r="E533" i="8"/>
  <c r="E534" i="8"/>
  <c r="E535" i="8"/>
  <c r="E536" i="8"/>
  <c r="E537" i="8"/>
  <c r="E538" i="8"/>
  <c r="E539" i="8"/>
  <c r="E540" i="8"/>
  <c r="E36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118" i="8"/>
  <c r="E562" i="8"/>
  <c r="E563" i="8"/>
  <c r="E564" i="8"/>
  <c r="E565" i="8"/>
  <c r="E566" i="8"/>
  <c r="E22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170" i="8"/>
  <c r="E175" i="8"/>
  <c r="E587" i="8"/>
  <c r="E588" i="8"/>
  <c r="E589" i="8"/>
  <c r="E590" i="8"/>
  <c r="E591" i="8"/>
  <c r="E592" i="8"/>
  <c r="E593" i="8"/>
  <c r="E44" i="8"/>
  <c r="E594" i="8"/>
  <c r="E595" i="8"/>
  <c r="E596" i="8"/>
  <c r="E597" i="8"/>
  <c r="E598" i="8"/>
  <c r="E10" i="8"/>
  <c r="E599" i="8"/>
  <c r="E600" i="8"/>
  <c r="E601" i="8"/>
  <c r="E602" i="8"/>
  <c r="E603" i="8"/>
  <c r="E604" i="8"/>
  <c r="E30" i="8"/>
  <c r="E192" i="8"/>
  <c r="E605" i="8"/>
  <c r="E137" i="8"/>
  <c r="E606" i="8"/>
  <c r="E185" i="8"/>
  <c r="E607" i="8"/>
  <c r="E608" i="8"/>
  <c r="E12" i="8"/>
  <c r="E609" i="8"/>
  <c r="E610" i="8"/>
  <c r="E611" i="8"/>
  <c r="E612" i="8"/>
  <c r="E171" i="8"/>
  <c r="E613" i="8"/>
  <c r="E614" i="8"/>
  <c r="E615" i="8"/>
  <c r="E616" i="8"/>
  <c r="E131" i="8"/>
  <c r="E617" i="8"/>
  <c r="E618" i="8"/>
  <c r="E619" i="8"/>
  <c r="E620" i="8"/>
  <c r="E621" i="8"/>
  <c r="E20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177" i="8"/>
  <c r="E638" i="8"/>
  <c r="E639" i="8"/>
  <c r="E640" i="8"/>
  <c r="E641" i="8"/>
  <c r="E108" i="8"/>
  <c r="E7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40" i="8"/>
  <c r="E666" i="8"/>
  <c r="E667" i="8"/>
  <c r="E668" i="8"/>
  <c r="E669" i="8"/>
  <c r="E670" i="8"/>
  <c r="E156" i="8"/>
  <c r="E671" i="8"/>
  <c r="E672" i="8"/>
  <c r="E673" i="8"/>
  <c r="E61" i="8"/>
  <c r="E674" i="8"/>
  <c r="E675" i="8"/>
  <c r="E676" i="8"/>
  <c r="E677" i="8"/>
  <c r="E678" i="8"/>
  <c r="E679" i="8"/>
  <c r="E164" i="8"/>
  <c r="E680" i="8"/>
  <c r="E681" i="8"/>
  <c r="E682" i="8"/>
  <c r="E111" i="8"/>
  <c r="E81" i="8"/>
  <c r="E683" i="8"/>
  <c r="E684" i="8"/>
  <c r="E685" i="8"/>
  <c r="E686" i="8"/>
  <c r="E687" i="8"/>
  <c r="E688" i="8"/>
  <c r="E689" i="8"/>
  <c r="E690" i="8"/>
  <c r="E691" i="8"/>
  <c r="E94" i="8"/>
  <c r="E107" i="8"/>
  <c r="E15" i="8"/>
  <c r="E692" i="8"/>
  <c r="E693" i="8"/>
  <c r="E694" i="8"/>
  <c r="E109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38" i="8"/>
  <c r="E726" i="8"/>
  <c r="E58" i="8"/>
  <c r="E43" i="8"/>
  <c r="E727" i="8"/>
  <c r="E728" i="8"/>
  <c r="E729" i="8"/>
  <c r="E730" i="8"/>
  <c r="E731" i="8"/>
  <c r="E173" i="8"/>
  <c r="E732" i="8"/>
  <c r="E733" i="8"/>
  <c r="E734" i="8"/>
  <c r="E735" i="8"/>
  <c r="E736" i="8"/>
  <c r="E737" i="8"/>
  <c r="E738" i="8"/>
  <c r="E116" i="8"/>
  <c r="E135" i="8"/>
  <c r="E739" i="8"/>
  <c r="E47" i="8"/>
  <c r="E740" i="8"/>
  <c r="E741" i="8"/>
  <c r="E742" i="8"/>
  <c r="E743" i="8"/>
  <c r="E206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95" i="8"/>
  <c r="E756" i="8"/>
  <c r="E757" i="8"/>
  <c r="E758" i="8"/>
  <c r="E759" i="8"/>
  <c r="E760" i="8"/>
  <c r="E65" i="8"/>
  <c r="E157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18" i="8"/>
  <c r="E780" i="8"/>
  <c r="E781" i="8"/>
  <c r="E782" i="8"/>
  <c r="E158" i="8"/>
  <c r="E783" i="8"/>
  <c r="E56" i="8"/>
  <c r="E784" i="8"/>
  <c r="E32" i="8"/>
  <c r="E785" i="8"/>
  <c r="E786" i="8"/>
  <c r="E787" i="8"/>
  <c r="E788" i="8"/>
  <c r="E789" i="8"/>
  <c r="E790" i="8"/>
  <c r="E49" i="8"/>
  <c r="E791" i="8"/>
  <c r="E792" i="8"/>
  <c r="E793" i="8"/>
  <c r="E794" i="8"/>
  <c r="E795" i="8"/>
  <c r="E796" i="8"/>
  <c r="E797" i="8"/>
  <c r="E798" i="8"/>
  <c r="E197" i="8"/>
  <c r="E196" i="8"/>
  <c r="E799" i="8"/>
  <c r="E800" i="8"/>
  <c r="E801" i="8"/>
  <c r="E153" i="8"/>
  <c r="E802" i="8"/>
  <c r="E184" i="8"/>
  <c r="E176" i="8"/>
  <c r="E151" i="8"/>
  <c r="E803" i="8"/>
  <c r="E804" i="8"/>
  <c r="E805" i="8"/>
  <c r="E806" i="8"/>
  <c r="E807" i="8"/>
  <c r="E808" i="8"/>
  <c r="E809" i="8"/>
  <c r="E810" i="8"/>
  <c r="E811" i="8"/>
  <c r="E812" i="8"/>
  <c r="E134" i="8"/>
  <c r="E33" i="8"/>
  <c r="E150" i="8"/>
  <c r="E813" i="8"/>
  <c r="E139" i="8"/>
  <c r="E814" i="8"/>
  <c r="E815" i="8"/>
  <c r="E816" i="8"/>
  <c r="E817" i="8"/>
  <c r="E85" i="8"/>
  <c r="E818" i="8"/>
  <c r="E819" i="8"/>
  <c r="E129" i="8"/>
  <c r="E820" i="8"/>
  <c r="E821" i="8"/>
  <c r="E822" i="8"/>
  <c r="E823" i="8"/>
  <c r="E26" i="8"/>
  <c r="E824" i="8"/>
  <c r="E825" i="8"/>
  <c r="E826" i="8"/>
  <c r="E189" i="8"/>
  <c r="E827" i="8"/>
  <c r="E828" i="8"/>
  <c r="E829" i="8"/>
  <c r="E830" i="8"/>
  <c r="E105" i="8"/>
  <c r="E831" i="8"/>
  <c r="E832" i="8"/>
  <c r="E833" i="8"/>
  <c r="E834" i="8"/>
  <c r="E835" i="8"/>
  <c r="E836" i="8"/>
  <c r="E837" i="8"/>
  <c r="E838" i="8"/>
  <c r="E100" i="8"/>
  <c r="E41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19" i="8"/>
  <c r="E854" i="8"/>
  <c r="E855" i="8"/>
  <c r="E856" i="8"/>
  <c r="E110" i="8"/>
  <c r="E857" i="8"/>
  <c r="E858" i="8"/>
  <c r="E859" i="8"/>
  <c r="E160" i="8"/>
  <c r="E860" i="8"/>
  <c r="E152" i="8"/>
  <c r="E861" i="8"/>
  <c r="E862" i="8"/>
  <c r="E863" i="8"/>
  <c r="E864" i="8"/>
  <c r="E865" i="8"/>
  <c r="E866" i="8"/>
  <c r="E106" i="8"/>
  <c r="E867" i="8"/>
  <c r="E868" i="8"/>
  <c r="E869" i="8"/>
  <c r="E870" i="8"/>
  <c r="E871" i="8"/>
  <c r="E872" i="8"/>
  <c r="E873" i="8"/>
  <c r="E79" i="8"/>
  <c r="E874" i="8"/>
  <c r="E875" i="8"/>
  <c r="E876" i="8"/>
  <c r="E877" i="8"/>
  <c r="E878" i="8"/>
  <c r="E879" i="8"/>
  <c r="E880" i="8"/>
  <c r="E881" i="8"/>
  <c r="E162" i="8"/>
  <c r="E882" i="8"/>
  <c r="E883" i="8"/>
  <c r="E11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46" i="8"/>
  <c r="E901" i="8"/>
  <c r="E902" i="8"/>
  <c r="E903" i="8"/>
  <c r="E82" i="8"/>
  <c r="E904" i="8"/>
  <c r="E905" i="8"/>
  <c r="E122" i="8"/>
  <c r="E906" i="8"/>
  <c r="E80" i="8"/>
  <c r="E907" i="8"/>
  <c r="E908" i="8"/>
  <c r="E909" i="8"/>
  <c r="E910" i="8"/>
  <c r="E911" i="8"/>
  <c r="E66" i="8"/>
  <c r="E912" i="8"/>
  <c r="E913" i="8"/>
  <c r="E914" i="8"/>
  <c r="E8" i="8"/>
  <c r="E915" i="8"/>
  <c r="E916" i="8"/>
  <c r="E917" i="8"/>
  <c r="E918" i="8"/>
  <c r="E919" i="8"/>
  <c r="E920" i="8"/>
  <c r="E921" i="8"/>
  <c r="E922" i="8"/>
  <c r="E923" i="8"/>
  <c r="E924" i="8"/>
  <c r="E205" i="8"/>
  <c r="E925" i="8"/>
  <c r="E926" i="8"/>
  <c r="E927" i="8"/>
  <c r="E928" i="8"/>
  <c r="E929" i="8"/>
  <c r="E930" i="8"/>
  <c r="E141" i="8"/>
  <c r="E931" i="8"/>
  <c r="E932" i="8"/>
  <c r="E933" i="8"/>
  <c r="E934" i="8"/>
  <c r="E935" i="8"/>
  <c r="E936" i="8"/>
  <c r="E937" i="8"/>
  <c r="E938" i="8"/>
  <c r="E181" i="8"/>
  <c r="E939" i="8"/>
  <c r="E940" i="8"/>
  <c r="E941" i="8"/>
  <c r="E942" i="8"/>
  <c r="E943" i="8"/>
  <c r="E944" i="8"/>
  <c r="E945" i="8"/>
  <c r="E946" i="8"/>
  <c r="E947" i="8"/>
  <c r="E948" i="8"/>
  <c r="E7" i="8"/>
  <c r="E949" i="8"/>
  <c r="E950" i="8"/>
  <c r="E951" i="8"/>
  <c r="E952" i="8"/>
  <c r="E953" i="8"/>
  <c r="E120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187" i="8"/>
  <c r="E52" i="8"/>
  <c r="E967" i="8"/>
  <c r="E968" i="8"/>
  <c r="E51" i="8"/>
  <c r="E969" i="8"/>
  <c r="E970" i="8"/>
  <c r="E971" i="8"/>
  <c r="E972" i="8"/>
  <c r="E973" i="8"/>
  <c r="E974" i="8"/>
  <c r="E975" i="8"/>
  <c r="E35" i="8"/>
  <c r="E976" i="8"/>
  <c r="E977" i="8"/>
  <c r="E978" i="8"/>
  <c r="E979" i="8"/>
  <c r="E163" i="8"/>
  <c r="E980" i="8"/>
  <c r="E981" i="8"/>
  <c r="E982" i="8"/>
  <c r="E983" i="8"/>
  <c r="E984" i="8"/>
  <c r="E985" i="8"/>
  <c r="E986" i="8"/>
  <c r="E987" i="8"/>
  <c r="E988" i="8"/>
  <c r="E159" i="8"/>
  <c r="E989" i="8"/>
  <c r="E990" i="8"/>
  <c r="E991" i="8"/>
  <c r="E992" i="8"/>
  <c r="E993" i="8"/>
  <c r="E994" i="8"/>
  <c r="E995" i="8"/>
  <c r="E996" i="8"/>
  <c r="E997" i="8"/>
  <c r="E998" i="8"/>
  <c r="E25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17" i="8"/>
  <c r="E1015" i="8"/>
  <c r="E1016" i="8"/>
  <c r="E72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96" i="8"/>
  <c r="E1038" i="8"/>
  <c r="E1039" i="8"/>
  <c r="E1040" i="8"/>
  <c r="E1041" i="8"/>
  <c r="E144" i="8"/>
  <c r="E1042" i="8"/>
  <c r="E64" i="8"/>
  <c r="F2252" i="4"/>
  <c r="A1981" i="4"/>
  <c r="A2077" i="4"/>
  <c r="A1856" i="4"/>
  <c r="C2026" i="4"/>
  <c r="A2172" i="4"/>
  <c r="B1824" i="4"/>
  <c r="F2190" i="4"/>
  <c r="F2247" i="4"/>
  <c r="C2004" i="4"/>
  <c r="C2173" i="4"/>
  <c r="B2066" i="4"/>
  <c r="A2161" i="4"/>
  <c r="B2018" i="4"/>
  <c r="C2210" i="4"/>
  <c r="A1997" i="4"/>
  <c r="F2144" i="4"/>
  <c r="C1785" i="4"/>
  <c r="F2070" i="4"/>
  <c r="C1794" i="4"/>
  <c r="B2140" i="4"/>
  <c r="C1926" i="4"/>
  <c r="A1914" i="4"/>
  <c r="F2020" i="4"/>
  <c r="F2211" i="4"/>
  <c r="B2201" i="4"/>
  <c r="B2161" i="4"/>
  <c r="F2246" i="4"/>
  <c r="B2172" i="4"/>
  <c r="A2167" i="4"/>
  <c r="F2230" i="4"/>
  <c r="F2231" i="4"/>
  <c r="C2206" i="4"/>
  <c r="D2116" i="4"/>
  <c r="F2244" i="4"/>
  <c r="A2236" i="4"/>
  <c r="B2196" i="4"/>
  <c r="A2201" i="4"/>
  <c r="C2167" i="4"/>
  <c r="A2239" i="4"/>
  <c r="A2069" i="4"/>
  <c r="A2246" i="4"/>
  <c r="B2192" i="4"/>
  <c r="B2151" i="4"/>
  <c r="B2122" i="4"/>
  <c r="D2067" i="4"/>
  <c r="C2143" i="4"/>
  <c r="B2254" i="4"/>
  <c r="A2215" i="4"/>
  <c r="D2234" i="4"/>
  <c r="F2025" i="4"/>
  <c r="F2127" i="4"/>
  <c r="B2266" i="4"/>
  <c r="F2254" i="4"/>
  <c r="A2169" i="4"/>
  <c r="D2262" i="4"/>
  <c r="C2099" i="4"/>
  <c r="C2122" i="4"/>
  <c r="C2157" i="4"/>
  <c r="D2148" i="4"/>
  <c r="B1878" i="4"/>
  <c r="F2164" i="4"/>
  <c r="F1971" i="4"/>
  <c r="A2141" i="4"/>
  <c r="A2022" i="4"/>
  <c r="F2082" i="4"/>
  <c r="B2127" i="4"/>
  <c r="F2222" i="4"/>
  <c r="F2081" i="4"/>
  <c r="F2143" i="4"/>
  <c r="D2107" i="4"/>
  <c r="C2124" i="4"/>
  <c r="A2060" i="4"/>
  <c r="F2119" i="4"/>
  <c r="F2094" i="4"/>
  <c r="B2132" i="4"/>
  <c r="F2236" i="4"/>
  <c r="B2216" i="4"/>
  <c r="F2253" i="4"/>
  <c r="D2114" i="4"/>
  <c r="B2139" i="4"/>
  <c r="A2174" i="4"/>
  <c r="F2006" i="4"/>
  <c r="F2096" i="4"/>
  <c r="B2169" i="4"/>
  <c r="B2213" i="4"/>
  <c r="F2204" i="4"/>
  <c r="B2036" i="4"/>
  <c r="F2237" i="4"/>
  <c r="C2215" i="4"/>
  <c r="B2144" i="4"/>
  <c r="B2108" i="4"/>
  <c r="A2184" i="4"/>
  <c r="B2193" i="4"/>
  <c r="F2189" i="4"/>
  <c r="A2154" i="4"/>
  <c r="D2225" i="4"/>
  <c r="A2139" i="4"/>
  <c r="D2204" i="4"/>
  <c r="D2063" i="4"/>
  <c r="B2185" i="4"/>
  <c r="C2232" i="4"/>
  <c r="A2075" i="4"/>
  <c r="A2128" i="4"/>
  <c r="B2129" i="4"/>
  <c r="A2264" i="4"/>
  <c r="B2253" i="4"/>
  <c r="D1955" i="4"/>
  <c r="B1476" i="4"/>
  <c r="D1777" i="4"/>
  <c r="C1775" i="4"/>
  <c r="F2266" i="4"/>
  <c r="A2244" i="4"/>
  <c r="A2237" i="4"/>
  <c r="C2250" i="4"/>
  <c r="F1780" i="4"/>
  <c r="C1783" i="4"/>
  <c r="C2024" i="4"/>
  <c r="F1634" i="4"/>
  <c r="A2095" i="4"/>
  <c r="F2121" i="4"/>
  <c r="F2191" i="4"/>
  <c r="A2192" i="4"/>
  <c r="C2225" i="4"/>
  <c r="B1941" i="4"/>
  <c r="C2080" i="4"/>
  <c r="F1763" i="4"/>
  <c r="F2269" i="4"/>
  <c r="B2194" i="4"/>
  <c r="A2150" i="4"/>
  <c r="A2181" i="4"/>
  <c r="A2227" i="4"/>
  <c r="C2160" i="4"/>
  <c r="A2148" i="4"/>
  <c r="B2218" i="4"/>
  <c r="C2195" i="4"/>
  <c r="F2110" i="4"/>
  <c r="D2218" i="4"/>
  <c r="C2123" i="4"/>
  <c r="F2149" i="4"/>
  <c r="A2195" i="4"/>
  <c r="A2026" i="4"/>
  <c r="A2137" i="4"/>
  <c r="F2259" i="4"/>
  <c r="B2226" i="4"/>
  <c r="F2176" i="4"/>
  <c r="E2017" i="4"/>
  <c r="B2124" i="4"/>
  <c r="D2188" i="4"/>
  <c r="B2100" i="4"/>
  <c r="B2061" i="4"/>
  <c r="B2133" i="4"/>
  <c r="A2159" i="4"/>
  <c r="F2155" i="4"/>
  <c r="B2248" i="4"/>
  <c r="D2265" i="4"/>
  <c r="D2137" i="4"/>
  <c r="A2235" i="4"/>
  <c r="A2205" i="4"/>
  <c r="A2170" i="4"/>
  <c r="B2049" i="4"/>
  <c r="F2260" i="4"/>
  <c r="D1873" i="4"/>
  <c r="D2131" i="4"/>
  <c r="C2186" i="4"/>
  <c r="C2255" i="4"/>
  <c r="A2081" i="4"/>
  <c r="D2258" i="4"/>
  <c r="C2047" i="4"/>
  <c r="D2223" i="4"/>
  <c r="D2233" i="4"/>
  <c r="D2010" i="4"/>
  <c r="F1881" i="4"/>
  <c r="A2152" i="4"/>
  <c r="C1975" i="4"/>
  <c r="F2062" i="4"/>
  <c r="C2130" i="4"/>
  <c r="A1888" i="4"/>
  <c r="D2185" i="4"/>
  <c r="C2178" i="4"/>
  <c r="A2178" i="4"/>
  <c r="A2162" i="4"/>
  <c r="D2216" i="4"/>
  <c r="B2199" i="4"/>
  <c r="F2007" i="4"/>
  <c r="B2252" i="4"/>
  <c r="C2264" i="4"/>
  <c r="B2051" i="4"/>
  <c r="C2011" i="4"/>
  <c r="B2228" i="4"/>
  <c r="F2095" i="4"/>
  <c r="B2174" i="4"/>
  <c r="F1994" i="4"/>
  <c r="F2118" i="4"/>
  <c r="C1870" i="4"/>
  <c r="A2107" i="4"/>
  <c r="B2260" i="4"/>
  <c r="B1892" i="4"/>
  <c r="C2203" i="4"/>
  <c r="B2236" i="4"/>
  <c r="F2021" i="4"/>
  <c r="F2167" i="4"/>
  <c r="F2229" i="4"/>
  <c r="B2032" i="4"/>
  <c r="A2222" i="4"/>
  <c r="F2214" i="4"/>
  <c r="C2100" i="4"/>
  <c r="A2216" i="4"/>
  <c r="C2134" i="4"/>
  <c r="F2059" i="4"/>
  <c r="F1977" i="4"/>
  <c r="D2102" i="4"/>
  <c r="B2082" i="4"/>
  <c r="F1888" i="4"/>
  <c r="B2035" i="4"/>
  <c r="F2163" i="4"/>
  <c r="B2184" i="4"/>
  <c r="A2251" i="4"/>
  <c r="A2175" i="4"/>
  <c r="A1998" i="4"/>
  <c r="A2117" i="4"/>
  <c r="F1996" i="4"/>
  <c r="F1936" i="4"/>
  <c r="C1962" i="4"/>
  <c r="F2203" i="4"/>
  <c r="D2176" i="4"/>
  <c r="A2143" i="4"/>
  <c r="A2173" i="4"/>
  <c r="C2029" i="4"/>
  <c r="F2206" i="4"/>
  <c r="B1922" i="4"/>
  <c r="D1958" i="4"/>
  <c r="F2052" i="4"/>
  <c r="B1848" i="4"/>
  <c r="C1933" i="4"/>
  <c r="F1926" i="4"/>
  <c r="D1405" i="4"/>
  <c r="F1938" i="4"/>
  <c r="A1615" i="4"/>
  <c r="F2050" i="4"/>
  <c r="F2215" i="4"/>
  <c r="B2157" i="4"/>
  <c r="A2118" i="4"/>
  <c r="F1751" i="4"/>
  <c r="D1725" i="4"/>
  <c r="B1928" i="4"/>
  <c r="F1743" i="4"/>
  <c r="F1957" i="4"/>
  <c r="C1919" i="4"/>
  <c r="A2226" i="4"/>
  <c r="C2031" i="4"/>
  <c r="F1945" i="4"/>
  <c r="D1733" i="4"/>
  <c r="F1927" i="4"/>
  <c r="F2131" i="4"/>
  <c r="A2010" i="4"/>
  <c r="A2202" i="4"/>
  <c r="B1884" i="4"/>
  <c r="B2056" i="4"/>
  <c r="A2079" i="4"/>
  <c r="D2219" i="4"/>
  <c r="C2253" i="4"/>
  <c r="F2171" i="4"/>
  <c r="F2073" i="4"/>
  <c r="C2239" i="4"/>
  <c r="F2235" i="4"/>
  <c r="F2182" i="4"/>
  <c r="F2261" i="4"/>
  <c r="F2044" i="4"/>
  <c r="C2258" i="4"/>
  <c r="C2152" i="4"/>
  <c r="D2207" i="4"/>
  <c r="F2201" i="4"/>
  <c r="F1991" i="4"/>
  <c r="B2263" i="4"/>
  <c r="C2052" i="4"/>
  <c r="C2131" i="4"/>
  <c r="C2001" i="4"/>
  <c r="D2077" i="4"/>
  <c r="D2254" i="4"/>
  <c r="A2250" i="4"/>
  <c r="B2138" i="4"/>
  <c r="D2049" i="4"/>
  <c r="F2137" i="4"/>
  <c r="B2045" i="4"/>
  <c r="C2121" i="4"/>
  <c r="D2257" i="4"/>
  <c r="C2211" i="4"/>
  <c r="C2042" i="4"/>
  <c r="D2003" i="4"/>
  <c r="B2091" i="4"/>
  <c r="C2063" i="4"/>
  <c r="A2087" i="4"/>
  <c r="E2156" i="4"/>
  <c r="E2178" i="4"/>
  <c r="B1942" i="4"/>
  <c r="C2154" i="4"/>
  <c r="E1968" i="4"/>
  <c r="E2084" i="4"/>
  <c r="A2006" i="4"/>
  <c r="A2019" i="4"/>
  <c r="C2064" i="4"/>
  <c r="F2228" i="4"/>
  <c r="C2147" i="4"/>
  <c r="F2178" i="4"/>
  <c r="D2264" i="4"/>
  <c r="D2084" i="4"/>
  <c r="C2192" i="4"/>
  <c r="D2124" i="4"/>
  <c r="A2213" i="4"/>
  <c r="F2241" i="4"/>
  <c r="F2151" i="4"/>
  <c r="F2156" i="4"/>
  <c r="D2255" i="4"/>
  <c r="F2227" i="4"/>
  <c r="C2235" i="4"/>
  <c r="F2225" i="4"/>
  <c r="B2197" i="4"/>
  <c r="F2120" i="4"/>
  <c r="B2206" i="4"/>
  <c r="D2064" i="4"/>
  <c r="D2165" i="4"/>
  <c r="A2211" i="4"/>
  <c r="B2118" i="4"/>
  <c r="C2188" i="4"/>
  <c r="A2204" i="4"/>
  <c r="B2170" i="4"/>
  <c r="C2218" i="4"/>
  <c r="A2062" i="4"/>
  <c r="F2248" i="4"/>
  <c r="C1948" i="4"/>
  <c r="C1906" i="4"/>
  <c r="F2132" i="4"/>
  <c r="A2188" i="4"/>
  <c r="A2066" i="4"/>
  <c r="C2252" i="4"/>
  <c r="A2186" i="4"/>
  <c r="A2168" i="4"/>
  <c r="F2264" i="4"/>
  <c r="A2183" i="4"/>
  <c r="D2119" i="4"/>
  <c r="D2147" i="4"/>
  <c r="D2197" i="4"/>
  <c r="B2141" i="4"/>
  <c r="D2141" i="4"/>
  <c r="B2241" i="4"/>
  <c r="A2052" i="4"/>
  <c r="C2161" i="4"/>
  <c r="A2050" i="4"/>
  <c r="C2248" i="4"/>
  <c r="A2096" i="4"/>
  <c r="C2137" i="4"/>
  <c r="C2208" i="4"/>
  <c r="B2268" i="4"/>
  <c r="C1959" i="4"/>
  <c r="F2028" i="4"/>
  <c r="B1976" i="4"/>
  <c r="F2265" i="4"/>
  <c r="D2172" i="4"/>
  <c r="B2202" i="4"/>
  <c r="C2059" i="4"/>
  <c r="C1905" i="4"/>
  <c r="E1549" i="4"/>
  <c r="C1883" i="4"/>
  <c r="D1657" i="4"/>
  <c r="B2033" i="4"/>
  <c r="D2252" i="4"/>
  <c r="D2184" i="4"/>
  <c r="D2228" i="4"/>
  <c r="E2186" i="4"/>
  <c r="B1670" i="4"/>
  <c r="C1920" i="4"/>
  <c r="B1900" i="4"/>
  <c r="A2262" i="4"/>
  <c r="F1856" i="4"/>
  <c r="B2243" i="4"/>
  <c r="D2069" i="4"/>
  <c r="A2123" i="4"/>
  <c r="B2014" i="4"/>
  <c r="A1866" i="4"/>
  <c r="F1837" i="4"/>
  <c r="D2120" i="4"/>
  <c r="A2218" i="4"/>
  <c r="C2093" i="4"/>
  <c r="F2161" i="4"/>
  <c r="C2263" i="4"/>
  <c r="D2231" i="4"/>
  <c r="A2207" i="4"/>
  <c r="A2252" i="4"/>
  <c r="B2152" i="4"/>
  <c r="B2012" i="4"/>
  <c r="F2197" i="4"/>
  <c r="C2156" i="4"/>
  <c r="B2116" i="4"/>
  <c r="C1902" i="4"/>
  <c r="C2181" i="4"/>
  <c r="A2012" i="4"/>
  <c r="D2135" i="4"/>
  <c r="A2030" i="4"/>
  <c r="A2197" i="4"/>
  <c r="F2101" i="4"/>
  <c r="B2180" i="4"/>
  <c r="C2126" i="4"/>
  <c r="F2219" i="4"/>
  <c r="B2131" i="4"/>
  <c r="C2041" i="4"/>
  <c r="D2158" i="4"/>
  <c r="B2208" i="4"/>
  <c r="D1598" i="4"/>
  <c r="B2188" i="4"/>
  <c r="D1668" i="4"/>
  <c r="F2175" i="4"/>
  <c r="B1857" i="4"/>
  <c r="B2214" i="4"/>
  <c r="D2057" i="4"/>
  <c r="A2189" i="4"/>
  <c r="F2141" i="4"/>
  <c r="F2196" i="4"/>
  <c r="F2234" i="4"/>
  <c r="F2179" i="4"/>
  <c r="B2114" i="4"/>
  <c r="B2111" i="4"/>
  <c r="F2024" i="4"/>
  <c r="E2149" i="4"/>
  <c r="F2157" i="4"/>
  <c r="C1834" i="4"/>
  <c r="B1459" i="4"/>
  <c r="A1664" i="4"/>
  <c r="A1705" i="4"/>
  <c r="A2121" i="4"/>
  <c r="C2217" i="4"/>
  <c r="A2133" i="4"/>
  <c r="A2210" i="4"/>
  <c r="A2011" i="4"/>
  <c r="B1893" i="4"/>
  <c r="D2045" i="4"/>
  <c r="C1918" i="4"/>
  <c r="B2234" i="4"/>
  <c r="F2251" i="4"/>
  <c r="F2165" i="4"/>
  <c r="C2158" i="4"/>
  <c r="A1772" i="4"/>
  <c r="D1924" i="4"/>
  <c r="C1987" i="4"/>
  <c r="D1956" i="4"/>
  <c r="B2020" i="4"/>
  <c r="D2244" i="4"/>
  <c r="A2122" i="4"/>
  <c r="D2052" i="4"/>
  <c r="C1898" i="4"/>
  <c r="B2113" i="4"/>
  <c r="F1799" i="4"/>
  <c r="B2092" i="4"/>
  <c r="B2160" i="4"/>
  <c r="A2034" i="4"/>
  <c r="F1962" i="4"/>
  <c r="A2102" i="4"/>
  <c r="A1758" i="4"/>
  <c r="B1915" i="4"/>
  <c r="C1970" i="4"/>
  <c r="B2171" i="4"/>
  <c r="C1746" i="4"/>
  <c r="F2107" i="4"/>
  <c r="F1965" i="4"/>
  <c r="F2045" i="4"/>
  <c r="B2165" i="4"/>
  <c r="F2188" i="4"/>
  <c r="B1861" i="4"/>
  <c r="C2170" i="4"/>
  <c r="B2235" i="4"/>
  <c r="C2172" i="4"/>
  <c r="A2156" i="4"/>
  <c r="C2136" i="4"/>
  <c r="F1759" i="4"/>
  <c r="A2199" i="4"/>
  <c r="B1999" i="4"/>
  <c r="F2193" i="4"/>
  <c r="E2018" i="4"/>
  <c r="F2186" i="4"/>
  <c r="B2183" i="4"/>
  <c r="B2154" i="4"/>
  <c r="F2187" i="4"/>
  <c r="D2066" i="4"/>
  <c r="A2020" i="4"/>
  <c r="B2249" i="4"/>
  <c r="F1984" i="4"/>
  <c r="D2193" i="4"/>
  <c r="B2203" i="4"/>
  <c r="A1974" i="4"/>
  <c r="D1669" i="4"/>
  <c r="F2115" i="4"/>
  <c r="A1621" i="4"/>
  <c r="D2103" i="4"/>
  <c r="D2133" i="4"/>
  <c r="C2256" i="4"/>
  <c r="B2110" i="4"/>
  <c r="C2084" i="4"/>
  <c r="B1605" i="4"/>
  <c r="C2060" i="4"/>
  <c r="C1604" i="4"/>
  <c r="B2015" i="4"/>
  <c r="D2110" i="4"/>
  <c r="A2177" i="4"/>
  <c r="D2168" i="4"/>
  <c r="D1930" i="4"/>
  <c r="B1671" i="4"/>
  <c r="C1968" i="4"/>
  <c r="C1728" i="4"/>
  <c r="A2224" i="4"/>
  <c r="F2267" i="4"/>
  <c r="F2173" i="4"/>
  <c r="B1935" i="4"/>
  <c r="A2110" i="4"/>
  <c r="F2226" i="4"/>
  <c r="B2233" i="4"/>
  <c r="F2213" i="4"/>
  <c r="B2069" i="4"/>
  <c r="A2245" i="4"/>
  <c r="D2139" i="4"/>
  <c r="F2202" i="4"/>
  <c r="B2167" i="4"/>
  <c r="B2005" i="4"/>
  <c r="C2189" i="4"/>
  <c r="C1950" i="4"/>
  <c r="C1925" i="4"/>
  <c r="B2090" i="4"/>
  <c r="C2268" i="4"/>
  <c r="B2251" i="4"/>
  <c r="F2192" i="4"/>
  <c r="A2238" i="4"/>
  <c r="F2183" i="4"/>
  <c r="A2241" i="4"/>
  <c r="C2117" i="4"/>
  <c r="B2119" i="4"/>
  <c r="B2246" i="4"/>
  <c r="D2178" i="4"/>
  <c r="B2076" i="4"/>
  <c r="A2132" i="4"/>
  <c r="B2084" i="4"/>
  <c r="F1798" i="4"/>
  <c r="D2055" i="4"/>
  <c r="B2048" i="4"/>
  <c r="A2221" i="4"/>
  <c r="D2058" i="4"/>
  <c r="A2080" i="4"/>
  <c r="F2159" i="4"/>
  <c r="B2255" i="4"/>
  <c r="E2218" i="4"/>
  <c r="D1901" i="4"/>
  <c r="A2070" i="4"/>
  <c r="F1833" i="4"/>
  <c r="F2065" i="4"/>
  <c r="F1803" i="4"/>
  <c r="F1591" i="4"/>
  <c r="B1630" i="4"/>
  <c r="C1640" i="4"/>
  <c r="F2035" i="4"/>
  <c r="B1950" i="4"/>
  <c r="C2103" i="4"/>
  <c r="B1954" i="4"/>
  <c r="A1708" i="4"/>
  <c r="D1703" i="4"/>
  <c r="B1879" i="4"/>
  <c r="D1707" i="4"/>
  <c r="B1793" i="4"/>
  <c r="C1823" i="4"/>
  <c r="F2147" i="4"/>
  <c r="F2076" i="4"/>
  <c r="F1924" i="4"/>
  <c r="D2090" i="4"/>
  <c r="A1910" i="4"/>
  <c r="C2135" i="4"/>
  <c r="B2231" i="4"/>
  <c r="F2174" i="4"/>
  <c r="B2210" i="4"/>
  <c r="B2060" i="4"/>
  <c r="F2083" i="4"/>
  <c r="F2153" i="4"/>
  <c r="B1791" i="4"/>
  <c r="A2209" i="4"/>
  <c r="F2079" i="4"/>
  <c r="C2209" i="4"/>
  <c r="F2250" i="4"/>
  <c r="F2090" i="4"/>
  <c r="B1687" i="4"/>
  <c r="A2089" i="4"/>
  <c r="F1638" i="4"/>
  <c r="C2055" i="4"/>
  <c r="B2125" i="4"/>
  <c r="C2165" i="4"/>
  <c r="A2044" i="4"/>
  <c r="F2263" i="4"/>
  <c r="D1643" i="4"/>
  <c r="B2258" i="4"/>
  <c r="A2018" i="4"/>
  <c r="C2086" i="4"/>
  <c r="B2195" i="4"/>
  <c r="A2119" i="4"/>
  <c r="A2136" i="4"/>
  <c r="F1960" i="4"/>
  <c r="A1689" i="4"/>
  <c r="C2106" i="4"/>
  <c r="A1752" i="4"/>
  <c r="C1977" i="4"/>
  <c r="B2019" i="4"/>
  <c r="B2173" i="4"/>
  <c r="A2097" i="4"/>
  <c r="F2092" i="4"/>
  <c r="C2151" i="4"/>
  <c r="F2209" i="4"/>
  <c r="B2123" i="4"/>
  <c r="A2115" i="4"/>
  <c r="C2094" i="4"/>
  <c r="F2162" i="4"/>
  <c r="F2256" i="4"/>
  <c r="D1883" i="4"/>
  <c r="F1653" i="4"/>
  <c r="C1721" i="4"/>
  <c r="D1712" i="4"/>
  <c r="A2130" i="4"/>
  <c r="B2105" i="4"/>
  <c r="B2215" i="4"/>
  <c r="A2074" i="4"/>
  <c r="A1842" i="4"/>
  <c r="D1912" i="4"/>
  <c r="A2057" i="4"/>
  <c r="D1654" i="4"/>
  <c r="D2192" i="4"/>
  <c r="B2102" i="4"/>
  <c r="A2000" i="4"/>
  <c r="A2138" i="4"/>
  <c r="B1786" i="4"/>
  <c r="A1656" i="4"/>
  <c r="D2002" i="4"/>
  <c r="A1657" i="4"/>
  <c r="F2205" i="4"/>
  <c r="C2228" i="4"/>
  <c r="F2224" i="4"/>
  <c r="A2082" i="4"/>
  <c r="F2139" i="4"/>
  <c r="A2190" i="4"/>
  <c r="A2101" i="4"/>
  <c r="A2091" i="4"/>
  <c r="D2237" i="4"/>
  <c r="A2203" i="4"/>
  <c r="F2133" i="4"/>
  <c r="B2232" i="4"/>
  <c r="C2038" i="4"/>
  <c r="B2212" i="4"/>
  <c r="C2174" i="4"/>
  <c r="C2013" i="4"/>
  <c r="A2208" i="4"/>
  <c r="D2034" i="4"/>
  <c r="F2136" i="4"/>
  <c r="F2130" i="4"/>
  <c r="F2158" i="4"/>
  <c r="F2243" i="4"/>
  <c r="B2137" i="4"/>
  <c r="A2145" i="4"/>
  <c r="B2135" i="4"/>
  <c r="A2260" i="4"/>
  <c r="B2220" i="4"/>
  <c r="B1393" i="4"/>
  <c r="B2245" i="4"/>
  <c r="A1765" i="4"/>
  <c r="D2021" i="4"/>
  <c r="F1871" i="4"/>
  <c r="D2080" i="4"/>
  <c r="C2141" i="4"/>
  <c r="F2233" i="4"/>
  <c r="F2220" i="4"/>
  <c r="C2246" i="4"/>
  <c r="A2149" i="4"/>
  <c r="B2117" i="4"/>
  <c r="C2077" i="4"/>
  <c r="B2175" i="4"/>
  <c r="F2126" i="4"/>
  <c r="C2018" i="4"/>
  <c r="C2111" i="4"/>
  <c r="C2128" i="4"/>
  <c r="C1376" i="4"/>
  <c r="A2045" i="4"/>
  <c r="B1769" i="4"/>
  <c r="B2229" i="4"/>
  <c r="C2169" i="4"/>
  <c r="C2205" i="4"/>
  <c r="A1831" i="4"/>
  <c r="C1835" i="4"/>
  <c r="A1788" i="4"/>
  <c r="A2116" i="4"/>
  <c r="C2076" i="4"/>
  <c r="A2182" i="4"/>
  <c r="A2112" i="4"/>
  <c r="F2146" i="4"/>
  <c r="D2112" i="4"/>
  <c r="A2049" i="4"/>
  <c r="B1854" i="4"/>
  <c r="A1940" i="4"/>
  <c r="C2238" i="4"/>
  <c r="A2242" i="4"/>
  <c r="A2263" i="4"/>
  <c r="B2059" i="4"/>
  <c r="C2146" i="4"/>
  <c r="D2215" i="4"/>
  <c r="A2061" i="4"/>
  <c r="A1787" i="4"/>
  <c r="A1956" i="4"/>
  <c r="C2224" i="4"/>
  <c r="A2127" i="4"/>
  <c r="D2250" i="4"/>
  <c r="F2067" i="4"/>
  <c r="C1981" i="4"/>
  <c r="A1707" i="4"/>
  <c r="A1921" i="4"/>
  <c r="F1730" i="4"/>
  <c r="B2158" i="4"/>
  <c r="C2039" i="4"/>
  <c r="F2022" i="4"/>
  <c r="C2177" i="4"/>
  <c r="A1923" i="4"/>
  <c r="B1991" i="4"/>
  <c r="B1852" i="4"/>
  <c r="A1944" i="4"/>
  <c r="D2073" i="4"/>
  <c r="B2219" i="4"/>
  <c r="B2159" i="4"/>
  <c r="C2221" i="4"/>
  <c r="C1988" i="4"/>
  <c r="F1714" i="4"/>
  <c r="B2099" i="4"/>
  <c r="C1674" i="4"/>
  <c r="C2053" i="4"/>
  <c r="A1850" i="4"/>
  <c r="D2211" i="4"/>
  <c r="A2083" i="4"/>
  <c r="A2257" i="4"/>
  <c r="F2257" i="4"/>
  <c r="A2229" i="4"/>
  <c r="A2248" i="4"/>
  <c r="C2017" i="4"/>
  <c r="F2123" i="4"/>
  <c r="A1862" i="4"/>
  <c r="A2027" i="4"/>
  <c r="F1816" i="4"/>
  <c r="B1914" i="4"/>
  <c r="D1644" i="4"/>
  <c r="C2102" i="4"/>
  <c r="C2067" i="4"/>
  <c r="A1986" i="4"/>
  <c r="A2013" i="4"/>
  <c r="A2037" i="4"/>
  <c r="A1954" i="4"/>
  <c r="A1796" i="4"/>
  <c r="C2079" i="4"/>
  <c r="F1882" i="4"/>
  <c r="A1971" i="4"/>
  <c r="C2168" i="4"/>
  <c r="A2063" i="4"/>
  <c r="A2151" i="4"/>
  <c r="D1757" i="4"/>
  <c r="F1941" i="4"/>
  <c r="A1973" i="4"/>
  <c r="B2200" i="4"/>
  <c r="F2232" i="4"/>
  <c r="B2190" i="4"/>
  <c r="F2078" i="4"/>
  <c r="B2242" i="4"/>
  <c r="F2113" i="4"/>
  <c r="A2214" i="4"/>
  <c r="C2200" i="4"/>
  <c r="F2124" i="4"/>
  <c r="F2258" i="4"/>
  <c r="A1953" i="4"/>
  <c r="A1532" i="4"/>
  <c r="F1995" i="4"/>
  <c r="D1618" i="4"/>
  <c r="F1937" i="4"/>
  <c r="B1994" i="4"/>
  <c r="C2196" i="4"/>
  <c r="C1874" i="4"/>
  <c r="F2058" i="4"/>
  <c r="B1598" i="4"/>
  <c r="B2244" i="4"/>
  <c r="B1875" i="4"/>
  <c r="B2264" i="4"/>
  <c r="F1599" i="4"/>
  <c r="B2230" i="4"/>
  <c r="B2221" i="4"/>
  <c r="C2049" i="4"/>
  <c r="B2240" i="4"/>
  <c r="D2030" i="4"/>
  <c r="D2029" i="4"/>
  <c r="B2055" i="4"/>
  <c r="A2146" i="4"/>
  <c r="A2134" i="4"/>
  <c r="C1667" i="4"/>
  <c r="D2065" i="4"/>
  <c r="B1860" i="4"/>
  <c r="D1992" i="4"/>
  <c r="D1670" i="4"/>
  <c r="F2184" i="4"/>
  <c r="D2005" i="4"/>
  <c r="C2116" i="4"/>
  <c r="F1641" i="4"/>
  <c r="A2036" i="4"/>
  <c r="A1653" i="4"/>
  <c r="B2130" i="4"/>
  <c r="C1799" i="4"/>
  <c r="C2240" i="4"/>
  <c r="B1831" i="4"/>
  <c r="A2129" i="4"/>
  <c r="C1873" i="4"/>
  <c r="F2085" i="4"/>
  <c r="C1800" i="4"/>
  <c r="D1982" i="4"/>
  <c r="C1690" i="4"/>
  <c r="A1867" i="4"/>
  <c r="B1718" i="4"/>
  <c r="F1855" i="4"/>
  <c r="B1762" i="4"/>
  <c r="D2076" i="4"/>
  <c r="C1986" i="4"/>
  <c r="D2247" i="4"/>
  <c r="A1884" i="4"/>
  <c r="D2177" i="4"/>
  <c r="A1941" i="4"/>
  <c r="B2044" i="4"/>
  <c r="C2110" i="4"/>
  <c r="C2045" i="4"/>
  <c r="C1763" i="4"/>
  <c r="F1867" i="4"/>
  <c r="D1550" i="4"/>
  <c r="F2071" i="4"/>
  <c r="B1811" i="4"/>
  <c r="B2095" i="4"/>
  <c r="C1814" i="4"/>
  <c r="B2043" i="4"/>
  <c r="F1572" i="4"/>
  <c r="C2033" i="4"/>
  <c r="B1503" i="4"/>
  <c r="F2037" i="4"/>
  <c r="A1666" i="4"/>
  <c r="B2121" i="4"/>
  <c r="F2016" i="4"/>
  <c r="F2114" i="4"/>
  <c r="B1527" i="4"/>
  <c r="C2260" i="4"/>
  <c r="D1672" i="4"/>
  <c r="F1912" i="4"/>
  <c r="A1718" i="4"/>
  <c r="A1929" i="4"/>
  <c r="C1692" i="4"/>
  <c r="D2082" i="4"/>
  <c r="A2014" i="4"/>
  <c r="B2078" i="4"/>
  <c r="A1979" i="4"/>
  <c r="F2032" i="4"/>
  <c r="C2118" i="4"/>
  <c r="A2090" i="4"/>
  <c r="B2120" i="4"/>
  <c r="C2096" i="4"/>
  <c r="F1992" i="4"/>
  <c r="E2221" i="4"/>
  <c r="D2032" i="4"/>
  <c r="C2187" i="4"/>
  <c r="E1925" i="4"/>
  <c r="C2233" i="4"/>
  <c r="C1924" i="4"/>
  <c r="C2213" i="4"/>
  <c r="F2051" i="4"/>
  <c r="F2109" i="4"/>
  <c r="F1980" i="4"/>
  <c r="F2091" i="4"/>
  <c r="B1963" i="4"/>
  <c r="F2195" i="4"/>
  <c r="F2061" i="4"/>
  <c r="C2257" i="4"/>
  <c r="A2249" i="4"/>
  <c r="A2255" i="4"/>
  <c r="C1797" i="4"/>
  <c r="F2150" i="4"/>
  <c r="B1739" i="4"/>
  <c r="D2220" i="4"/>
  <c r="C1804" i="4"/>
  <c r="F2046" i="4"/>
  <c r="F2216" i="4"/>
  <c r="E1959" i="4"/>
  <c r="F2001" i="4"/>
  <c r="B1888" i="4"/>
  <c r="C1824" i="4"/>
  <c r="B1826" i="4"/>
  <c r="B1462" i="4"/>
  <c r="C2163" i="4"/>
  <c r="B2065" i="4"/>
  <c r="A1857" i="4"/>
  <c r="A1826" i="4"/>
  <c r="C2061" i="4"/>
  <c r="F1728" i="4"/>
  <c r="F1990" i="4"/>
  <c r="F1505" i="4"/>
  <c r="F2262" i="4"/>
  <c r="A2268" i="4"/>
  <c r="B2075" i="4"/>
  <c r="F1729" i="4"/>
  <c r="B2126" i="4"/>
  <c r="B1876" i="4"/>
  <c r="A1692" i="4"/>
  <c r="A1439" i="4"/>
  <c r="B1944" i="4"/>
  <c r="F2036" i="4"/>
  <c r="D1962" i="4"/>
  <c r="A1415" i="4"/>
  <c r="C1936" i="4"/>
  <c r="F1384" i="4"/>
  <c r="B1891" i="4"/>
  <c r="F1359" i="4"/>
  <c r="C2219" i="4"/>
  <c r="F2049" i="4"/>
  <c r="A1900" i="4"/>
  <c r="C1693" i="4"/>
  <c r="A1771" i="4"/>
  <c r="F1477" i="4"/>
  <c r="B1969" i="4"/>
  <c r="D1331" i="4"/>
  <c r="E2258" i="4"/>
  <c r="B2073" i="4"/>
  <c r="F1948" i="4"/>
  <c r="C1502" i="4"/>
  <c r="B1773" i="4"/>
  <c r="C1430" i="4"/>
  <c r="D1972" i="4"/>
  <c r="B1518" i="4"/>
  <c r="F2268" i="4"/>
  <c r="D2203" i="4"/>
  <c r="A1951" i="4"/>
  <c r="A1454" i="4"/>
  <c r="D1963" i="4"/>
  <c r="E1826" i="4"/>
  <c r="F2093" i="4"/>
  <c r="D1479" i="4"/>
  <c r="F1963" i="4"/>
  <c r="C1889" i="4"/>
  <c r="F1884" i="4"/>
  <c r="C1473" i="4"/>
  <c r="C1944" i="4"/>
  <c r="B1454" i="4"/>
  <c r="D1978" i="4"/>
  <c r="A1223" i="4"/>
  <c r="A2125" i="4"/>
  <c r="C1732" i="4"/>
  <c r="F1822" i="4"/>
  <c r="A1675" i="4"/>
  <c r="A1836" i="4"/>
  <c r="B1460" i="4"/>
  <c r="F1676" i="4"/>
  <c r="F1193" i="4"/>
  <c r="A2160" i="4"/>
  <c r="A2004" i="4"/>
  <c r="A1825" i="4"/>
  <c r="C1483" i="4"/>
  <c r="D2261" i="4"/>
  <c r="C1722" i="4"/>
  <c r="A1875" i="4"/>
  <c r="C1791" i="4"/>
  <c r="A2155" i="4"/>
  <c r="B1973" i="4"/>
  <c r="C2069" i="4"/>
  <c r="C1723" i="4"/>
  <c r="F2097" i="4"/>
  <c r="A1726" i="4"/>
  <c r="C1913" i="4"/>
  <c r="A1711" i="4"/>
  <c r="A2032" i="4"/>
  <c r="F1893" i="4"/>
  <c r="D1648" i="4"/>
  <c r="C1631" i="4"/>
  <c r="B1933" i="4"/>
  <c r="A1597" i="4"/>
  <c r="C2035" i="4"/>
  <c r="A1571" i="4"/>
  <c r="B2077" i="4"/>
  <c r="A2193" i="4"/>
  <c r="C2267" i="4"/>
  <c r="C1916" i="4"/>
  <c r="F1848" i="4"/>
  <c r="D2134" i="4"/>
  <c r="D2156" i="4"/>
  <c r="A2135" i="4"/>
  <c r="B2265" i="4"/>
  <c r="C2164" i="4"/>
  <c r="D1918" i="4"/>
  <c r="C1613" i="4"/>
  <c r="C1951" i="4"/>
  <c r="B1962" i="4"/>
  <c r="D2087" i="4"/>
  <c r="E1815" i="4"/>
  <c r="F2134" i="4"/>
  <c r="D1964" i="4"/>
  <c r="A2225" i="4"/>
  <c r="F1658" i="4"/>
  <c r="C2230" i="4"/>
  <c r="D1900" i="4"/>
  <c r="B2262" i="4"/>
  <c r="D1891" i="4"/>
  <c r="B2166" i="4"/>
  <c r="C2089" i="4"/>
  <c r="F2089" i="4"/>
  <c r="D2129" i="4"/>
  <c r="D2159" i="4"/>
  <c r="D2155" i="4"/>
  <c r="C1943" i="4"/>
  <c r="C1832" i="4"/>
  <c r="D2263" i="4"/>
  <c r="A1754" i="4"/>
  <c r="B1809" i="4"/>
  <c r="B1930" i="4"/>
  <c r="B1818" i="4"/>
  <c r="B1754" i="4"/>
  <c r="C1790" i="4"/>
  <c r="E1597" i="4"/>
  <c r="A2171" i="4"/>
  <c r="D1683" i="4"/>
  <c r="E1810" i="4"/>
  <c r="F1755" i="4"/>
  <c r="F2027" i="4"/>
  <c r="A1988" i="4"/>
  <c r="A1813" i="4"/>
  <c r="A1433" i="4"/>
  <c r="C2214" i="4"/>
  <c r="B1859" i="4"/>
  <c r="A1864" i="4"/>
  <c r="A2085" i="4"/>
  <c r="F2116" i="4"/>
  <c r="F1774" i="4"/>
  <c r="D1826" i="4"/>
  <c r="B1572" i="4"/>
  <c r="F1671" i="4"/>
  <c r="D1933" i="4"/>
  <c r="B1564" i="4"/>
  <c r="D1340" i="4"/>
  <c r="D1506" i="4"/>
  <c r="C1311" i="4"/>
  <c r="A1662" i="4"/>
  <c r="F1288" i="4"/>
  <c r="A2196" i="4"/>
  <c r="D1615" i="4"/>
  <c r="A1872" i="4"/>
  <c r="A1887" i="4"/>
  <c r="F1944" i="4"/>
  <c r="D1406" i="4"/>
  <c r="F1517" i="4"/>
  <c r="F1590" i="4"/>
  <c r="A2153" i="4"/>
  <c r="C1803" i="4"/>
  <c r="F1920" i="4"/>
  <c r="F1429" i="4"/>
  <c r="F1736" i="4"/>
  <c r="A1586" i="4"/>
  <c r="B1756" i="4"/>
  <c r="C1445" i="4"/>
  <c r="C2222" i="4"/>
  <c r="C1843" i="4"/>
  <c r="F1922" i="4"/>
  <c r="B1587" i="4"/>
  <c r="F1934" i="4"/>
  <c r="C1756" i="4"/>
  <c r="D1778" i="4"/>
  <c r="B1408" i="4"/>
  <c r="A1881" i="4"/>
  <c r="D1434" i="4"/>
  <c r="A1925" i="4"/>
  <c r="A1403" i="4"/>
  <c r="B1890" i="4"/>
  <c r="F1381" i="4"/>
  <c r="A1810" i="4"/>
  <c r="B1350" i="4"/>
  <c r="F2208" i="4"/>
  <c r="C1622" i="4"/>
  <c r="D1795" i="4"/>
  <c r="F1830" i="4"/>
  <c r="A1805" i="4"/>
  <c r="D1389" i="4"/>
  <c r="F1969" i="4"/>
  <c r="C1704" i="4"/>
  <c r="D2243" i="4"/>
  <c r="A1604" i="4"/>
  <c r="B1797" i="4"/>
  <c r="B1412" i="4"/>
  <c r="A1709" i="4"/>
  <c r="B1695" i="4"/>
  <c r="D1727" i="4"/>
  <c r="F1738" i="4"/>
  <c r="F2063" i="4"/>
  <c r="C1765" i="4"/>
  <c r="F1690" i="4"/>
  <c r="D1407" i="4"/>
  <c r="A1890" i="4"/>
  <c r="F1724" i="4"/>
  <c r="D1760" i="4"/>
  <c r="A1827" i="4"/>
  <c r="F1775" i="4"/>
  <c r="A1568" i="4"/>
  <c r="F1916" i="4"/>
  <c r="D1408" i="4"/>
  <c r="F1846" i="4"/>
  <c r="B1386" i="4"/>
  <c r="D1954" i="4"/>
  <c r="B2164" i="4"/>
  <c r="B2176" i="4"/>
  <c r="F1917" i="4"/>
  <c r="F2026" i="4"/>
  <c r="B2088" i="4"/>
  <c r="C2133" i="4"/>
  <c r="B2168" i="4"/>
  <c r="D2072" i="4"/>
  <c r="B2070" i="4"/>
  <c r="B2153" i="4"/>
  <c r="B2238" i="4"/>
  <c r="A2003" i="4"/>
  <c r="C2091" i="4"/>
  <c r="D1834" i="4"/>
  <c r="C2266" i="4"/>
  <c r="F1879" i="4"/>
  <c r="D2118" i="4"/>
  <c r="C2074" i="4"/>
  <c r="E2133" i="4"/>
  <c r="C1940" i="4"/>
  <c r="B2225" i="4"/>
  <c r="A1766" i="4"/>
  <c r="A1985" i="4"/>
  <c r="B2058" i="4"/>
  <c r="D1874" i="4"/>
  <c r="C2201" i="4"/>
  <c r="A2234" i="4"/>
  <c r="B1740" i="4"/>
  <c r="D2091" i="4"/>
  <c r="B1815" i="4"/>
  <c r="F2177" i="4"/>
  <c r="F1741" i="4"/>
  <c r="A2258" i="4"/>
  <c r="C2234" i="4"/>
  <c r="F2075" i="4"/>
  <c r="B1931" i="4"/>
  <c r="E2003" i="4"/>
  <c r="B1741" i="4"/>
  <c r="B1405" i="4"/>
  <c r="A1445" i="4"/>
  <c r="F2138" i="4"/>
  <c r="B2186" i="4"/>
  <c r="C1912" i="4"/>
  <c r="D1723" i="4"/>
  <c r="D2195" i="4"/>
  <c r="B1978" i="4"/>
  <c r="B2187" i="4"/>
  <c r="B1610" i="4"/>
  <c r="A2098" i="4"/>
  <c r="D2098" i="4"/>
  <c r="F1940" i="4"/>
  <c r="F1982" i="4"/>
  <c r="A2198" i="4"/>
  <c r="F1760" i="4"/>
  <c r="B2155" i="4"/>
  <c r="A1616" i="4"/>
  <c r="D2153" i="4"/>
  <c r="C2025" i="4"/>
  <c r="C2125" i="4"/>
  <c r="F1850" i="4"/>
  <c r="A2243" i="4"/>
  <c r="A2068" i="4"/>
  <c r="D2128" i="4"/>
  <c r="F1739" i="4"/>
  <c r="F2068" i="4"/>
  <c r="D2062" i="4"/>
  <c r="B2237" i="4"/>
  <c r="C1837" i="4"/>
  <c r="F2140" i="4"/>
  <c r="D1415" i="4"/>
  <c r="E2148" i="4"/>
  <c r="D1899" i="4"/>
  <c r="C2180" i="4"/>
  <c r="B2030" i="4"/>
  <c r="B2204" i="4"/>
  <c r="A1650" i="4"/>
  <c r="A2206" i="4"/>
  <c r="F1573" i="4"/>
  <c r="A2223" i="4"/>
  <c r="B1656" i="4"/>
  <c r="F2200" i="4"/>
  <c r="F1998" i="4"/>
  <c r="B2267" i="4"/>
  <c r="F1601" i="4"/>
  <c r="B2207" i="4"/>
  <c r="F1742" i="4"/>
  <c r="B2062" i="4"/>
  <c r="B1690" i="4"/>
  <c r="B2211" i="4"/>
  <c r="D1925" i="4"/>
  <c r="A1947" i="4"/>
  <c r="D1846" i="4"/>
  <c r="F2142" i="4"/>
  <c r="B1766" i="4"/>
  <c r="C2101" i="4"/>
  <c r="F1883" i="4"/>
  <c r="C2088" i="4"/>
  <c r="A1911" i="4"/>
  <c r="F2212" i="4"/>
  <c r="D1815" i="4"/>
  <c r="A2164" i="4"/>
  <c r="C1398" i="4"/>
  <c r="C2054" i="4"/>
  <c r="F2060" i="4"/>
  <c r="A2033" i="4"/>
  <c r="D1831" i="4"/>
  <c r="A2165" i="4"/>
  <c r="C1630" i="4"/>
  <c r="A2163" i="4"/>
  <c r="F1950" i="4"/>
  <c r="D2213" i="4"/>
  <c r="B1672" i="4"/>
  <c r="B2054" i="4"/>
  <c r="A1897" i="4"/>
  <c r="A2212" i="4"/>
  <c r="B1955" i="4"/>
  <c r="C2194" i="4"/>
  <c r="B1966" i="4"/>
  <c r="A2194" i="4"/>
  <c r="A1762" i="4"/>
  <c r="A1908" i="4"/>
  <c r="B1897" i="4"/>
  <c r="B1974" i="4"/>
  <c r="C1420" i="4"/>
  <c r="A1969" i="4"/>
  <c r="A1598" i="4"/>
  <c r="B1838" i="4"/>
  <c r="D1512" i="4"/>
  <c r="A1861" i="4"/>
  <c r="B1919" i="4"/>
  <c r="A1946" i="4"/>
  <c r="D1848" i="4"/>
  <c r="B2083" i="4"/>
  <c r="A2065" i="4"/>
  <c r="A1966" i="4"/>
  <c r="B1841" i="4"/>
  <c r="A1913" i="4"/>
  <c r="C2007" i="4"/>
  <c r="B1837" i="4"/>
  <c r="F1935" i="4"/>
  <c r="F1885" i="4"/>
  <c r="A1948" i="4"/>
  <c r="F1756" i="4"/>
  <c r="F1772" i="4"/>
  <c r="F2106" i="4"/>
  <c r="A1570" i="4"/>
  <c r="C2254" i="4"/>
  <c r="A1975" i="4"/>
  <c r="F1933" i="4"/>
  <c r="A1774" i="4"/>
  <c r="A1756" i="4"/>
  <c r="D1675" i="4"/>
  <c r="F1807" i="4"/>
  <c r="B1736" i="4"/>
  <c r="B2026" i="4"/>
  <c r="C1929" i="4"/>
  <c r="D1935" i="4"/>
  <c r="D1676" i="4"/>
  <c r="A1950" i="4"/>
  <c r="C1941" i="4"/>
  <c r="C1833" i="4"/>
  <c r="D1734" i="4"/>
  <c r="B1748" i="4"/>
  <c r="B1735" i="4"/>
  <c r="F1788" i="4"/>
  <c r="A1660" i="4"/>
  <c r="A1860" i="4"/>
  <c r="B1623" i="4"/>
  <c r="C2044" i="4"/>
  <c r="C1599" i="4"/>
  <c r="D2160" i="4"/>
  <c r="B1415" i="4"/>
  <c r="A2088" i="4"/>
  <c r="A2240" i="4"/>
  <c r="F1894" i="4"/>
  <c r="B1461" i="4"/>
  <c r="F2242" i="4"/>
  <c r="D2127" i="4"/>
  <c r="B1725" i="4"/>
  <c r="B1882" i="4"/>
  <c r="F1684" i="4"/>
  <c r="D1611" i="4"/>
  <c r="C1748" i="4"/>
  <c r="A1572" i="4"/>
  <c r="C1683" i="4"/>
  <c r="F1549" i="4"/>
  <c r="B1938" i="4"/>
  <c r="B1653" i="4"/>
  <c r="F1993" i="4"/>
  <c r="C2241" i="4"/>
  <c r="C1807" i="4"/>
  <c r="B1665" i="4"/>
  <c r="C2056" i="4"/>
  <c r="D1961" i="4"/>
  <c r="F1973" i="4"/>
  <c r="F1646" i="4"/>
  <c r="F1989" i="4"/>
  <c r="F1471" i="4"/>
  <c r="F1758" i="4"/>
  <c r="A1686" i="4"/>
  <c r="F1656" i="4"/>
  <c r="C1431" i="4"/>
  <c r="A2233" i="4"/>
  <c r="C1487" i="4"/>
  <c r="F1303" i="4"/>
  <c r="B1790" i="4"/>
  <c r="D2106" i="4"/>
  <c r="A1534" i="4"/>
  <c r="F1594" i="4"/>
  <c r="D1959" i="4"/>
  <c r="B2039" i="4"/>
  <c r="F1921" i="4"/>
  <c r="D1762" i="4"/>
  <c r="F1410" i="4"/>
  <c r="C1705" i="4"/>
  <c r="B1379" i="4"/>
  <c r="C2236" i="4"/>
  <c r="D1355" i="4"/>
  <c r="D2097" i="4"/>
  <c r="A1400" i="4"/>
  <c r="F1270" i="4"/>
  <c r="D1682" i="4"/>
  <c r="F2038" i="4"/>
  <c r="B1895" i="4"/>
  <c r="C1220" i="4"/>
  <c r="E1560" i="4"/>
  <c r="A2100" i="4"/>
  <c r="B2007" i="4"/>
  <c r="D1906" i="4"/>
  <c r="B1640" i="4"/>
  <c r="F1923" i="4"/>
  <c r="F1693" i="4"/>
  <c r="F1876" i="4"/>
  <c r="B1712" i="4"/>
  <c r="D1783" i="4"/>
  <c r="F1637" i="4"/>
  <c r="C1320" i="4"/>
  <c r="A1640" i="4"/>
  <c r="C2107" i="4"/>
  <c r="F1545" i="4"/>
  <c r="B1209" i="4"/>
  <c r="D1932" i="4"/>
  <c r="C2021" i="4"/>
  <c r="A1674" i="4"/>
  <c r="A1791" i="4"/>
  <c r="A1737" i="4"/>
  <c r="A1733" i="4"/>
  <c r="B1813" i="4"/>
  <c r="C2150" i="4"/>
  <c r="B1700" i="4"/>
  <c r="B1847" i="4"/>
  <c r="C1724" i="4"/>
  <c r="B1180" i="4"/>
  <c r="B1945" i="4"/>
  <c r="A1721" i="4"/>
  <c r="A1577" i="4"/>
  <c r="C1439" i="4"/>
  <c r="C1745" i="4"/>
  <c r="D1649" i="4"/>
  <c r="A1556" i="4"/>
  <c r="F1699" i="4"/>
  <c r="C1793" i="4"/>
  <c r="A1469" i="4"/>
  <c r="F1645" i="4"/>
  <c r="F1667" i="4"/>
  <c r="F2029" i="4"/>
  <c r="A1679" i="4"/>
  <c r="A1970" i="4"/>
  <c r="D1797" i="4"/>
  <c r="A1759" i="4"/>
  <c r="C1584" i="4"/>
  <c r="B1709" i="4"/>
  <c r="C1583" i="4"/>
  <c r="B2053" i="4"/>
  <c r="F1644" i="4"/>
  <c r="D1745" i="4"/>
  <c r="A1939" i="4"/>
  <c r="F1662" i="4"/>
  <c r="F1538" i="4"/>
  <c r="D1742" i="4"/>
  <c r="F1537" i="4"/>
  <c r="B2001" i="4"/>
  <c r="A1612" i="4"/>
  <c r="A1645" i="4"/>
  <c r="B2109" i="4"/>
  <c r="C1872" i="4"/>
  <c r="F1749" i="4"/>
  <c r="D1628" i="4"/>
  <c r="C2109" i="4"/>
  <c r="D2199" i="4"/>
  <c r="E1650" i="4"/>
  <c r="A1493" i="4"/>
  <c r="F1712" i="4"/>
  <c r="F1433" i="4"/>
  <c r="D1637" i="4"/>
  <c r="B1582" i="4"/>
  <c r="F1587" i="4"/>
  <c r="A1760" i="4"/>
  <c r="C1308" i="4"/>
  <c r="A1838" i="4"/>
  <c r="B2217" i="4"/>
  <c r="C1695" i="4"/>
  <c r="B1570" i="4"/>
  <c r="D1895" i="4"/>
  <c r="F2148" i="4"/>
  <c r="F2217" i="4"/>
  <c r="A1383" i="4"/>
  <c r="A1852" i="4"/>
  <c r="A1584" i="4"/>
  <c r="D1711" i="4"/>
  <c r="D1585" i="4"/>
  <c r="B1862" i="4"/>
  <c r="B2162" i="4"/>
  <c r="F1776" i="4"/>
  <c r="B1520" i="4"/>
  <c r="F1868" i="4"/>
  <c r="F2180" i="4"/>
  <c r="A1803" i="4"/>
  <c r="B1708" i="4"/>
  <c r="D1731" i="4"/>
  <c r="F2056" i="4"/>
  <c r="A2105" i="4"/>
  <c r="C2144" i="4"/>
  <c r="D1786" i="4"/>
  <c r="D2205" i="4"/>
  <c r="A1755" i="4"/>
  <c r="D2221" i="4"/>
  <c r="A1804" i="4"/>
  <c r="B2147" i="4"/>
  <c r="A2103" i="4"/>
  <c r="F1687" i="4"/>
  <c r="C2249" i="4"/>
  <c r="F2117" i="4"/>
  <c r="B2079" i="4"/>
  <c r="B1510" i="4"/>
  <c r="C2190" i="4"/>
  <c r="C2183" i="4"/>
  <c r="C1654" i="4"/>
  <c r="A1488" i="4"/>
  <c r="A1652" i="4"/>
  <c r="C1336" i="4"/>
  <c r="A1606" i="4"/>
  <c r="C1306" i="4"/>
  <c r="C1686" i="4"/>
  <c r="B1284" i="4"/>
  <c r="D1885" i="4"/>
  <c r="D1501" i="4"/>
  <c r="D2026" i="4"/>
  <c r="D2042" i="4"/>
  <c r="F1655" i="4"/>
  <c r="F1526" i="4"/>
  <c r="F1897" i="4"/>
  <c r="A1847" i="4"/>
  <c r="F1903" i="4"/>
  <c r="C1609" i="4"/>
  <c r="F1925" i="4"/>
  <c r="C1753" i="4"/>
  <c r="A1627" i="4"/>
  <c r="C1752" i="4"/>
  <c r="B1997" i="4"/>
  <c r="A1886" i="4"/>
  <c r="A2220" i="4"/>
  <c r="C1671" i="4"/>
  <c r="B1235" i="4"/>
  <c r="A1578" i="4"/>
  <c r="B2047" i="4"/>
  <c r="F1609" i="4"/>
  <c r="A1485" i="4"/>
  <c r="B1812" i="4"/>
  <c r="A1952" i="4"/>
  <c r="D1976" i="4"/>
  <c r="C1954" i="4"/>
  <c r="B1370" i="4"/>
  <c r="D1979" i="4"/>
  <c r="B1626" i="4"/>
  <c r="D1879" i="4"/>
  <c r="A1394" i="4"/>
  <c r="B2085" i="4"/>
  <c r="C1564" i="4"/>
  <c r="C1114" i="4"/>
  <c r="F1446" i="4"/>
  <c r="B1846" i="4"/>
  <c r="D1867" i="4"/>
  <c r="B2224" i="4"/>
  <c r="F1900" i="4"/>
  <c r="A2120" i="4"/>
  <c r="B2106" i="4"/>
  <c r="D2152" i="4"/>
  <c r="C2226" i="4"/>
  <c r="D1841" i="4"/>
  <c r="F1842" i="4"/>
  <c r="B2011" i="4"/>
  <c r="A1883" i="4"/>
  <c r="A2158" i="4"/>
  <c r="A1878" i="4"/>
  <c r="C2166" i="4"/>
  <c r="B1688" i="4"/>
  <c r="C1973" i="4"/>
  <c r="D1375" i="4"/>
  <c r="A1996" i="4"/>
  <c r="D1801" i="4"/>
  <c r="E2165" i="4"/>
  <c r="A1670" i="4"/>
  <c r="C1894" i="4"/>
  <c r="A1816" i="4"/>
  <c r="B2227" i="4"/>
  <c r="B1692" i="4"/>
  <c r="F1981" i="4"/>
  <c r="F1952" i="4"/>
  <c r="B2064" i="4"/>
  <c r="A1817" i="4"/>
  <c r="F2042" i="4"/>
  <c r="A1896" i="4"/>
  <c r="F2018" i="4"/>
  <c r="F1541" i="4"/>
  <c r="A2041" i="4"/>
  <c r="F1835" i="4"/>
  <c r="F1978" i="4"/>
  <c r="A2005" i="4"/>
  <c r="D2095" i="4"/>
  <c r="C1960" i="4"/>
  <c r="C2162" i="4"/>
  <c r="F1899" i="4"/>
  <c r="B2094" i="4"/>
  <c r="C1830" i="4"/>
  <c r="B1351" i="4"/>
  <c r="D1749" i="4"/>
  <c r="C1890" i="4"/>
  <c r="A1794" i="4"/>
  <c r="A1219" i="4"/>
  <c r="A2058" i="4"/>
  <c r="B1853" i="4"/>
  <c r="D1814" i="4"/>
  <c r="F2160" i="4"/>
  <c r="F2004" i="4"/>
  <c r="A1880" i="4"/>
  <c r="C1901" i="4"/>
  <c r="A2071" i="4"/>
  <c r="F2013" i="4"/>
  <c r="A2015" i="4"/>
  <c r="B2003" i="4"/>
  <c r="B1388" i="4"/>
  <c r="B1746" i="4"/>
  <c r="C1908" i="4"/>
  <c r="B1868" i="4"/>
  <c r="D1400" i="4"/>
  <c r="F1379" i="4"/>
  <c r="A1926" i="4"/>
  <c r="D1860" i="4"/>
  <c r="F1968" i="4"/>
  <c r="A1808" i="4"/>
  <c r="A1937" i="4"/>
  <c r="D1833" i="4"/>
  <c r="F1906" i="4"/>
  <c r="C1718" i="4"/>
  <c r="A2113" i="4"/>
  <c r="F1914" i="4"/>
  <c r="A1566" i="4"/>
  <c r="C1864" i="4"/>
  <c r="D2208" i="4"/>
  <c r="B1783" i="4"/>
  <c r="F1495" i="4"/>
  <c r="D1991" i="4"/>
  <c r="B2163" i="4"/>
  <c r="A2051" i="4"/>
  <c r="D2143" i="4"/>
  <c r="F1863" i="4"/>
  <c r="C2149" i="4"/>
  <c r="C1784" i="4"/>
  <c r="A2023" i="4"/>
  <c r="B1901" i="4"/>
  <c r="F2086" i="4"/>
  <c r="B1689" i="4"/>
  <c r="A1545" i="4"/>
  <c r="C1596" i="4"/>
  <c r="B2250" i="4"/>
  <c r="D1894" i="4"/>
  <c r="B1568" i="4"/>
  <c r="D2061" i="4"/>
  <c r="F1851" i="4"/>
  <c r="B1911" i="4"/>
  <c r="B2081" i="4"/>
  <c r="D1759" i="4"/>
  <c r="B2021" i="4"/>
  <c r="F1657" i="4"/>
  <c r="D2009" i="4"/>
  <c r="B1788" i="4"/>
  <c r="A2039" i="4"/>
  <c r="D1825" i="4"/>
  <c r="C1549" i="4"/>
  <c r="C2016" i="4"/>
  <c r="D1853" i="4"/>
  <c r="A1892" i="4"/>
  <c r="B1399" i="4"/>
  <c r="C1931" i="4"/>
  <c r="B2096" i="4"/>
  <c r="C1828" i="4"/>
  <c r="F1474" i="4"/>
  <c r="A1935" i="4"/>
  <c r="A1436" i="4"/>
  <c r="B1917" i="4"/>
  <c r="A1413" i="4"/>
  <c r="C1971" i="4"/>
  <c r="A1712" i="4"/>
  <c r="C1740" i="4"/>
  <c r="D1235" i="4"/>
  <c r="B1724" i="4"/>
  <c r="A1868" i="4"/>
  <c r="A1673" i="4"/>
  <c r="B1617" i="4"/>
  <c r="C1643" i="4"/>
  <c r="A1533" i="4"/>
  <c r="F1625" i="4"/>
  <c r="C1792" i="4"/>
  <c r="A1943" i="4"/>
  <c r="C1796" i="4"/>
  <c r="D1724" i="4"/>
  <c r="C1782" i="4"/>
  <c r="F2125" i="4"/>
  <c r="B1810" i="4"/>
  <c r="D2130" i="4"/>
  <c r="C2022" i="4"/>
  <c r="F2048" i="4"/>
  <c r="F1869" i="4"/>
  <c r="A1706" i="4"/>
  <c r="B1667" i="4"/>
  <c r="B2024" i="4"/>
  <c r="A1740" i="4"/>
  <c r="B2046" i="4"/>
  <c r="F1873" i="4"/>
  <c r="F2047" i="4"/>
  <c r="A1746" i="4"/>
  <c r="A1903" i="4"/>
  <c r="F1436" i="4"/>
  <c r="A2157" i="4"/>
  <c r="D1646" i="4"/>
  <c r="B1850" i="4"/>
  <c r="A1747" i="4"/>
  <c r="C1910" i="4"/>
  <c r="B1779" i="4"/>
  <c r="C2050" i="4"/>
  <c r="C1619" i="4"/>
  <c r="F2069" i="4"/>
  <c r="B2142" i="4"/>
  <c r="A2024" i="4"/>
  <c r="D2016" i="4"/>
  <c r="F1908" i="4"/>
  <c r="B1592" i="4"/>
  <c r="B1952" i="4"/>
  <c r="A1648" i="4"/>
  <c r="D1994" i="4"/>
  <c r="A1521" i="4"/>
  <c r="D1388" i="4"/>
  <c r="B1834" i="4"/>
  <c r="F2112" i="4"/>
  <c r="F1555" i="4"/>
  <c r="A1332" i="4"/>
  <c r="C1426" i="4"/>
  <c r="D2054" i="4"/>
  <c r="B2074" i="4"/>
  <c r="A1977" i="4"/>
  <c r="B1553" i="4"/>
  <c r="A1855" i="4"/>
  <c r="C1879" i="4"/>
  <c r="A1834" i="4"/>
  <c r="F1414" i="4"/>
  <c r="C1990" i="4"/>
  <c r="A1617" i="4"/>
  <c r="F1462" i="4"/>
  <c r="C1802" i="4"/>
  <c r="B2093" i="4"/>
  <c r="B1981" i="4"/>
  <c r="B1925" i="4"/>
  <c r="A1773" i="4"/>
  <c r="D2209" i="4"/>
  <c r="F2005" i="4"/>
  <c r="C2071" i="4"/>
  <c r="A1549" i="4"/>
  <c r="F1852" i="4"/>
  <c r="B1625" i="4"/>
  <c r="F1895" i="4"/>
  <c r="D1504" i="4"/>
  <c r="A2048" i="4"/>
  <c r="C1885" i="4"/>
  <c r="D1191" i="4"/>
  <c r="C1726" i="4"/>
  <c r="B1883" i="4"/>
  <c r="C1884" i="4"/>
  <c r="B1465" i="4"/>
  <c r="F1817" i="4"/>
  <c r="C1996" i="4"/>
  <c r="B1744" i="4"/>
  <c r="A1917" i="4"/>
  <c r="C1698" i="4"/>
  <c r="F2100" i="4"/>
  <c r="F1592" i="4"/>
  <c r="A2042" i="4"/>
  <c r="A1717" i="4"/>
  <c r="C1860" i="4"/>
  <c r="B1629" i="4"/>
  <c r="C1316" i="4"/>
  <c r="B1679" i="4"/>
  <c r="B1844" i="4"/>
  <c r="A1620" i="4"/>
  <c r="F1305" i="4"/>
  <c r="B1958" i="4"/>
  <c r="A1989" i="4"/>
  <c r="A1770" i="4"/>
  <c r="B2156" i="4"/>
  <c r="F2122" i="4"/>
  <c r="A1965" i="4"/>
  <c r="A1599" i="4"/>
  <c r="A2009" i="4"/>
  <c r="A1659" i="4"/>
  <c r="F2255" i="4"/>
  <c r="A1560" i="4"/>
  <c r="C1590" i="4"/>
  <c r="D2217" i="4"/>
  <c r="C2197" i="4"/>
  <c r="F1627" i="4"/>
  <c r="D1521" i="4"/>
  <c r="D1775" i="4"/>
  <c r="F2198" i="4"/>
  <c r="B2008" i="4"/>
  <c r="B2146" i="4"/>
  <c r="C1768" i="4"/>
  <c r="F2102" i="4"/>
  <c r="C1684" i="4"/>
  <c r="F2053" i="4"/>
  <c r="F1786" i="4"/>
  <c r="B1975" i="4"/>
  <c r="F1844" i="4"/>
  <c r="B1278" i="4"/>
  <c r="C1586" i="4"/>
  <c r="B1899" i="4"/>
  <c r="A1713" i="4"/>
  <c r="C1505" i="4"/>
  <c r="A1476" i="4"/>
  <c r="C1733" i="4"/>
  <c r="C1741" i="4"/>
  <c r="F1623" i="4"/>
  <c r="B2023" i="4"/>
  <c r="B1528" i="4"/>
  <c r="F1951" i="4"/>
  <c r="F1745" i="4"/>
  <c r="B1905" i="4"/>
  <c r="F1597" i="4"/>
  <c r="F2098" i="4"/>
  <c r="D1729" i="4"/>
  <c r="C1282" i="4"/>
  <c r="B1816" i="4"/>
  <c r="C2148" i="4"/>
  <c r="B1937" i="4"/>
  <c r="B1255" i="4"/>
  <c r="C1449" i="4"/>
  <c r="C2120" i="4"/>
  <c r="C1979" i="4"/>
  <c r="A2017" i="4"/>
  <c r="F1652" i="4"/>
  <c r="C1897" i="4"/>
  <c r="F2088" i="4"/>
  <c r="F2170" i="4"/>
  <c r="C1770" i="4"/>
  <c r="A2046" i="4"/>
  <c r="F1488" i="4"/>
  <c r="F1449" i="4"/>
  <c r="F1975" i="4"/>
  <c r="F2014" i="4"/>
  <c r="D1758" i="4"/>
  <c r="D1447" i="4"/>
  <c r="D1704" i="4"/>
  <c r="A1815" i="4"/>
  <c r="C1863" i="4"/>
  <c r="B2104" i="4"/>
  <c r="F1716" i="4"/>
  <c r="E2130" i="4"/>
  <c r="A1610" i="4"/>
  <c r="A1828" i="4"/>
  <c r="B1733" i="4"/>
  <c r="D2145" i="4"/>
  <c r="C1551" i="4"/>
  <c r="B1590" i="4"/>
  <c r="D1674" i="4"/>
  <c r="F2057" i="4"/>
  <c r="C1350" i="4"/>
  <c r="B1584" i="4"/>
  <c r="B1887" i="4"/>
  <c r="B2209" i="4"/>
  <c r="B2181" i="4"/>
  <c r="D1781" i="4"/>
  <c r="E1567" i="4"/>
  <c r="A2254" i="4"/>
  <c r="B1264" i="4"/>
  <c r="A1580" i="4"/>
  <c r="F1717" i="4"/>
  <c r="D2085" i="4"/>
  <c r="A1421" i="4"/>
  <c r="F1329" i="4"/>
  <c r="D1764" i="4"/>
  <c r="F2129" i="4"/>
  <c r="D1458" i="4"/>
  <c r="C1455" i="4"/>
  <c r="C1562" i="4"/>
  <c r="A2067" i="4"/>
  <c r="C2040" i="4"/>
  <c r="A1565" i="4"/>
  <c r="B1260" i="4"/>
  <c r="D2099" i="4"/>
  <c r="A1538" i="4"/>
  <c r="D1570" i="4"/>
  <c r="A1845" i="4"/>
  <c r="F1826" i="4"/>
  <c r="C1337" i="4"/>
  <c r="D1545" i="4"/>
  <c r="C1699" i="4"/>
  <c r="F1964" i="4"/>
  <c r="A1553" i="4"/>
  <c r="D1790" i="4"/>
  <c r="C1500" i="4"/>
  <c r="F2080" i="4"/>
  <c r="A1882" i="4"/>
  <c r="B1258" i="4"/>
  <c r="A1144" i="4"/>
  <c r="B2177" i="4"/>
  <c r="B1432" i="4"/>
  <c r="D1224" i="4"/>
  <c r="D2210" i="4"/>
  <c r="F1956" i="4"/>
  <c r="F1737" i="4"/>
  <c r="A1381" i="4"/>
  <c r="C1523" i="4"/>
  <c r="B1729" i="4"/>
  <c r="B1277" i="4"/>
  <c r="D1520" i="4"/>
  <c r="F1422" i="4"/>
  <c r="C1466" i="4"/>
  <c r="C1563" i="4"/>
  <c r="C1257" i="4"/>
  <c r="B1382" i="4"/>
  <c r="A1893" i="4"/>
  <c r="A827" i="4"/>
  <c r="C1508" i="4"/>
  <c r="D1193" i="4"/>
  <c r="F1800" i="4"/>
  <c r="B1648" i="4"/>
  <c r="B2101" i="4"/>
  <c r="A1960" i="4"/>
  <c r="F1930" i="4"/>
  <c r="B1737" i="4"/>
  <c r="C2155" i="4"/>
  <c r="F2002" i="4"/>
  <c r="F1986" i="4"/>
  <c r="C1882" i="4"/>
  <c r="C1650" i="4"/>
  <c r="A1499" i="4"/>
  <c r="C1862" i="4"/>
  <c r="B1787" i="4"/>
  <c r="C1967" i="4"/>
  <c r="F2087" i="4"/>
  <c r="C2003" i="4"/>
  <c r="D1621" i="4"/>
  <c r="E2080" i="4"/>
  <c r="A1876" i="4"/>
  <c r="E1734" i="4"/>
  <c r="B1299" i="4"/>
  <c r="D1599" i="4"/>
  <c r="F2019" i="4"/>
  <c r="C1678" i="4"/>
  <c r="D1746" i="4"/>
  <c r="B1940" i="4"/>
  <c r="C1888" i="4"/>
  <c r="B1949" i="4"/>
  <c r="F1524" i="4"/>
  <c r="A2043" i="4"/>
  <c r="D2171" i="4"/>
  <c r="B1956" i="4"/>
  <c r="F1550" i="4"/>
  <c r="F2023" i="4"/>
  <c r="C1871" i="4"/>
  <c r="A1639" i="4"/>
  <c r="F1603" i="4"/>
  <c r="C1829" i="4"/>
  <c r="D1941" i="4"/>
  <c r="A1677" i="4"/>
  <c r="A1784" i="4"/>
  <c r="B1437" i="4"/>
  <c r="D2183" i="4"/>
  <c r="F1703" i="4"/>
  <c r="A1371" i="4"/>
  <c r="B1889" i="4"/>
  <c r="F1946" i="4"/>
  <c r="A1723" i="4"/>
  <c r="A1541" i="4"/>
  <c r="C2092" i="4"/>
  <c r="F1997" i="4"/>
  <c r="A1294" i="4"/>
  <c r="F1720" i="4"/>
  <c r="C1694" i="4"/>
  <c r="C1976" i="4"/>
  <c r="A1669" i="4"/>
  <c r="B2223" i="4"/>
  <c r="F2034" i="4"/>
  <c r="A1715" i="4"/>
  <c r="C1725" i="4"/>
  <c r="C1744" i="4"/>
  <c r="D1522" i="4"/>
  <c r="A2092" i="4"/>
  <c r="D1719" i="4"/>
  <c r="C1569" i="4"/>
  <c r="C1966" i="4"/>
  <c r="F2185" i="4"/>
  <c r="A1962" i="4"/>
  <c r="A1564" i="4"/>
  <c r="F1744" i="4"/>
  <c r="A2073" i="4"/>
  <c r="C1993" i="4"/>
  <c r="C2046" i="4"/>
  <c r="F2210" i="4"/>
  <c r="B1913" i="4"/>
  <c r="C1859" i="4"/>
  <c r="A1548" i="4"/>
  <c r="B1757" i="4"/>
  <c r="D2224" i="4"/>
  <c r="A2002" i="4"/>
  <c r="D1307" i="4"/>
  <c r="B1602" i="4"/>
  <c r="A1658" i="4"/>
  <c r="B1704" i="4"/>
  <c r="D1384" i="4"/>
  <c r="F1551" i="4"/>
  <c r="F1901" i="4"/>
  <c r="A1841" i="4"/>
  <c r="F1864" i="4"/>
  <c r="B1717" i="4"/>
  <c r="A2261" i="4"/>
  <c r="F1802" i="4"/>
  <c r="A1542" i="4"/>
  <c r="F1721" i="4"/>
  <c r="D1981" i="4"/>
  <c r="F1841" i="4"/>
  <c r="F1443" i="4"/>
  <c r="C1459" i="4"/>
  <c r="A1563" i="4"/>
  <c r="B1681" i="4"/>
  <c r="C1325" i="4"/>
  <c r="C1696" i="4"/>
  <c r="B1886" i="4"/>
  <c r="D1872" i="4"/>
  <c r="B1425" i="4"/>
  <c r="B1822" i="4"/>
  <c r="C2073" i="4"/>
  <c r="B1716" i="4"/>
  <c r="A1513" i="4"/>
  <c r="A1930" i="4"/>
  <c r="D1909" i="4"/>
  <c r="B1573" i="4"/>
  <c r="A1823" i="4"/>
  <c r="B1858" i="4"/>
  <c r="F1831" i="4"/>
  <c r="F1651" i="4"/>
  <c r="A1608" i="4"/>
  <c r="A1412" i="4"/>
  <c r="A1936" i="4"/>
  <c r="B1770" i="4"/>
  <c r="B1833" i="4"/>
  <c r="B1222" i="4"/>
  <c r="A1898" i="4"/>
  <c r="D1445" i="4"/>
  <c r="A1958" i="4"/>
  <c r="F1212" i="4"/>
  <c r="A1769" i="4"/>
  <c r="C1469" i="4"/>
  <c r="B1220" i="4"/>
  <c r="F1675" i="4"/>
  <c r="D2201" i="4"/>
  <c r="C1758" i="4"/>
  <c r="B1168" i="4"/>
  <c r="D1535" i="4"/>
  <c r="A1665" i="4"/>
  <c r="C1594" i="4"/>
  <c r="C1738" i="4"/>
  <c r="F1525" i="4"/>
  <c r="F1886" i="4"/>
  <c r="F1765" i="4"/>
  <c r="A938" i="4"/>
  <c r="F1568" i="4"/>
  <c r="F2104" i="4"/>
  <c r="C1572" i="4"/>
  <c r="C1313" i="4"/>
  <c r="C1787" i="4"/>
  <c r="C2153" i="4"/>
  <c r="B1420" i="4"/>
  <c r="D1391" i="4"/>
  <c r="A1710" i="4"/>
  <c r="A1904" i="4"/>
  <c r="D1952" i="4"/>
  <c r="A1703" i="4"/>
  <c r="F1801" i="4"/>
  <c r="F1818" i="4"/>
  <c r="F1718" i="4"/>
  <c r="C1701" i="4"/>
  <c r="D1735" i="4"/>
  <c r="F1649" i="4"/>
  <c r="A1579" i="4"/>
  <c r="B1185" i="4"/>
  <c r="D1990" i="4"/>
  <c r="B1767" i="4"/>
  <c r="A1741" i="4"/>
  <c r="D972" i="4"/>
  <c r="D1870" i="4"/>
  <c r="B1817" i="4"/>
  <c r="C1659" i="4"/>
  <c r="A1667" i="4"/>
  <c r="F1915" i="4"/>
  <c r="C2008" i="4"/>
  <c r="A1801" i="4"/>
  <c r="D1907" i="4"/>
  <c r="B1614" i="4"/>
  <c r="A2109" i="4"/>
  <c r="B1639" i="4"/>
  <c r="B1361" i="4"/>
  <c r="D1796" i="4"/>
  <c r="B2222" i="4"/>
  <c r="F1492" i="4"/>
  <c r="A1589" i="4"/>
  <c r="F1861" i="4"/>
  <c r="A2187" i="4"/>
  <c r="B2017" i="4"/>
  <c r="A1899" i="4"/>
  <c r="F1812" i="4"/>
  <c r="C2002" i="4"/>
  <c r="B1464" i="4"/>
  <c r="C1992" i="4"/>
  <c r="A1440" i="4"/>
  <c r="C1851" i="4"/>
  <c r="B1613" i="4"/>
  <c r="D2230" i="4"/>
  <c r="B2050" i="4"/>
  <c r="D1706" i="4"/>
  <c r="B1798" i="4"/>
  <c r="C2212" i="4"/>
  <c r="D2179" i="4"/>
  <c r="F1473" i="4"/>
  <c r="D1898" i="4"/>
  <c r="A1820" i="4"/>
  <c r="F1887" i="4"/>
  <c r="A2054" i="4"/>
  <c r="D2074" i="4"/>
  <c r="A2147" i="4"/>
  <c r="F1970" i="4"/>
  <c r="A2104" i="4"/>
  <c r="D1499" i="4"/>
  <c r="A1895" i="4"/>
  <c r="A1863" i="4"/>
  <c r="B1636" i="4"/>
  <c r="D858" i="4"/>
  <c r="B1856" i="4"/>
  <c r="A1618" i="4"/>
  <c r="A1833" i="4"/>
  <c r="D1987" i="4"/>
  <c r="F1796" i="4"/>
  <c r="F1642" i="4"/>
  <c r="D1869" i="4"/>
  <c r="C1557" i="4"/>
  <c r="B2016" i="4"/>
  <c r="F1872" i="4"/>
  <c r="D1880" i="4"/>
  <c r="B1821" i="4"/>
  <c r="D2101" i="4"/>
  <c r="B1843" i="4"/>
  <c r="F1518" i="4"/>
  <c r="F934" i="4"/>
  <c r="D1624" i="4"/>
  <c r="B1902" i="4"/>
  <c r="F1559" i="4"/>
  <c r="F1464" i="4"/>
  <c r="B1444" i="4"/>
  <c r="B2071" i="4"/>
  <c r="F1811" i="4"/>
  <c r="B1776" i="4"/>
  <c r="F1857" i="4"/>
  <c r="A1927" i="4"/>
  <c r="B1921" i="4"/>
  <c r="D1546" i="4"/>
  <c r="F1787" i="4"/>
  <c r="C1677" i="4"/>
  <c r="F1668" i="4"/>
  <c r="C1598" i="4"/>
  <c r="F1680" i="4"/>
  <c r="B1828" i="4"/>
  <c r="F1366" i="4"/>
  <c r="C1617" i="4"/>
  <c r="C1638" i="4"/>
  <c r="F1515" i="4"/>
  <c r="F1631" i="4"/>
  <c r="C1932" i="4"/>
  <c r="A1464" i="4"/>
  <c r="D1726" i="4"/>
  <c r="A1683" i="4"/>
  <c r="F1689" i="4"/>
  <c r="A1934" i="4"/>
  <c r="F1929" i="4"/>
  <c r="B1792" i="4"/>
  <c r="C1780" i="4"/>
  <c r="F2223" i="4"/>
  <c r="B1926" i="4"/>
  <c r="B2037" i="4"/>
  <c r="C1865" i="4"/>
  <c r="A1734" i="4"/>
  <c r="F2145" i="4"/>
  <c r="F1434" i="4"/>
  <c r="B1606" i="4"/>
  <c r="C1945" i="4"/>
  <c r="A2108" i="4"/>
  <c r="A1700" i="4"/>
  <c r="B1743" i="4"/>
  <c r="F1813" i="4"/>
  <c r="C1985" i="4"/>
  <c r="A1523" i="4"/>
  <c r="B1532" i="4"/>
  <c r="B1953" i="4"/>
  <c r="F1985" i="4"/>
  <c r="A1663" i="4"/>
  <c r="F1892" i="4"/>
  <c r="C1841" i="4"/>
  <c r="C2191" i="4"/>
  <c r="A1786" i="4"/>
  <c r="C1566" i="4"/>
  <c r="B1684" i="4"/>
  <c r="D1859" i="4"/>
  <c r="A1417" i="4"/>
  <c r="B1593" i="4"/>
  <c r="D1928" i="4"/>
  <c r="B1719" i="4"/>
  <c r="C1779" i="4"/>
  <c r="F1640" i="4"/>
  <c r="C1536" i="4"/>
  <c r="D1936" i="4"/>
  <c r="B1691" i="4"/>
  <c r="D2149" i="4"/>
  <c r="F2108" i="4"/>
  <c r="A1832" i="4"/>
  <c r="F1943" i="4"/>
  <c r="D1416" i="4"/>
  <c r="A1603" i="4"/>
  <c r="B2052" i="4"/>
  <c r="F1785" i="4"/>
  <c r="C1582" i="4"/>
  <c r="A1704" i="4"/>
  <c r="F1918" i="4"/>
  <c r="A1409" i="4"/>
  <c r="C1429" i="4"/>
  <c r="A1441" i="4"/>
  <c r="B1403" i="4"/>
  <c r="A1837" i="4"/>
  <c r="D1692" i="4"/>
  <c r="F2099" i="4"/>
  <c r="B1546" i="4"/>
  <c r="F1467" i="4"/>
  <c r="F1397" i="4"/>
  <c r="D1721" i="4"/>
  <c r="F2009" i="4"/>
  <c r="B1416" i="4"/>
  <c r="B1539" i="4"/>
  <c r="A1906" i="4"/>
  <c r="D1856" i="4"/>
  <c r="F1610" i="4"/>
  <c r="F999" i="4"/>
  <c r="C1774" i="4"/>
  <c r="C2223" i="4"/>
  <c r="D1459" i="4"/>
  <c r="B1780" i="4"/>
  <c r="D1696" i="4"/>
  <c r="B1836" i="4"/>
  <c r="F1527" i="4"/>
  <c r="C1155" i="4"/>
  <c r="A1915" i="4"/>
  <c r="B1851" i="4"/>
  <c r="C1848" i="4"/>
  <c r="B906" i="4"/>
  <c r="F1769" i="4"/>
  <c r="D2018" i="4"/>
  <c r="C1507" i="4"/>
  <c r="D1720" i="4"/>
  <c r="A1682" i="4"/>
  <c r="B2063" i="4"/>
  <c r="A1619" i="4"/>
  <c r="A1697" i="4"/>
  <c r="D1640" i="4"/>
  <c r="A1922" i="4"/>
  <c r="A1995" i="4"/>
  <c r="F1133" i="4"/>
  <c r="D1939" i="4"/>
  <c r="E1848" i="4"/>
  <c r="A1495" i="4"/>
  <c r="A1250" i="4"/>
  <c r="D1595" i="4"/>
  <c r="F2207" i="4"/>
  <c r="C1424" i="4"/>
  <c r="C1491" i="4"/>
  <c r="D1606" i="4"/>
  <c r="A1635" i="4"/>
  <c r="F1654" i="4"/>
  <c r="F1583" i="4"/>
  <c r="A1279" i="4"/>
  <c r="B2239" i="4"/>
  <c r="C1497" i="4"/>
  <c r="A1426" i="4"/>
  <c r="D1517" i="4"/>
  <c r="A2230" i="4"/>
  <c r="C1268" i="4"/>
  <c r="A1613" i="4"/>
  <c r="C1819" i="4"/>
  <c r="F2072" i="4"/>
  <c r="B1387" i="4"/>
  <c r="E1393" i="4"/>
  <c r="A1432" i="4"/>
  <c r="B1947" i="4"/>
  <c r="B1707" i="4"/>
  <c r="B1628" i="4"/>
  <c r="A1797" i="4"/>
  <c r="D1960" i="4"/>
  <c r="A1244" i="4"/>
  <c r="C1370" i="4"/>
  <c r="A1333" i="4"/>
  <c r="D1908" i="4"/>
  <c r="F1478" i="4"/>
  <c r="B1340" i="4"/>
  <c r="B2022" i="4"/>
  <c r="B1702" i="4"/>
  <c r="B1279" i="4"/>
  <c r="C1081" i="4"/>
  <c r="B2149" i="4"/>
  <c r="A1647" i="4"/>
  <c r="C1717" i="4"/>
  <c r="D2162" i="4"/>
  <c r="A2035" i="4"/>
  <c r="C1601" i="4"/>
  <c r="A1193" i="4"/>
  <c r="F2111" i="4"/>
  <c r="A2111" i="4"/>
  <c r="A2247" i="4"/>
  <c r="C1555" i="4"/>
  <c r="F2238" i="4"/>
  <c r="D2150" i="4"/>
  <c r="C2015" i="4"/>
  <c r="F1565" i="4"/>
  <c r="B2107" i="4"/>
  <c r="B1927" i="4"/>
  <c r="F1725" i="4"/>
  <c r="B1641" i="4"/>
  <c r="A1684" i="4"/>
  <c r="D1697" i="4"/>
  <c r="A1730" i="4"/>
  <c r="B1734" i="4"/>
  <c r="B1932" i="4"/>
  <c r="A2231" i="4"/>
  <c r="B1909" i="4"/>
  <c r="A1424" i="4"/>
  <c r="F1118" i="4"/>
  <c r="D1684" i="4"/>
  <c r="A2031" i="4"/>
  <c r="B1483" i="4"/>
  <c r="D1351" i="4"/>
  <c r="F1679" i="4"/>
  <c r="F1976" i="4"/>
  <c r="C1806" i="4"/>
  <c r="A1806" i="4"/>
  <c r="B1761" i="4"/>
  <c r="F1877" i="4"/>
  <c r="D1548" i="4"/>
  <c r="A2126" i="4"/>
  <c r="A1525" i="4"/>
  <c r="A1843" i="4"/>
  <c r="A1543" i="4"/>
  <c r="A2072" i="4"/>
  <c r="C1961" i="4"/>
  <c r="F1959" i="4"/>
  <c r="D1583" i="4"/>
  <c r="A2232" i="4"/>
  <c r="B2191" i="4"/>
  <c r="F2169" i="4"/>
  <c r="C1559" i="4"/>
  <c r="F1722" i="4"/>
  <c r="A1625" i="4"/>
  <c r="D1623" i="4"/>
  <c r="C1393" i="4"/>
  <c r="F1704" i="4"/>
  <c r="F1600" i="4"/>
  <c r="C2051" i="4"/>
  <c r="D1664" i="4"/>
  <c r="B1996" i="4"/>
  <c r="B2041" i="4"/>
  <c r="A1749" i="4"/>
  <c r="B1755" i="4"/>
  <c r="A2256" i="4"/>
  <c r="F2172" i="4"/>
  <c r="F2181" i="4"/>
  <c r="C2087" i="4"/>
  <c r="C2159" i="4"/>
  <c r="B2148" i="4"/>
  <c r="B1992" i="4"/>
  <c r="C1928" i="4"/>
  <c r="B1983" i="4"/>
  <c r="F1849" i="4"/>
  <c r="B1912" i="4"/>
  <c r="B1645" i="4"/>
  <c r="F1958" i="4"/>
  <c r="F1870" i="4"/>
  <c r="B1872" i="4"/>
  <c r="B1877" i="4"/>
  <c r="C1822" i="4"/>
  <c r="F1979" i="4"/>
  <c r="A2191" i="4"/>
  <c r="C1958" i="4"/>
  <c r="B2068" i="4"/>
  <c r="F2240" i="4"/>
  <c r="F2017" i="4"/>
  <c r="B1542" i="4"/>
  <c r="A2086" i="4"/>
  <c r="F2166" i="4"/>
  <c r="D1922" i="4"/>
  <c r="D1636" i="4"/>
  <c r="C1881" i="4"/>
  <c r="A1980" i="4"/>
  <c r="C1448" i="4"/>
  <c r="A1844" i="4"/>
  <c r="D1422" i="4"/>
  <c r="A1912" i="4"/>
  <c r="C1869" i="4"/>
  <c r="A2059" i="4"/>
  <c r="A1829" i="4"/>
  <c r="F2084" i="4"/>
  <c r="B1722" i="4"/>
  <c r="F1404" i="4"/>
  <c r="C2062" i="4"/>
  <c r="B2134" i="4"/>
  <c r="D1861" i="4"/>
  <c r="C1587" i="4"/>
  <c r="C1666" i="4"/>
  <c r="B1972" i="4"/>
  <c r="F1635" i="4"/>
  <c r="C1470" i="4"/>
  <c r="F1249" i="4"/>
  <c r="D2136" i="4"/>
  <c r="A2179" i="4"/>
  <c r="F2074" i="4"/>
  <c r="C2082" i="4"/>
  <c r="A1701" i="4"/>
  <c r="D1934" i="4"/>
  <c r="F1665" i="4"/>
  <c r="C1575" i="4"/>
  <c r="C1856" i="4"/>
  <c r="C1820" i="4"/>
  <c r="C1401" i="4"/>
  <c r="B1517" i="4"/>
  <c r="F1902" i="4"/>
  <c r="C1805" i="4"/>
  <c r="A1396" i="4"/>
  <c r="A1729" i="4"/>
  <c r="C1846" i="4"/>
  <c r="A1942" i="4"/>
  <c r="A1972" i="4"/>
  <c r="C2184" i="4"/>
  <c r="D1965" i="4"/>
  <c r="F1829" i="4"/>
  <c r="A1373" i="4"/>
  <c r="D1747" i="4"/>
  <c r="A1846" i="4"/>
  <c r="F1790" i="4"/>
  <c r="A1339" i="4"/>
  <c r="B1662" i="4"/>
  <c r="B1440" i="4"/>
  <c r="F1752" i="4"/>
  <c r="D1518" i="4"/>
  <c r="B1796" i="4"/>
  <c r="A1822" i="4"/>
  <c r="F1616" i="4"/>
  <c r="F1773" i="4"/>
  <c r="B1441" i="4"/>
  <c r="C1676" i="4"/>
  <c r="B1706" i="4"/>
  <c r="A1368" i="4"/>
  <c r="A1587" i="4"/>
  <c r="D2007" i="4"/>
  <c r="B1555" i="4"/>
  <c r="F1280" i="4"/>
  <c r="F1843" i="4"/>
  <c r="F1875" i="4"/>
  <c r="A1724" i="4"/>
  <c r="F1723" i="4"/>
  <c r="A1638" i="4"/>
  <c r="D2036" i="4"/>
  <c r="B1785" i="4"/>
  <c r="A1317" i="4"/>
  <c r="F1547" i="4"/>
  <c r="C1895" i="4"/>
  <c r="D1854" i="4"/>
  <c r="A1522" i="4"/>
  <c r="B1723" i="4"/>
  <c r="C2072" i="4"/>
  <c r="C1612" i="4"/>
  <c r="B1216" i="4"/>
  <c r="A1967" i="4"/>
  <c r="C2027" i="4"/>
  <c r="B1799" i="4"/>
  <c r="C1475" i="4"/>
  <c r="D1454" i="4"/>
  <c r="F1779" i="4"/>
  <c r="B1664" i="4"/>
  <c r="F1764" i="4"/>
  <c r="B1025" i="4"/>
  <c r="A1964" i="4"/>
  <c r="C1489" i="4"/>
  <c r="E1464" i="4"/>
  <c r="F1254" i="4"/>
  <c r="B2257" i="4"/>
  <c r="D1590" i="4"/>
  <c r="D1451" i="4"/>
  <c r="F1620" i="4"/>
  <c r="A1889" i="4"/>
  <c r="A1795" i="4"/>
  <c r="B913" i="4"/>
  <c r="B1651" i="4"/>
  <c r="D2011" i="4"/>
  <c r="A1894" i="4"/>
  <c r="C1539" i="4"/>
  <c r="D1515" i="4"/>
  <c r="C1681" i="4"/>
  <c r="F1896" i="4"/>
  <c r="F1070" i="4"/>
  <c r="C1781" i="4"/>
  <c r="D2044" i="4"/>
  <c r="A1491" i="4"/>
  <c r="A1344" i="4"/>
  <c r="F1412" i="4"/>
  <c r="C2057" i="4"/>
  <c r="F804" i="4"/>
  <c r="B1225" i="4"/>
  <c r="B1385" i="4"/>
  <c r="B1934" i="4"/>
  <c r="C1816" i="4"/>
  <c r="C1141" i="4"/>
  <c r="A892" i="4"/>
  <c r="F1615" i="4"/>
  <c r="F1457" i="4"/>
  <c r="C1048" i="4"/>
  <c r="C1529" i="4"/>
  <c r="A2078" i="4"/>
  <c r="B1560" i="4"/>
  <c r="D1362" i="4"/>
  <c r="D1805" i="4"/>
  <c r="D1943" i="4"/>
  <c r="C1442" i="4"/>
  <c r="D1532" i="4"/>
  <c r="A1312" i="4"/>
  <c r="B1903" i="4"/>
  <c r="F1792" i="4"/>
  <c r="B1984" i="4"/>
  <c r="D2017" i="4"/>
  <c r="B1814" i="4"/>
  <c r="A1561" i="4"/>
  <c r="C2193" i="4"/>
  <c r="B2145" i="4"/>
  <c r="B1987" i="4"/>
  <c r="C1616" i="4"/>
  <c r="D2125" i="4"/>
  <c r="B2205" i="4"/>
  <c r="A1780" i="4"/>
  <c r="A1367" i="4"/>
  <c r="F1702" i="4"/>
  <c r="A1633" i="4"/>
  <c r="B2086" i="4"/>
  <c r="B1939" i="4"/>
  <c r="F1983" i="4"/>
  <c r="F2039" i="4"/>
  <c r="C1789" i="4"/>
  <c r="F1361" i="4"/>
  <c r="C1727" i="4"/>
  <c r="B1745" i="4"/>
  <c r="C1663" i="4"/>
  <c r="C1588" i="4"/>
  <c r="B1646" i="4"/>
  <c r="A2219" i="4"/>
  <c r="F1669" i="4"/>
  <c r="D1561" i="4"/>
  <c r="F1840" i="4"/>
  <c r="F1566" i="4"/>
  <c r="D1620" i="4"/>
  <c r="C1592" i="4"/>
  <c r="A1987" i="4"/>
  <c r="F2245" i="4"/>
  <c r="C1923" i="4"/>
  <c r="D1560" i="4"/>
  <c r="F1878" i="4"/>
  <c r="D1565" i="4"/>
  <c r="D1489" i="4"/>
  <c r="A1537" i="4"/>
  <c r="D2006" i="4"/>
  <c r="F1821" i="4"/>
  <c r="C1307" i="4"/>
  <c r="C1403" i="4"/>
  <c r="D1799" i="4"/>
  <c r="F2105" i="4"/>
  <c r="A1933" i="4"/>
  <c r="B2027" i="4"/>
  <c r="C1731" i="4"/>
  <c r="B2002" i="4"/>
  <c r="F1710" i="4"/>
  <c r="B2097" i="4"/>
  <c r="C1635" i="4"/>
  <c r="A2144" i="4"/>
  <c r="B1885" i="4"/>
  <c r="F1239" i="4"/>
  <c r="A1999" i="4"/>
  <c r="A1907" i="4"/>
  <c r="A1993" i="4"/>
  <c r="B1213" i="4"/>
  <c r="B2025" i="4"/>
  <c r="C1909" i="4"/>
  <c r="C1757" i="4"/>
  <c r="B1404" i="4"/>
  <c r="C1855" i="4"/>
  <c r="A1869" i="4"/>
  <c r="D1608" i="4"/>
  <c r="F1561" i="4"/>
  <c r="D1926" i="4"/>
  <c r="F2239" i="4"/>
  <c r="C1628" i="4"/>
  <c r="B1595" i="4"/>
  <c r="F2152" i="4"/>
  <c r="F2249" i="4"/>
  <c r="C2075" i="4"/>
  <c r="B1683" i="4"/>
  <c r="F2154" i="4"/>
  <c r="A2007" i="4"/>
  <c r="C2048" i="4"/>
  <c r="A2265" i="4"/>
  <c r="B1802" i="4"/>
  <c r="A2176" i="4"/>
  <c r="A1688" i="4"/>
  <c r="C2259" i="4"/>
  <c r="F1910" i="4"/>
  <c r="D2140" i="4"/>
  <c r="A1873" i="4"/>
  <c r="D1470" i="4"/>
  <c r="F1686" i="4"/>
  <c r="B2098" i="4"/>
  <c r="F1778" i="4"/>
  <c r="A1443" i="4"/>
  <c r="A1959" i="4"/>
  <c r="A2200" i="4"/>
  <c r="A1416" i="4"/>
  <c r="A1646" i="4"/>
  <c r="A1745" i="4"/>
  <c r="D2222" i="4"/>
  <c r="B1948" i="4"/>
  <c r="A1442" i="4"/>
  <c r="F2011" i="4"/>
  <c r="B1839" i="4"/>
  <c r="F2135" i="4"/>
  <c r="C1417" i="4"/>
  <c r="F1695" i="4"/>
  <c r="D1743" i="4"/>
  <c r="F1341" i="4"/>
  <c r="D1538" i="4"/>
  <c r="A1208" i="4"/>
  <c r="A1924" i="4"/>
  <c r="F2015" i="4"/>
  <c r="C1956" i="4"/>
  <c r="F1672" i="4"/>
  <c r="F2030" i="4"/>
  <c r="A2001" i="4"/>
  <c r="C1338" i="4"/>
  <c r="B1686" i="4"/>
  <c r="B1864" i="4"/>
  <c r="C1930" i="4"/>
  <c r="B1424" i="4"/>
  <c r="D1661" i="4"/>
  <c r="C1688" i="4"/>
  <c r="A1722" i="4"/>
  <c r="B1540" i="4"/>
  <c r="A1474" i="4"/>
  <c r="B1943" i="4"/>
  <c r="B1652" i="4"/>
  <c r="B1946" i="4"/>
  <c r="C1495" i="4"/>
  <c r="C1942" i="4"/>
  <c r="C1521" i="4"/>
  <c r="F1310" i="4"/>
  <c r="F1909" i="4"/>
  <c r="D1789" i="4"/>
  <c r="D1653" i="4"/>
  <c r="D1253" i="4"/>
  <c r="B1673" i="4"/>
  <c r="D1845" i="4"/>
  <c r="F1451" i="4"/>
  <c r="D1607" i="4"/>
  <c r="D1802" i="4"/>
  <c r="F1858" i="4"/>
  <c r="D1508" i="4"/>
  <c r="D1710" i="4"/>
  <c r="C1315" i="4"/>
  <c r="C1858" i="4"/>
  <c r="A1512" i="4"/>
  <c r="F1688" i="4"/>
  <c r="B1763" i="4"/>
  <c r="B1968" i="4"/>
  <c r="D1250" i="4"/>
  <c r="D1544" i="4"/>
  <c r="C1637" i="4"/>
  <c r="C2198" i="4"/>
  <c r="D1823" i="4"/>
  <c r="C1520" i="4"/>
  <c r="D1660" i="4"/>
  <c r="B1845" i="4"/>
  <c r="F2055" i="4"/>
  <c r="B1397" i="4"/>
  <c r="B1292" i="4"/>
  <c r="F2008" i="4"/>
  <c r="F1766" i="4"/>
  <c r="D1287" i="4"/>
  <c r="F1733" i="4"/>
  <c r="F2041" i="4"/>
  <c r="F1479" i="4"/>
  <c r="A1253" i="4"/>
  <c r="C1708" i="4"/>
  <c r="F1966" i="4"/>
  <c r="F941" i="4"/>
  <c r="F1589" i="4"/>
  <c r="F1432" i="4"/>
  <c r="B2029" i="4"/>
  <c r="C1854" i="4"/>
  <c r="B1207" i="4"/>
  <c r="C977" i="4"/>
  <c r="D2056" i="4"/>
  <c r="D1708" i="4"/>
  <c r="D1282" i="4"/>
  <c r="A1498" i="4"/>
  <c r="C1891" i="4"/>
  <c r="C1579" i="4"/>
  <c r="C1195" i="4"/>
  <c r="D1717" i="4"/>
  <c r="C1850" i="4"/>
  <c r="A1022" i="4"/>
  <c r="B1535" i="4"/>
  <c r="D1281" i="4"/>
  <c r="A1748" i="4"/>
  <c r="F1754" i="4"/>
  <c r="C1298" i="4"/>
  <c r="C2202" i="4"/>
  <c r="B1967" i="4"/>
  <c r="F1424" i="4"/>
  <c r="B1406" i="4"/>
  <c r="B1675" i="4"/>
  <c r="D1944" i="4"/>
  <c r="A1197" i="4"/>
  <c r="A1336" i="4"/>
  <c r="B1554" i="4"/>
  <c r="D1902" i="4"/>
  <c r="B1529" i="4"/>
  <c r="C1911" i="4"/>
  <c r="D1983" i="4"/>
  <c r="B1896" i="4"/>
  <c r="B1924" i="4"/>
  <c r="A1885" i="4"/>
  <c r="C1546" i="4"/>
  <c r="F1454" i="4"/>
  <c r="D1356" i="4"/>
  <c r="A1879" i="4"/>
  <c r="B1894" i="4"/>
  <c r="A1982" i="4"/>
  <c r="E1527" i="4"/>
  <c r="F1866" i="4"/>
  <c r="C1937" i="4"/>
  <c r="C1868" i="4"/>
  <c r="B1522" i="4"/>
  <c r="A2131" i="4"/>
  <c r="C1983" i="4"/>
  <c r="F1795" i="4"/>
  <c r="F1435" i="4"/>
  <c r="B1832" i="4"/>
  <c r="D1462" i="4"/>
  <c r="B1874" i="4"/>
  <c r="F1501" i="4"/>
  <c r="B2179" i="4"/>
  <c r="C1989" i="4"/>
  <c r="A1702" i="4"/>
  <c r="B1265" i="4"/>
  <c r="C1852" i="4"/>
  <c r="D1896" i="4"/>
  <c r="B1563" i="4"/>
  <c r="C1927" i="4"/>
  <c r="D1718" i="4"/>
  <c r="C1504" i="4"/>
  <c r="C1478" i="4"/>
  <c r="A1500" i="4"/>
  <c r="F1824" i="4"/>
  <c r="C1786" i="4"/>
  <c r="D1635" i="4"/>
  <c r="B1497" i="4"/>
  <c r="B1827" i="4"/>
  <c r="A2106" i="4"/>
  <c r="B1778" i="4"/>
  <c r="B1401" i="4"/>
  <c r="B1774" i="4"/>
  <c r="D1663" i="4"/>
  <c r="C1402" i="4"/>
  <c r="F1814" i="4"/>
  <c r="A1607" i="4"/>
  <c r="F1707" i="4"/>
  <c r="F1825" i="4"/>
  <c r="B1726" i="4"/>
  <c r="C1589" i="4"/>
  <c r="C2114" i="4"/>
  <c r="A1865" i="4"/>
  <c r="A1858" i="4"/>
  <c r="D1966" i="4"/>
  <c r="A2076" i="4"/>
  <c r="F1793" i="4"/>
  <c r="B1742" i="4"/>
  <c r="B1871" i="4"/>
  <c r="A1978" i="4"/>
  <c r="C1658" i="4"/>
  <c r="B1998" i="4"/>
  <c r="A1569" i="4"/>
  <c r="D2146" i="4"/>
  <c r="B2128" i="4"/>
  <c r="D2266" i="4"/>
  <c r="B1990" i="4"/>
  <c r="A1991" i="4"/>
  <c r="D1792" i="4"/>
  <c r="D1592" i="4"/>
  <c r="B1565" i="4"/>
  <c r="C1808" i="4"/>
  <c r="D1695" i="4"/>
  <c r="A1636" i="4"/>
  <c r="D1597" i="4"/>
  <c r="D2051" i="4"/>
  <c r="B1732" i="4"/>
  <c r="C1399" i="4"/>
  <c r="D1569" i="4"/>
  <c r="F2054" i="4"/>
  <c r="B1777" i="4"/>
  <c r="F1939" i="4"/>
  <c r="B1765" i="4"/>
  <c r="B2028" i="4"/>
  <c r="F1613" i="4"/>
  <c r="B1377" i="4"/>
  <c r="B1431" i="4"/>
  <c r="A2056" i="4"/>
  <c r="D1629" i="4"/>
  <c r="C1236" i="4"/>
  <c r="D1913" i="4"/>
  <c r="A1963" i="4"/>
  <c r="F1463" i="4"/>
  <c r="D1387" i="4"/>
  <c r="B1392" i="4"/>
  <c r="F1250" i="4"/>
  <c r="F1692" i="4"/>
  <c r="C1668" i="4"/>
  <c r="B1523" i="4"/>
  <c r="C1217" i="4"/>
  <c r="F2010" i="4"/>
  <c r="F1530" i="4"/>
  <c r="F915" i="4"/>
  <c r="D1714" i="4"/>
  <c r="F2221" i="4"/>
  <c r="B1635" i="4"/>
  <c r="F1617" i="4"/>
  <c r="B1842" i="4"/>
  <c r="E1846" i="4"/>
  <c r="F1529" i="4"/>
  <c r="B1489" i="4"/>
  <c r="A1519" i="4"/>
  <c r="C2113" i="4"/>
  <c r="B2247" i="4"/>
  <c r="B1631" i="4"/>
  <c r="C1321" i="4"/>
  <c r="D2024" i="4"/>
  <c r="F1416" i="4"/>
  <c r="F1567" i="4"/>
  <c r="A1870" i="4"/>
  <c r="C1957" i="4"/>
  <c r="A1427" i="4"/>
  <c r="C1540" i="4"/>
  <c r="D1700" i="4"/>
  <c r="B1855" i="4"/>
  <c r="A1254" i="4"/>
  <c r="B1509" i="4"/>
  <c r="F1357" i="4"/>
  <c r="A1649" i="4"/>
  <c r="A1655" i="4"/>
  <c r="B1343" i="4"/>
  <c r="F1757" i="4"/>
  <c r="F1781" i="4"/>
  <c r="A1249" i="4"/>
  <c r="B1753" i="4"/>
  <c r="C1963" i="4"/>
  <c r="C2034" i="4"/>
  <c r="E1339" i="4"/>
  <c r="A1738" i="4"/>
  <c r="F1475" i="4"/>
  <c r="F2128" i="4"/>
  <c r="B1569" i="4"/>
  <c r="B1443" i="4"/>
  <c r="F1536" i="4"/>
  <c r="F1806" i="4"/>
  <c r="F1974" i="4"/>
  <c r="A1503" i="4"/>
  <c r="D1420" i="4"/>
  <c r="D1472" i="4"/>
  <c r="F2003" i="4"/>
  <c r="F1322" i="4"/>
  <c r="B1738" i="4"/>
  <c r="C1778" i="4"/>
  <c r="A1654" i="4"/>
  <c r="C1649" i="4"/>
  <c r="C1451" i="4"/>
  <c r="F1691" i="4"/>
  <c r="B1977" i="4"/>
  <c r="B1534" i="4"/>
  <c r="D1765" i="4"/>
  <c r="A1809" i="4"/>
  <c r="A1596" i="4"/>
  <c r="B1604" i="4"/>
  <c r="C1548" i="4"/>
  <c r="F1913" i="4"/>
  <c r="B1618" i="4"/>
  <c r="A1961" i="4"/>
  <c r="B1632" i="4"/>
  <c r="F1611" i="4"/>
  <c r="B1372" i="4"/>
  <c r="C1556" i="4"/>
  <c r="B1552" i="4"/>
  <c r="B1760" i="4"/>
  <c r="C1416" i="4"/>
  <c r="A1778" i="4"/>
  <c r="A1668" i="4"/>
  <c r="B1446" i="4"/>
  <c r="D1373" i="4"/>
  <c r="D1367" i="4"/>
  <c r="B919" i="4"/>
  <c r="F1374" i="4"/>
  <c r="F1820" i="4"/>
  <c r="F1972" i="4"/>
  <c r="B1547" i="4"/>
  <c r="A1676" i="4"/>
  <c r="D1659" i="4"/>
  <c r="F1854" i="4"/>
  <c r="F1953" i="4"/>
  <c r="C1465" i="4"/>
  <c r="C2247" i="4"/>
  <c r="F2168" i="4"/>
  <c r="E1820" i="4"/>
  <c r="A1266" i="4"/>
  <c r="A2253" i="4"/>
  <c r="C2132" i="4"/>
  <c r="F1580" i="4"/>
  <c r="D1461" i="4"/>
  <c r="F1797" i="4"/>
  <c r="C1815" i="4"/>
  <c r="F1748" i="4"/>
  <c r="C1655" i="4"/>
  <c r="C1984" i="4"/>
  <c r="A1976" i="4"/>
  <c r="B2103" i="4"/>
  <c r="D1631" i="4"/>
  <c r="A2094" i="4"/>
  <c r="A2166" i="4"/>
  <c r="F1931" i="4"/>
  <c r="B1721" i="4"/>
  <c r="D2186" i="4"/>
  <c r="B2150" i="4"/>
  <c r="F1698" i="4"/>
  <c r="B1192" i="4"/>
  <c r="B1908" i="4"/>
  <c r="F1947" i="4"/>
  <c r="F1891" i="4"/>
  <c r="F1643" i="4"/>
  <c r="B1929" i="4"/>
  <c r="B1705" i="4"/>
  <c r="C1810" i="4"/>
  <c r="D798" i="4"/>
  <c r="F1771" i="4"/>
  <c r="C1730" i="4"/>
  <c r="B1805" i="4"/>
  <c r="C1419" i="4"/>
  <c r="F1364" i="4"/>
  <c r="F1205" i="4"/>
  <c r="F1661" i="4"/>
  <c r="D1437" i="4"/>
  <c r="F1494" i="4"/>
  <c r="D1940" i="4"/>
  <c r="F1391" i="4"/>
  <c r="C1276" i="4"/>
  <c r="A928" i="4"/>
  <c r="C1395" i="4"/>
  <c r="C1982" i="4"/>
  <c r="B1042" i="4"/>
  <c r="A1725" i="4"/>
  <c r="D1286" i="4"/>
  <c r="B1830" i="4"/>
  <c r="B1203" i="4"/>
  <c r="B1395" i="4"/>
  <c r="B1367" i="4"/>
  <c r="C1776" i="4"/>
  <c r="C1250" i="4"/>
  <c r="C1453" i="4"/>
  <c r="D1112" i="4"/>
  <c r="F1697" i="4"/>
  <c r="D1245" i="4"/>
  <c r="B1095" i="4"/>
  <c r="C1606" i="4"/>
  <c r="F1898" i="4"/>
  <c r="D1237" i="4"/>
  <c r="F1452" i="4"/>
  <c r="B1214" i="4"/>
  <c r="A1891" i="4"/>
  <c r="C1330" i="4"/>
  <c r="B1513" i="4"/>
  <c r="B1272" i="4"/>
  <c r="B1881" i="4"/>
  <c r="F1087" i="4"/>
  <c r="A1369" i="4"/>
  <c r="A808" i="4"/>
  <c r="A1422" i="4"/>
  <c r="A1428" i="4"/>
  <c r="A2008" i="4"/>
  <c r="B1768" i="4"/>
  <c r="F1216" i="4"/>
  <c r="B1567" i="4"/>
  <c r="B1365" i="4"/>
  <c r="F1502" i="4"/>
  <c r="C1472" i="4"/>
  <c r="F1327" i="4"/>
  <c r="F1415" i="4"/>
  <c r="B1270" i="4"/>
  <c r="A1242" i="4"/>
  <c r="A1298" i="4"/>
  <c r="F1385" i="4"/>
  <c r="F1240" i="4"/>
  <c r="D1212" i="4"/>
  <c r="A1275" i="4"/>
  <c r="F1360" i="4"/>
  <c r="C1218" i="4"/>
  <c r="A1257" i="4"/>
  <c r="A1134" i="4"/>
  <c r="A1149" i="4"/>
  <c r="A1081" i="4"/>
  <c r="C1687" i="4"/>
  <c r="F1448" i="4"/>
  <c r="A1641" i="4"/>
  <c r="C1878" i="4"/>
  <c r="B1918" i="4"/>
  <c r="B1457" i="4"/>
  <c r="C1591" i="4"/>
  <c r="B1601" i="4"/>
  <c r="B1585" i="4"/>
  <c r="C1191" i="4"/>
  <c r="F1349" i="4"/>
  <c r="F1650" i="4"/>
  <c r="B1970" i="4"/>
  <c r="F1420" i="4"/>
  <c r="D1345" i="4"/>
  <c r="A1087" i="4"/>
  <c r="B1873" i="4"/>
  <c r="B1615" i="4"/>
  <c r="F1574" i="4"/>
  <c r="B1364" i="4"/>
  <c r="B1448" i="4"/>
  <c r="B1224" i="4"/>
  <c r="D2001" i="4"/>
  <c r="A1877" i="4"/>
  <c r="B2259" i="4"/>
  <c r="C1358" i="4"/>
  <c r="B2040" i="4"/>
  <c r="A1830" i="4"/>
  <c r="A1848" i="4"/>
  <c r="F1533" i="4"/>
  <c r="A1502" i="4"/>
  <c r="D1302" i="4"/>
  <c r="B1703" i="4"/>
  <c r="A1361" i="4"/>
  <c r="F1828" i="4"/>
  <c r="D1836" i="4"/>
  <c r="C1899" i="4"/>
  <c r="A1453" i="4"/>
  <c r="C1867" i="4"/>
  <c r="C1875" i="4"/>
  <c r="F1859" i="4"/>
  <c r="F1674" i="4"/>
  <c r="C1788" i="4"/>
  <c r="F1845" i="4"/>
  <c r="C1342" i="4"/>
  <c r="A1200" i="4"/>
  <c r="A1286" i="4"/>
  <c r="B1341" i="4"/>
  <c r="A1313" i="4"/>
  <c r="F1376" i="4"/>
  <c r="F1255" i="4"/>
  <c r="A1319" i="4"/>
  <c r="F1290" i="4"/>
  <c r="D1426" i="4"/>
  <c r="A1514" i="4"/>
  <c r="C1366" i="4"/>
  <c r="B1338" i="4"/>
  <c r="D1195" i="4"/>
  <c r="A1281" i="4"/>
  <c r="B1337" i="4"/>
  <c r="D1194" i="4"/>
  <c r="B1257" i="4"/>
  <c r="D1088" i="4"/>
  <c r="B1060" i="4"/>
  <c r="B1481" i="4"/>
  <c r="A1402" i="4"/>
  <c r="B1727" i="4"/>
  <c r="B2072" i="4"/>
  <c r="C1623" i="4"/>
  <c r="B1880" i="4"/>
  <c r="F1783" i="4"/>
  <c r="F1269" i="4"/>
  <c r="F1614" i="4"/>
  <c r="B1961" i="4"/>
  <c r="B2013" i="4"/>
  <c r="A1800" i="4"/>
  <c r="D1630" i="4"/>
  <c r="D1847" i="4"/>
  <c r="D1471" i="4"/>
  <c r="D1687" i="4"/>
  <c r="B1728" i="4"/>
  <c r="B1674" i="4"/>
  <c r="C1840" i="4"/>
  <c r="B2087" i="4"/>
  <c r="B1466" i="4"/>
  <c r="B1731" i="4"/>
  <c r="B1280" i="4"/>
  <c r="D1541" i="4"/>
  <c r="D2122" i="4"/>
  <c r="E1932" i="4"/>
  <c r="A1776" i="4"/>
  <c r="B1825" i="4"/>
  <c r="D1651" i="4"/>
  <c r="D1857" i="4"/>
  <c r="F1459" i="4"/>
  <c r="A2055" i="4"/>
  <c r="A1690" i="4"/>
  <c r="A1727" i="4"/>
  <c r="F1532" i="4"/>
  <c r="D1920" i="4"/>
  <c r="D1752" i="4"/>
  <c r="B1697" i="4"/>
  <c r="B1759" i="4"/>
  <c r="A2259" i="4"/>
  <c r="F1746" i="4"/>
  <c r="D1871" i="4"/>
  <c r="F1834" i="4"/>
  <c r="A1694" i="4"/>
  <c r="A926" i="4"/>
  <c r="A1590" i="4"/>
  <c r="A871" i="4"/>
  <c r="B1508" i="4"/>
  <c r="B1290" i="4"/>
  <c r="A1851" i="4"/>
  <c r="F1225" i="4"/>
  <c r="F1425" i="4"/>
  <c r="B1075" i="4"/>
  <c r="B1336" i="4"/>
  <c r="B1019" i="4"/>
  <c r="F1421" i="4"/>
  <c r="C848" i="4"/>
  <c r="A2047" i="4"/>
  <c r="F1179" i="4"/>
  <c r="A1811" i="4"/>
  <c r="A890" i="4"/>
  <c r="C1764" i="4"/>
  <c r="F1048" i="4"/>
  <c r="D1736" i="4"/>
  <c r="B1647" i="4"/>
  <c r="B1611" i="4"/>
  <c r="F1681" i="4"/>
  <c r="B1849" i="4"/>
  <c r="A1511" i="4"/>
  <c r="B2057" i="4"/>
  <c r="B1373" i="4"/>
  <c r="A1720" i="4"/>
  <c r="D2022" i="4"/>
  <c r="D1713" i="4"/>
  <c r="B1442" i="4"/>
  <c r="D1779" i="4"/>
  <c r="C1657" i="4"/>
  <c r="B1633" i="4"/>
  <c r="B1327" i="4"/>
  <c r="B1698" i="4"/>
  <c r="B1621" i="4"/>
  <c r="B1421" i="4"/>
  <c r="B1661" i="4"/>
  <c r="A1592" i="4"/>
  <c r="C1665" i="4"/>
  <c r="D1380" i="4"/>
  <c r="B2189" i="4"/>
  <c r="B1407" i="4"/>
  <c r="B1427" i="4"/>
  <c r="B2080" i="4"/>
  <c r="F2012" i="4"/>
  <c r="A1637" i="4"/>
  <c r="C1256" i="4"/>
  <c r="D1882" i="4"/>
  <c r="B2115" i="4"/>
  <c r="E1931" i="4"/>
  <c r="A1594" i="4"/>
  <c r="F1750" i="4"/>
  <c r="A1839" i="4"/>
  <c r="F1767" i="4"/>
  <c r="F1713" i="4"/>
  <c r="D1320" i="4"/>
  <c r="D2113" i="4"/>
  <c r="F2077" i="4"/>
  <c r="B2042" i="4"/>
  <c r="C2030" i="4"/>
  <c r="D2105" i="4"/>
  <c r="F1726" i="4"/>
  <c r="C1734" i="4"/>
  <c r="F2064" i="4"/>
  <c r="D2132" i="4"/>
  <c r="C1707" i="4"/>
  <c r="B1663" i="4"/>
  <c r="C1642" i="4"/>
  <c r="D1673" i="4"/>
  <c r="C1537" i="4"/>
  <c r="F1999" i="4"/>
  <c r="F1598" i="4"/>
  <c r="E1916" i="4"/>
  <c r="C1737" i="4"/>
  <c r="F1862" i="4"/>
  <c r="A1785" i="4"/>
  <c r="F1823" i="4"/>
  <c r="F1226" i="4"/>
  <c r="B2067" i="4"/>
  <c r="F1447" i="4"/>
  <c r="F1701" i="4"/>
  <c r="F1498" i="4"/>
  <c r="F1777" i="4"/>
  <c r="F1815" i="4"/>
  <c r="A1853" i="4"/>
  <c r="A1246" i="4"/>
  <c r="A1678" i="4"/>
  <c r="B1423" i="4"/>
  <c r="F1784" i="4"/>
  <c r="C1621" i="4"/>
  <c r="D1787" i="4"/>
  <c r="F1839" i="4"/>
  <c r="B1820" i="4"/>
  <c r="C1605" i="4"/>
  <c r="B1347" i="4"/>
  <c r="C1836" i="4"/>
  <c r="B1906" i="4"/>
  <c r="E1445" i="4"/>
  <c r="B1575" i="4"/>
  <c r="B2009" i="4"/>
  <c r="D1808" i="4"/>
  <c r="B1622" i="4"/>
  <c r="D1812" i="4"/>
  <c r="F1660" i="4"/>
  <c r="C1607" i="4"/>
  <c r="F1819" i="4"/>
  <c r="F1804" i="4"/>
  <c r="F1889" i="4"/>
  <c r="B1600" i="4"/>
  <c r="D1702" i="4"/>
  <c r="C1576" i="4"/>
  <c r="B1789" i="4"/>
  <c r="A2093" i="4"/>
  <c r="F1552" i="4"/>
  <c r="B2198" i="4"/>
  <c r="B1657" i="4"/>
  <c r="F1791" i="4"/>
  <c r="B1438" i="4"/>
  <c r="B1995" i="4"/>
  <c r="B1701" i="4"/>
  <c r="C2019" i="4"/>
  <c r="D1617" i="4"/>
  <c r="F1378" i="4"/>
  <c r="C1568" i="4"/>
  <c r="C1428" i="4"/>
  <c r="D1087" i="4"/>
  <c r="D944" i="4"/>
  <c r="E1030" i="4"/>
  <c r="C1903" i="4"/>
  <c r="F860" i="4"/>
  <c r="B1314" i="4"/>
  <c r="D804" i="4"/>
  <c r="F1496" i="4"/>
  <c r="F1215" i="4"/>
  <c r="E1092" i="4"/>
  <c r="C1184" i="4"/>
  <c r="C1471" i="4"/>
  <c r="C1008" i="4"/>
  <c r="F865" i="4"/>
  <c r="B950" i="4"/>
  <c r="A810" i="4"/>
  <c r="A1050" i="4"/>
  <c r="F907" i="4"/>
  <c r="A900" i="4"/>
  <c r="C1043" i="4"/>
  <c r="F1542" i="4"/>
  <c r="C1411" i="4"/>
  <c r="C1211" i="4"/>
  <c r="C1761" i="4"/>
  <c r="A1744" i="4"/>
  <c r="C1900" i="4"/>
  <c r="B1596" i="4"/>
  <c r="B1863" i="4"/>
  <c r="C1281" i="4"/>
  <c r="F1444" i="4"/>
  <c r="F1919" i="4"/>
  <c r="C830" i="4"/>
  <c r="B1650" i="4"/>
  <c r="F1860" i="4"/>
  <c r="A1583" i="4"/>
  <c r="D1556" i="4"/>
  <c r="A1241" i="4"/>
  <c r="D1855" i="4"/>
  <c r="F1413" i="4"/>
  <c r="D1698" i="4"/>
  <c r="F1560" i="4"/>
  <c r="B1430" i="4"/>
  <c r="F1648" i="4"/>
  <c r="B1637" i="4"/>
  <c r="D2123" i="4"/>
  <c r="A1630" i="4"/>
  <c r="A2114" i="4"/>
  <c r="A1799" i="4"/>
  <c r="D1581" i="4"/>
  <c r="B2112" i="4"/>
  <c r="C1636" i="4"/>
  <c r="C1626" i="4"/>
  <c r="A1434" i="4"/>
  <c r="A1685" i="4"/>
  <c r="D1576" i="4"/>
  <c r="C1880" i="4"/>
  <c r="F1512" i="4"/>
  <c r="A1835" i="4"/>
  <c r="A1574" i="4"/>
  <c r="C1550" i="4"/>
  <c r="B1566" i="4"/>
  <c r="D1820" i="4"/>
  <c r="D1574" i="4"/>
  <c r="A1699" i="4"/>
  <c r="A1065" i="4"/>
  <c r="C1670" i="4"/>
  <c r="C1009" i="4"/>
  <c r="A1399" i="4"/>
  <c r="A839" i="4"/>
  <c r="C1580" i="4"/>
  <c r="F775" i="4"/>
  <c r="B1678" i="4"/>
  <c r="C594" i="4"/>
  <c r="F1961" i="4"/>
  <c r="A537" i="4"/>
  <c r="D1539" i="4"/>
  <c r="C371" i="4"/>
  <c r="A1423" i="4"/>
  <c r="C760" i="4"/>
  <c r="B1445" i="4"/>
  <c r="F809" i="4"/>
  <c r="F1604" i="4"/>
  <c r="B1496" i="4"/>
  <c r="B1609" i="4"/>
  <c r="C1514" i="4"/>
  <c r="D1555" i="4"/>
  <c r="F1430" i="4"/>
  <c r="F1458" i="4"/>
  <c r="C1812" i="4"/>
  <c r="A1458" i="4"/>
  <c r="F1469" i="4"/>
  <c r="F1709" i="4"/>
  <c r="B1720" i="4"/>
  <c r="F1794" i="4"/>
  <c r="F1607" i="4"/>
  <c r="F1753" i="4"/>
  <c r="A1386" i="4"/>
  <c r="F1630" i="4"/>
  <c r="D1610" i="4"/>
  <c r="A1763" i="4"/>
  <c r="B1550" i="4"/>
  <c r="B1538" i="4"/>
  <c r="C1418" i="4"/>
  <c r="F1832" i="4"/>
  <c r="C1646" i="4"/>
  <c r="C1679" i="4"/>
  <c r="C1407" i="4"/>
  <c r="A1777" i="4"/>
  <c r="D1507" i="4"/>
  <c r="C1685" i="4"/>
  <c r="B1594" i="4"/>
  <c r="C1801" i="4"/>
  <c r="F1292" i="4"/>
  <c r="F1621" i="4"/>
  <c r="B1591" i="4"/>
  <c r="F1735" i="4"/>
  <c r="A1450" i="4"/>
  <c r="B1659" i="4"/>
  <c r="A1489" i="4"/>
  <c r="A1693" i="4"/>
  <c r="A1222" i="4"/>
  <c r="D1562" i="4"/>
  <c r="C1560" i="4"/>
  <c r="A2180" i="4"/>
  <c r="C1516" i="4"/>
  <c r="B1531" i="4"/>
  <c r="D1439" i="4"/>
  <c r="A1225" i="4"/>
  <c r="A1034" i="4"/>
  <c r="D1303" i="4"/>
  <c r="B977" i="4"/>
  <c r="D1028" i="4"/>
  <c r="F807" i="4"/>
  <c r="B971" i="4"/>
  <c r="F1356" i="4"/>
  <c r="B1015" i="4"/>
  <c r="B1161" i="4"/>
  <c r="B900" i="4"/>
  <c r="B1124" i="4"/>
  <c r="C1062" i="4"/>
  <c r="A954" i="4"/>
  <c r="C1006" i="4"/>
  <c r="B897" i="4"/>
  <c r="F1279" i="4"/>
  <c r="B998" i="4"/>
  <c r="B1221" i="4"/>
  <c r="A1204" i="4"/>
  <c r="D1967" i="4"/>
  <c r="B1242" i="4"/>
  <c r="F1666" i="4"/>
  <c r="D1206" i="4"/>
  <c r="B1840" i="4"/>
  <c r="F1363" i="4"/>
  <c r="A1487" i="4"/>
  <c r="E1223" i="4"/>
  <c r="A2228" i="4"/>
  <c r="B1545" i="4"/>
  <c r="C1312" i="4"/>
  <c r="B1806" i="4"/>
  <c r="B2261" i="4"/>
  <c r="F1548" i="4"/>
  <c r="D1931" i="4"/>
  <c r="A1505" i="4"/>
  <c r="B2038" i="4"/>
  <c r="A1379" i="4"/>
  <c r="E1808" i="4"/>
  <c r="B1275" i="4"/>
  <c r="B1484" i="4"/>
  <c r="B1620" i="4"/>
  <c r="B1957" i="4"/>
  <c r="C1488" i="4"/>
  <c r="D1984" i="4"/>
  <c r="F1911" i="4"/>
  <c r="D2094" i="4"/>
  <c r="A1591" i="4"/>
  <c r="F1299" i="4"/>
  <c r="D1875" i="4"/>
  <c r="B2031" i="4"/>
  <c r="F1596" i="4"/>
  <c r="B1865" i="4"/>
  <c r="C1743" i="4"/>
  <c r="A1916" i="4"/>
  <c r="F1380" i="4"/>
  <c r="A1859" i="4"/>
  <c r="F1731" i="4"/>
  <c r="B1993" i="4"/>
  <c r="B1781" i="4"/>
  <c r="A1957" i="4"/>
  <c r="D1619" i="4"/>
  <c r="B1803" i="4"/>
  <c r="A1732" i="4"/>
  <c r="A1661" i="4"/>
  <c r="F2000" i="4"/>
  <c r="F2033" i="4"/>
  <c r="B1982" i="4"/>
  <c r="F1419" i="4"/>
  <c r="F1388" i="4"/>
  <c r="A1492" i="4"/>
  <c r="B1699" i="4"/>
  <c r="F1253" i="4"/>
  <c r="B1390" i="4"/>
  <c r="B1660" i="4"/>
  <c r="A1874" i="4"/>
  <c r="A1716" i="4"/>
  <c r="F1426" i="4"/>
  <c r="F1670" i="4"/>
  <c r="F1575" i="4"/>
  <c r="D1579" i="4"/>
  <c r="A1479" i="4"/>
  <c r="C1614" i="4"/>
  <c r="C1603" i="4"/>
  <c r="F1493" i="4"/>
  <c r="F1678" i="4"/>
  <c r="A1681" i="4"/>
  <c r="B1467" i="4"/>
  <c r="C1241" i="4"/>
  <c r="D1465" i="4"/>
  <c r="D1821" i="4"/>
  <c r="F2040" i="4"/>
  <c r="E1894" i="4"/>
  <c r="C1629" i="4"/>
  <c r="B1986" i="4"/>
  <c r="F1602" i="4"/>
  <c r="B1979" i="4"/>
  <c r="D1449" i="4"/>
  <c r="A1807" i="4"/>
  <c r="A1611" i="4"/>
  <c r="B1685" i="4"/>
  <c r="F1345" i="4"/>
  <c r="F1683" i="4"/>
  <c r="F1579" i="4"/>
  <c r="A1767" i="4"/>
  <c r="A1524" i="4"/>
  <c r="B1634" i="4"/>
  <c r="D1662" i="4"/>
  <c r="B1951" i="4"/>
  <c r="C2104" i="4"/>
  <c r="C1972" i="4"/>
  <c r="C1528" i="4"/>
  <c r="B1823" i="4"/>
  <c r="A1401" i="4"/>
  <c r="D1916" i="4"/>
  <c r="F1595" i="4"/>
  <c r="D1951" i="4"/>
  <c r="A1609" i="4"/>
  <c r="F1988" i="4"/>
  <c r="D1809" i="4"/>
  <c r="B1578" i="4"/>
  <c r="F1208" i="4"/>
  <c r="B1800" i="4"/>
  <c r="B1869" i="4"/>
  <c r="A1905" i="4"/>
  <c r="F1955" i="4"/>
  <c r="B1056" i="4"/>
  <c r="F1350" i="4"/>
  <c r="F885" i="4"/>
  <c r="C1294" i="4"/>
  <c r="F1311" i="4"/>
  <c r="F1401" i="4"/>
  <c r="D1147" i="4"/>
  <c r="C1341" i="4"/>
  <c r="D1077" i="4"/>
  <c r="F1368" i="4"/>
  <c r="A964" i="4"/>
  <c r="B1312" i="4"/>
  <c r="B1030" i="4"/>
  <c r="F1346" i="4"/>
  <c r="B1295" i="4"/>
  <c r="D1289" i="4"/>
  <c r="C1535" i="4"/>
  <c r="C1186" i="4"/>
  <c r="F996" i="4"/>
  <c r="C978" i="4"/>
  <c r="C1892" i="4"/>
  <c r="A1297" i="4"/>
  <c r="A2021" i="4"/>
  <c r="C1433" i="4"/>
  <c r="D1761" i="4"/>
  <c r="F1516" i="4"/>
  <c r="B1514" i="4"/>
  <c r="B1493" i="4"/>
  <c r="C1777" i="4"/>
  <c r="B2000" i="4"/>
  <c r="A1743" i="4"/>
  <c r="A2217" i="4"/>
  <c r="C1664" i="4"/>
  <c r="F1836" i="4"/>
  <c r="B1643" i="4"/>
  <c r="A1634" i="4"/>
  <c r="B1402" i="4"/>
  <c r="F1608" i="4"/>
  <c r="D1236" i="4"/>
  <c r="C1644" i="4"/>
  <c r="C1597" i="4"/>
  <c r="F1700" i="4"/>
  <c r="F1556" i="4"/>
  <c r="D1641" i="4"/>
  <c r="D1600" i="4"/>
  <c r="F1865" i="4"/>
  <c r="C2012" i="4"/>
  <c r="C1798" i="4"/>
  <c r="F1540" i="4"/>
  <c r="A1824" i="4"/>
  <c r="F1273" i="4"/>
  <c r="A1714" i="4"/>
  <c r="B1985" i="4"/>
  <c r="F1534" i="4"/>
  <c r="B1537" i="4"/>
  <c r="B1680" i="4"/>
  <c r="B1694" i="4"/>
  <c r="F1578" i="4"/>
  <c r="C1760" i="4"/>
  <c r="A1901" i="4"/>
  <c r="C2009" i="4"/>
  <c r="C1716" i="4"/>
  <c r="C1771" i="4"/>
  <c r="A1622" i="4"/>
  <c r="E1508" i="4"/>
  <c r="A1271" i="4"/>
  <c r="B1394" i="4"/>
  <c r="D1214" i="4"/>
  <c r="A1247" i="4"/>
  <c r="F1241" i="4"/>
  <c r="C1190" i="4"/>
  <c r="F1184" i="4"/>
  <c r="F1309" i="4"/>
  <c r="B1499" i="4"/>
  <c r="F1504" i="4"/>
  <c r="F1440" i="4"/>
  <c r="D1215" i="4"/>
  <c r="A1267" i="4"/>
  <c r="A1559" i="4"/>
  <c r="F1209" i="4"/>
  <c r="B1511" i="4"/>
  <c r="B1329" i="4"/>
  <c r="A1507" i="4"/>
  <c r="B637" i="4"/>
  <c r="B1923" i="4"/>
  <c r="A1536" i="4"/>
  <c r="A1909" i="4"/>
  <c r="A1642" i="4"/>
  <c r="F2218" i="4"/>
  <c r="F1546" i="4"/>
  <c r="B1669" i="4"/>
  <c r="A1196" i="4"/>
  <c r="B1693" i="4"/>
  <c r="B1750" i="4"/>
  <c r="C1269" i="4"/>
  <c r="F1907" i="4"/>
  <c r="B2034" i="4"/>
  <c r="A1508" i="4"/>
  <c r="F1302" i="4"/>
  <c r="C1369" i="4"/>
  <c r="C2066" i="4"/>
  <c r="E1537" i="4"/>
  <c r="B1533" i="4"/>
  <c r="A1605" i="4"/>
  <c r="F1954" i="4"/>
  <c r="A1310" i="4"/>
  <c r="C1593" i="4"/>
  <c r="C1356" i="4"/>
  <c r="B1808" i="4"/>
  <c r="F1564" i="4"/>
  <c r="B1543" i="4"/>
  <c r="A1928" i="4"/>
  <c r="D2047" i="4"/>
  <c r="B1391" i="4"/>
  <c r="B1458" i="4"/>
  <c r="D1436" i="4"/>
  <c r="B1904" i="4"/>
  <c r="F1247" i="4"/>
  <c r="C1446" i="4"/>
  <c r="C1237" i="4"/>
  <c r="A1992" i="4"/>
  <c r="F1539" i="4"/>
  <c r="D1537" i="4"/>
  <c r="F1647" i="4"/>
  <c r="B2089" i="4"/>
  <c r="D1888" i="4"/>
  <c r="B1677" i="4"/>
  <c r="C1838" i="4"/>
  <c r="B1326" i="4"/>
  <c r="B857" i="4"/>
  <c r="F1553" i="4"/>
  <c r="A801" i="4"/>
  <c r="B1374" i="4"/>
  <c r="A1212" i="4"/>
  <c r="F1316" i="4"/>
  <c r="A1179" i="4"/>
  <c r="C1344" i="4"/>
  <c r="F1004" i="4"/>
  <c r="C1287" i="4"/>
  <c r="F946" i="4"/>
  <c r="B1321" i="4"/>
  <c r="C1160" i="4"/>
  <c r="F1264" i="4"/>
  <c r="F1103" i="4"/>
  <c r="F1190" i="4"/>
  <c r="D794" i="4"/>
  <c r="A1053" i="4"/>
  <c r="B1098" i="4"/>
  <c r="A1719" i="4"/>
  <c r="C1317" i="4"/>
  <c r="C1998" i="4"/>
  <c r="A1821" i="4"/>
  <c r="F1499" i="4"/>
  <c r="A1552" i="4"/>
  <c r="C2139" i="4"/>
  <c r="F1967" i="4"/>
  <c r="A2124" i="4"/>
  <c r="B1870" i="4"/>
  <c r="A1626" i="4"/>
  <c r="F1732" i="4"/>
  <c r="B1782" i="4"/>
  <c r="B957" i="4"/>
  <c r="C1766" i="4"/>
  <c r="B1907" i="4"/>
  <c r="F1847" i="4"/>
  <c r="B1245" i="4"/>
  <c r="F1762" i="4"/>
  <c r="C1673" i="4"/>
  <c r="B1980" i="4"/>
  <c r="B1530" i="4"/>
  <c r="B1772" i="4"/>
  <c r="A1550" i="4"/>
  <c r="A1527" i="4"/>
  <c r="A1410" i="4"/>
  <c r="A2040" i="4"/>
  <c r="F2043" i="4"/>
  <c r="F2066" i="4"/>
  <c r="C2145" i="4"/>
  <c r="C2231" i="4"/>
  <c r="D2161" i="4"/>
  <c r="C1952" i="4"/>
  <c r="B2256" i="4"/>
  <c r="A2142" i="4"/>
  <c r="F2103" i="4"/>
  <c r="B1959" i="4"/>
  <c r="A1437" i="4"/>
  <c r="B1206" i="4"/>
  <c r="C1384" i="4"/>
  <c r="D1360" i="4"/>
  <c r="D1014" i="4"/>
  <c r="D1973" i="4"/>
  <c r="C1849" i="4"/>
  <c r="A2064" i="4"/>
  <c r="A1781" i="4"/>
  <c r="B1588" i="4"/>
  <c r="C2043" i="4"/>
  <c r="C2199" i="4"/>
  <c r="A1728" i="4"/>
  <c r="B1898" i="4"/>
  <c r="A1735" i="4"/>
  <c r="A1902" i="4"/>
  <c r="D1104" i="4"/>
  <c r="F877" i="4"/>
  <c r="B1233" i="4"/>
  <c r="A1026" i="4"/>
  <c r="B1068" i="4"/>
  <c r="C1574" i="4"/>
  <c r="F1809" i="4"/>
  <c r="A2016" i="4"/>
  <c r="B1749" i="4"/>
  <c r="B1426" i="4"/>
  <c r="C1720" i="4"/>
  <c r="C1375" i="4"/>
  <c r="D1536" i="4"/>
  <c r="B1603" i="4"/>
  <c r="F1987" i="4"/>
  <c r="F1624" i="4"/>
  <c r="F1734" i="4"/>
  <c r="A1779" i="4"/>
  <c r="F1838" i="4"/>
  <c r="B1175" i="4"/>
  <c r="A1840" i="4"/>
  <c r="B1714" i="4"/>
  <c r="B2143" i="4"/>
  <c r="D1244" i="4"/>
  <c r="A1631" i="4"/>
  <c r="B1419" i="4"/>
  <c r="C1719" i="4"/>
  <c r="A1210" i="4"/>
  <c r="F1664" i="4"/>
  <c r="B1666" i="4"/>
  <c r="B1505" i="4"/>
  <c r="F1482" i="4"/>
  <c r="C1750" i="4"/>
  <c r="B1971" i="4"/>
  <c r="B1083" i="4"/>
  <c r="B940" i="4"/>
  <c r="A1027" i="4"/>
  <c r="B884" i="4"/>
  <c r="F856" i="4"/>
  <c r="D696" i="4"/>
  <c r="C800" i="4"/>
  <c r="B641" i="4"/>
  <c r="D612" i="4"/>
  <c r="C471" i="4"/>
  <c r="F554" i="4"/>
  <c r="B417" i="4"/>
  <c r="A389" i="4"/>
  <c r="C686" i="4"/>
  <c r="A785" i="4"/>
  <c r="F630" i="4"/>
  <c r="D833" i="4"/>
  <c r="F1068" i="4"/>
  <c r="D1152" i="4"/>
  <c r="C1065" i="4"/>
  <c r="A796" i="4"/>
  <c r="C1066" i="4"/>
  <c r="F623" i="4"/>
  <c r="C1361" i="4"/>
  <c r="B1354" i="4"/>
  <c r="B1189" i="4"/>
  <c r="D839" i="4"/>
  <c r="D862" i="4"/>
  <c r="D2093" i="4"/>
  <c r="C1388" i="4"/>
  <c r="A1460" i="4"/>
  <c r="F1808" i="4"/>
  <c r="C799" i="4"/>
  <c r="F1039" i="4"/>
  <c r="F1124" i="4"/>
  <c r="A983" i="4"/>
  <c r="F954" i="4"/>
  <c r="A1178" i="4"/>
  <c r="F897" i="4"/>
  <c r="D1116" i="4"/>
  <c r="A1089" i="4"/>
  <c r="B946" i="4"/>
  <c r="B1032" i="4"/>
  <c r="F889" i="4"/>
  <c r="B862" i="4"/>
  <c r="F1176" i="4"/>
  <c r="A806" i="4"/>
  <c r="C1115" i="4"/>
  <c r="F973" i="4"/>
  <c r="B833" i="4"/>
  <c r="A448" i="4"/>
  <c r="A505" i="4"/>
  <c r="F795" i="4"/>
  <c r="F1285" i="4"/>
  <c r="D737" i="4"/>
  <c r="F972" i="4"/>
  <c r="A816" i="4"/>
  <c r="F1055" i="4"/>
  <c r="F1139" i="4"/>
  <c r="F990" i="4"/>
  <c r="F1509" i="4"/>
  <c r="A1397" i="4"/>
  <c r="D1374" i="4"/>
  <c r="F1622" i="4"/>
  <c r="E869" i="4"/>
  <c r="C709" i="4"/>
  <c r="F813" i="4"/>
  <c r="C654" i="4"/>
  <c r="B626" i="4"/>
  <c r="A484" i="4"/>
  <c r="B568" i="4"/>
  <c r="A429" i="4"/>
  <c r="A402" i="4"/>
  <c r="B699" i="4"/>
  <c r="C344" i="4"/>
  <c r="C643" i="4"/>
  <c r="F614" i="4"/>
  <c r="D1149" i="4"/>
  <c r="F864" i="4"/>
  <c r="A1093" i="4"/>
  <c r="F950" i="4"/>
  <c r="C810" i="4"/>
  <c r="A1125" i="4"/>
  <c r="A1048" i="4"/>
  <c r="D887" i="4"/>
  <c r="A1374" i="4"/>
  <c r="C970" i="4"/>
  <c r="A714" i="4"/>
  <c r="C730" i="4"/>
  <c r="D587" i="4"/>
  <c r="A663" i="4"/>
  <c r="A721" i="4"/>
  <c r="C1533" i="4"/>
  <c r="C1404" i="4"/>
  <c r="F1706" i="4"/>
  <c r="B1396" i="4"/>
  <c r="D601" i="4"/>
  <c r="B796" i="4"/>
  <c r="F543" i="4"/>
  <c r="C1125" i="4"/>
  <c r="B1097" i="4"/>
  <c r="C955" i="4"/>
  <c r="C1040" i="4"/>
  <c r="C898" i="4"/>
  <c r="F870" i="4"/>
  <c r="F729" i="4"/>
  <c r="A815" i="4"/>
  <c r="C1124" i="4"/>
  <c r="A1096" i="4"/>
  <c r="B954" i="4"/>
  <c r="B1039" i="4"/>
  <c r="C897" i="4"/>
  <c r="F741" i="4"/>
  <c r="B597" i="4"/>
  <c r="F671" i="4"/>
  <c r="F1142" i="4"/>
  <c r="B1240" i="4"/>
  <c r="D824" i="4"/>
  <c r="C1174" i="4"/>
  <c r="B580" i="4"/>
  <c r="A1183" i="4"/>
  <c r="B1035" i="4"/>
  <c r="F1143" i="4"/>
  <c r="F822" i="4"/>
  <c r="B1910" i="4"/>
  <c r="F1874" i="4"/>
  <c r="A1919" i="4"/>
  <c r="A1623" i="4"/>
  <c r="C1069" i="4"/>
  <c r="F926" i="4"/>
  <c r="A1014" i="4"/>
  <c r="B1298" i="4"/>
  <c r="C843" i="4"/>
  <c r="A684" i="4"/>
  <c r="F781" i="4"/>
  <c r="A1303" i="4"/>
  <c r="A599" i="4"/>
  <c r="C458" i="4"/>
  <c r="A541" i="4"/>
  <c r="D1467" i="4"/>
  <c r="D375" i="4"/>
  <c r="C673" i="4"/>
  <c r="D766" i="4"/>
  <c r="E616" i="4"/>
  <c r="B475" i="4"/>
  <c r="F1227" i="4"/>
  <c r="B1102" i="4"/>
  <c r="D831" i="4"/>
  <c r="F777" i="4"/>
  <c r="F367" i="4"/>
  <c r="C465" i="4"/>
  <c r="F663" i="4"/>
  <c r="A512" i="4"/>
  <c r="F373" i="4"/>
  <c r="A1121" i="4"/>
  <c r="D914" i="4"/>
  <c r="D1251" i="4"/>
  <c r="D1333" i="4"/>
  <c r="B1091" i="4"/>
  <c r="B1193" i="4"/>
  <c r="C1165" i="4"/>
  <c r="D1023" i="4"/>
  <c r="A1107" i="4"/>
  <c r="F1406" i="4"/>
  <c r="C936" i="4"/>
  <c r="B1155" i="4"/>
  <c r="F872" i="4"/>
  <c r="F1585" i="4"/>
  <c r="D1070" i="4"/>
  <c r="F927" i="4"/>
  <c r="A1015" i="4"/>
  <c r="A1518" i="4"/>
  <c r="F844" i="4"/>
  <c r="B1154" i="4"/>
  <c r="F787" i="4"/>
  <c r="A1098" i="4"/>
  <c r="A956" i="4"/>
  <c r="D815" i="4"/>
  <c r="D1122" i="4"/>
  <c r="F561" i="4"/>
  <c r="A676" i="4"/>
  <c r="C1348" i="4"/>
  <c r="C311" i="4"/>
  <c r="C1422" i="4"/>
  <c r="C1189" i="4"/>
  <c r="A1918" i="4"/>
  <c r="C1131" i="4"/>
  <c r="F585" i="4"/>
  <c r="F1740" i="4"/>
  <c r="D1884" i="4"/>
  <c r="A1931" i="4"/>
  <c r="F1206" i="4"/>
  <c r="B852" i="4"/>
  <c r="B1965" i="4"/>
  <c r="B794" i="4"/>
  <c r="B1960" i="4"/>
  <c r="F607" i="4"/>
  <c r="C1653" i="4"/>
  <c r="A550" i="4"/>
  <c r="A1418" i="4"/>
  <c r="C384" i="4"/>
  <c r="D1810" i="4"/>
  <c r="B779" i="4"/>
  <c r="A1671" i="4"/>
  <c r="A597" i="4"/>
  <c r="F1905" i="4"/>
  <c r="A841" i="4"/>
  <c r="A1466" i="4"/>
  <c r="F932" i="4"/>
  <c r="D1443" i="4"/>
  <c r="C1198" i="4"/>
  <c r="F600" i="4"/>
  <c r="A401" i="4"/>
  <c r="C910" i="4"/>
  <c r="F737" i="4"/>
  <c r="B1328" i="4"/>
  <c r="F955" i="4"/>
  <c r="D1728" i="4"/>
  <c r="C1094" i="4"/>
  <c r="A1544" i="4"/>
  <c r="D1685" i="4"/>
  <c r="F1673" i="4"/>
  <c r="B1619" i="4"/>
  <c r="B1771" i="4"/>
  <c r="B1237" i="4"/>
  <c r="F1628" i="4"/>
  <c r="A1389" i="4"/>
  <c r="F1487" i="4"/>
  <c r="A1215" i="4"/>
  <c r="D1429" i="4"/>
  <c r="A1365" i="4"/>
  <c r="A1576" i="4"/>
  <c r="F1167" i="4"/>
  <c r="A1753" i="4"/>
  <c r="D1130" i="4"/>
  <c r="A1601" i="4"/>
  <c r="B960" i="4"/>
  <c r="B1482" i="4"/>
  <c r="B903" i="4"/>
  <c r="D1404" i="4"/>
  <c r="B1004" i="4"/>
  <c r="C1400" i="4"/>
  <c r="F848" i="4"/>
  <c r="A985" i="4"/>
  <c r="F1358" i="4"/>
  <c r="F979" i="4"/>
  <c r="A901" i="4"/>
  <c r="B1366" i="4"/>
  <c r="A1255" i="4"/>
  <c r="D1339" i="4"/>
  <c r="B1103" i="4"/>
  <c r="A1984" i="4"/>
  <c r="D1558" i="4"/>
  <c r="F1682" i="4"/>
  <c r="D1359" i="4"/>
  <c r="A1448" i="4"/>
  <c r="D1017" i="4"/>
  <c r="C1273" i="4"/>
  <c r="C959" i="4"/>
  <c r="A1188" i="4"/>
  <c r="C786" i="4"/>
  <c r="F1278" i="4"/>
  <c r="F714" i="4"/>
  <c r="F1174" i="4"/>
  <c r="F544" i="4"/>
  <c r="C1137" i="4"/>
  <c r="A489" i="4"/>
  <c r="D854" i="4"/>
  <c r="B771" i="4"/>
  <c r="A1124" i="4"/>
  <c r="B704" i="4"/>
  <c r="F1268" i="4"/>
  <c r="E423" i="4"/>
  <c r="A1375" i="4"/>
  <c r="C1021" i="4"/>
  <c r="D922" i="4"/>
  <c r="F1178" i="4"/>
  <c r="D1361" i="4"/>
  <c r="B808" i="4"/>
  <c r="B802" i="4"/>
  <c r="C1280" i="4"/>
  <c r="F1162" i="4"/>
  <c r="A1262" i="4"/>
  <c r="F1928" i="4"/>
  <c r="B1579" i="4"/>
  <c r="A1575" i="4"/>
  <c r="B1267" i="4"/>
  <c r="C1581" i="4"/>
  <c r="A1554" i="4"/>
  <c r="B813" i="4"/>
  <c r="B1133" i="4"/>
  <c r="A884" i="4"/>
  <c r="C1151" i="4"/>
  <c r="C1412" i="4"/>
  <c r="F562" i="4"/>
  <c r="F1272" i="4"/>
  <c r="C1067" i="4"/>
  <c r="A1268" i="4"/>
  <c r="B1491" i="4"/>
  <c r="A747" i="4"/>
  <c r="D1068" i="4"/>
  <c r="C875" i="4"/>
  <c r="B805" i="4"/>
  <c r="B1574" i="4"/>
  <c r="A1130" i="4"/>
  <c r="C1232" i="4"/>
  <c r="A1438" i="4"/>
  <c r="D758" i="4"/>
  <c r="F1149" i="4"/>
  <c r="F1010" i="4"/>
  <c r="A547" i="4"/>
  <c r="D644" i="4"/>
  <c r="B729" i="4"/>
  <c r="F586" i="4"/>
  <c r="A675" i="4"/>
  <c r="A2084" i="4"/>
  <c r="B1301" i="4"/>
  <c r="F1377" i="4"/>
  <c r="A1420" i="4"/>
  <c r="F1373" i="4"/>
  <c r="C1517" i="4"/>
  <c r="F696" i="4"/>
  <c r="B978" i="4"/>
  <c r="F771" i="4"/>
  <c r="F590" i="4"/>
  <c r="A1102" i="4"/>
  <c r="B1031" i="4"/>
  <c r="D1335" i="4"/>
  <c r="D903" i="4"/>
  <c r="D1301" i="4"/>
  <c r="F1442" i="4"/>
  <c r="A921" i="4"/>
  <c r="A1073" i="4"/>
  <c r="D853" i="4"/>
  <c r="B790" i="4"/>
  <c r="B1067" i="4"/>
  <c r="D648" i="4"/>
  <c r="C1464" i="4"/>
  <c r="D1041" i="4"/>
  <c r="F1036" i="4"/>
  <c r="B838" i="4"/>
  <c r="F1318" i="4"/>
  <c r="F571" i="4"/>
  <c r="A1462" i="4"/>
  <c r="A655" i="4"/>
  <c r="D1480" i="4"/>
  <c r="F1101" i="4"/>
  <c r="A1509" i="4"/>
  <c r="B1017" i="4"/>
  <c r="D1247" i="4"/>
  <c r="D1164" i="4"/>
  <c r="F935" i="4"/>
  <c r="D979" i="4"/>
  <c r="A1360" i="4"/>
  <c r="B1525" i="4"/>
  <c r="D1791" i="4"/>
  <c r="B1429" i="4"/>
  <c r="D1198" i="4"/>
  <c r="A1782" i="4"/>
  <c r="F1283" i="4"/>
  <c r="C1335" i="4"/>
  <c r="D1493" i="4"/>
  <c r="A1265" i="4"/>
  <c r="C1331" i="4"/>
  <c r="B995" i="4"/>
  <c r="D756" i="4"/>
  <c r="A523" i="4"/>
  <c r="D742" i="4"/>
  <c r="F1121" i="4"/>
  <c r="B1181" i="4"/>
  <c r="C1278" i="4"/>
  <c r="D1917" i="4"/>
  <c r="A1629" i="4"/>
  <c r="D1292" i="4"/>
  <c r="B1309" i="4"/>
  <c r="D1988" i="4"/>
  <c r="D1371" i="4"/>
  <c r="F1409" i="4"/>
  <c r="B1178" i="4"/>
  <c r="F1890" i="4"/>
  <c r="A963" i="4"/>
  <c r="D1337" i="4"/>
  <c r="B1110" i="4"/>
  <c r="B883" i="4"/>
  <c r="B925" i="4"/>
  <c r="A1775" i="4"/>
  <c r="B1752" i="4"/>
  <c r="C2119" i="4"/>
  <c r="C1729" i="4"/>
  <c r="A2099" i="4"/>
  <c r="C1374" i="4"/>
  <c r="C1651" i="4"/>
  <c r="B1751" i="4"/>
  <c r="C1886" i="4"/>
  <c r="F1880" i="4"/>
  <c r="D2060" i="4"/>
  <c r="F1513" i="4"/>
  <c r="C1917" i="4"/>
  <c r="A1757" i="4"/>
  <c r="C1826" i="4"/>
  <c r="B1455" i="4"/>
  <c r="D2012" i="4"/>
  <c r="F1367" i="4"/>
  <c r="B1804" i="4"/>
  <c r="F1677" i="4"/>
  <c r="A1990" i="4"/>
  <c r="F1489" i="4"/>
  <c r="C1522" i="4"/>
  <c r="B1516" i="4"/>
  <c r="C1706" i="4"/>
  <c r="B1468" i="4"/>
  <c r="B1801" i="4"/>
  <c r="A1731" i="4"/>
  <c r="C1242" i="4"/>
  <c r="C1577" i="4"/>
  <c r="A1328" i="4"/>
  <c r="A1555" i="4"/>
  <c r="F1275" i="4"/>
  <c r="F1301" i="4"/>
  <c r="B1303" i="4"/>
  <c r="D1271" i="4"/>
  <c r="D1584" i="4"/>
  <c r="B1297" i="4"/>
  <c r="A1414" i="4"/>
  <c r="D1267" i="4"/>
  <c r="C1595" i="4"/>
  <c r="A1239" i="4"/>
  <c r="B1654" i="4"/>
  <c r="C1209" i="4"/>
  <c r="F1588" i="4"/>
  <c r="F1154" i="4"/>
  <c r="D1328" i="4"/>
  <c r="D1399" i="4"/>
  <c r="D531" i="4"/>
  <c r="B870" i="4"/>
  <c r="D852" i="4"/>
  <c r="A560" i="4"/>
  <c r="D1500" i="4"/>
  <c r="B494" i="4"/>
  <c r="F1632" i="4"/>
  <c r="F1562" i="4"/>
  <c r="D1748" i="4"/>
  <c r="A1968" i="4"/>
  <c r="A1751" i="4"/>
  <c r="D1531" i="4"/>
  <c r="D1741" i="4"/>
  <c r="C1005" i="4"/>
  <c r="D1975" i="4"/>
  <c r="C947" i="4"/>
  <c r="A1764" i="4"/>
  <c r="A1138" i="4"/>
  <c r="F1394" i="4"/>
  <c r="F1081" i="4"/>
  <c r="C1553" i="4"/>
  <c r="B910" i="4"/>
  <c r="D1740" i="4"/>
  <c r="A855" i="4"/>
  <c r="C1861" i="4"/>
  <c r="F1136" i="4"/>
  <c r="D1650" i="4"/>
  <c r="F1080" i="4"/>
  <c r="A1510" i="4"/>
  <c r="F797" i="4"/>
  <c r="B1487" i="4"/>
  <c r="F1051" i="4"/>
  <c r="F430" i="4"/>
  <c r="F733" i="4"/>
  <c r="B692" i="4"/>
  <c r="C136" i="4"/>
  <c r="E1637" i="4"/>
  <c r="C1318" i="4"/>
  <c r="F1207" i="4"/>
  <c r="F1060" i="4"/>
  <c r="C1600" i="4"/>
  <c r="D2111" i="4"/>
  <c r="C2098" i="4"/>
  <c r="B2178" i="4"/>
  <c r="A1517" i="4"/>
  <c r="F1372" i="4"/>
  <c r="D1571" i="4"/>
  <c r="A1350" i="4"/>
  <c r="D1591" i="4"/>
  <c r="F868" i="4"/>
  <c r="A1477" i="4"/>
  <c r="F1025" i="4"/>
  <c r="D1452" i="4"/>
  <c r="B959" i="4"/>
  <c r="F1490" i="4"/>
  <c r="F846" i="4"/>
  <c r="A1229" i="4"/>
  <c r="A1018" i="4"/>
  <c r="A1264" i="4"/>
  <c r="A960" i="4"/>
  <c r="C1224" i="4"/>
  <c r="D1176" i="4"/>
  <c r="C1192" i="4"/>
  <c r="D1146" i="4"/>
  <c r="A662" i="4"/>
  <c r="F760" i="4"/>
  <c r="B1166" i="4"/>
  <c r="B713" i="4"/>
  <c r="A1478" i="4"/>
  <c r="A552" i="4"/>
  <c r="A1194" i="4"/>
  <c r="B579" i="4"/>
  <c r="D1822" i="4"/>
  <c r="D1730" i="4"/>
  <c r="C1896" i="4"/>
  <c r="A2140" i="4"/>
  <c r="C1501" i="4"/>
  <c r="B1205" i="4"/>
  <c r="B1557" i="4"/>
  <c r="A1216" i="4"/>
  <c r="A1305" i="4"/>
  <c r="A1086" i="4"/>
  <c r="F1332" i="4"/>
  <c r="B1368" i="4"/>
  <c r="B1281" i="4"/>
  <c r="A1063" i="4"/>
  <c r="B1474" i="4"/>
  <c r="B1362" i="4"/>
  <c r="F1523" i="4"/>
  <c r="D1423" i="4"/>
  <c r="F1719" i="4"/>
  <c r="B1378" i="4"/>
  <c r="C1457" i="4"/>
  <c r="A1318" i="4"/>
  <c r="F1201" i="4"/>
  <c r="A825" i="4"/>
  <c r="A1056" i="4"/>
  <c r="B610" i="4"/>
  <c r="F1233" i="4"/>
  <c r="D475" i="4"/>
  <c r="B1253" i="4"/>
  <c r="A1382" i="4"/>
  <c r="F1172" i="4"/>
  <c r="B1169" i="4"/>
  <c r="C2176" i="4"/>
  <c r="B1758" i="4"/>
  <c r="B1988" i="4"/>
  <c r="D2004" i="4"/>
  <c r="A1307" i="4"/>
  <c r="F1282" i="4"/>
  <c r="C1238" i="4"/>
  <c r="D1220" i="4"/>
  <c r="B973" i="4"/>
  <c r="B1069" i="4"/>
  <c r="A861" i="4"/>
  <c r="F1013" i="4"/>
  <c r="B1478" i="4"/>
  <c r="B843" i="4"/>
  <c r="A1304" i="4"/>
  <c r="D1172" i="4"/>
  <c r="C1545" i="4"/>
  <c r="D999" i="4"/>
  <c r="A1483" i="4"/>
  <c r="D941" i="4"/>
  <c r="A1535" i="4"/>
  <c r="F1186" i="4"/>
  <c r="C1530" i="4"/>
  <c r="A867" i="4"/>
  <c r="A1074" i="4"/>
  <c r="F701" i="4"/>
  <c r="A849" i="4"/>
  <c r="A526" i="4"/>
  <c r="B1512" i="4"/>
  <c r="F1287" i="4"/>
  <c r="B1486" i="4"/>
  <c r="F1483" i="4"/>
  <c r="D1756" i="4"/>
  <c r="C1853" i="4"/>
  <c r="B1710" i="4"/>
  <c r="C1813" i="4"/>
  <c r="C1334" i="4"/>
  <c r="D1312" i="4"/>
  <c r="D1368" i="4"/>
  <c r="A1243" i="4"/>
  <c r="A1390" i="4"/>
  <c r="A1092" i="4"/>
  <c r="C1272" i="4"/>
  <c r="A1035" i="4"/>
  <c r="A1261" i="4"/>
  <c r="A865" i="4"/>
  <c r="D1203" i="4"/>
  <c r="A809" i="4"/>
  <c r="B882" i="4"/>
  <c r="F1022" i="4"/>
  <c r="A1152" i="4"/>
  <c r="A965" i="4"/>
  <c r="A1181" i="4"/>
  <c r="A1163" i="4"/>
  <c r="F1392" i="4"/>
  <c r="F392" i="4"/>
  <c r="F360" i="4"/>
  <c r="B381" i="4"/>
  <c r="A1220" i="4"/>
  <c r="D706" i="4"/>
  <c r="D1417" i="4"/>
  <c r="B951" i="4"/>
  <c r="D1413" i="4"/>
  <c r="B623" i="4"/>
  <c r="A1983" i="4"/>
  <c r="D1298" i="4"/>
  <c r="F1417" i="4"/>
  <c r="D1767" i="4"/>
  <c r="F1423" i="4"/>
  <c r="F1116" i="4"/>
  <c r="C1571" i="4"/>
  <c r="D1060" i="4"/>
  <c r="B1230" i="4"/>
  <c r="C1254" i="4"/>
  <c r="F1314" i="4"/>
  <c r="F1335" i="4"/>
  <c r="D1378" i="4"/>
  <c r="F1166" i="4"/>
  <c r="B1320" i="4"/>
  <c r="C1108" i="4"/>
  <c r="F1339" i="4"/>
  <c r="C937" i="4"/>
  <c r="D1225" i="4"/>
  <c r="B881" i="4"/>
  <c r="B1248" i="4"/>
  <c r="B981" i="4"/>
  <c r="F1334" i="4"/>
  <c r="A1329" i="4"/>
  <c r="B1485" i="4"/>
  <c r="D779" i="4"/>
  <c r="D470" i="4"/>
  <c r="F422" i="4"/>
  <c r="A1385" i="4"/>
  <c r="A642" i="4"/>
  <c r="A1273" i="4"/>
  <c r="A1352" i="4"/>
  <c r="F1782" i="4"/>
  <c r="F1571" i="4"/>
  <c r="A1932" i="4"/>
  <c r="A1768" i="4"/>
  <c r="D1126" i="4"/>
  <c r="D865" i="4"/>
  <c r="B1070" i="4"/>
  <c r="F1187" i="4"/>
  <c r="C899" i="4"/>
  <c r="F1009" i="4"/>
  <c r="A844" i="4"/>
  <c r="F951" i="4"/>
  <c r="B1057" i="4"/>
  <c r="B782" i="4"/>
  <c r="C1000" i="4"/>
  <c r="A1185" i="4"/>
  <c r="F1330" i="4"/>
  <c r="D1008" i="4"/>
  <c r="B1256" i="4"/>
  <c r="C950" i="4"/>
  <c r="D992" i="4"/>
  <c r="B650" i="4"/>
  <c r="D1222" i="4"/>
  <c r="C1247" i="4"/>
  <c r="A1430" i="4"/>
  <c r="F803" i="4"/>
  <c r="A1137" i="4"/>
  <c r="B479" i="4"/>
  <c r="A1540" i="4"/>
  <c r="F1088" i="4"/>
  <c r="D1385" i="4"/>
  <c r="A876" i="4"/>
  <c r="C2065" i="4"/>
  <c r="F1445" i="4"/>
  <c r="A1342" i="4"/>
  <c r="A1593" i="4"/>
  <c r="D1252" i="4"/>
  <c r="F839" i="4"/>
  <c r="F1195" i="4"/>
  <c r="B777" i="4"/>
  <c r="B1044" i="4"/>
  <c r="C595" i="4"/>
  <c r="F987" i="4"/>
  <c r="F537" i="4"/>
  <c r="A819" i="4"/>
  <c r="D1577" i="4"/>
  <c r="D1144" i="4"/>
  <c r="D1318" i="4"/>
  <c r="B1204" i="4"/>
  <c r="B1571" i="4"/>
  <c r="C1498" i="4"/>
  <c r="B1549" i="4"/>
  <c r="C1767" i="4"/>
  <c r="F1543" i="4"/>
  <c r="F1370" i="4"/>
  <c r="C884" i="4"/>
  <c r="F1119" i="4"/>
  <c r="A1069" i="4"/>
  <c r="A666" i="4"/>
  <c r="F565" i="4"/>
  <c r="F1259" i="4"/>
  <c r="A1117" i="4"/>
  <c r="B1355" i="4"/>
  <c r="B407" i="4"/>
  <c r="B1784" i="4"/>
  <c r="B1492" i="4"/>
  <c r="C1435" i="4"/>
  <c r="C1490" i="4"/>
  <c r="F1294" i="4"/>
  <c r="B1561" i="4"/>
  <c r="C1233" i="4"/>
  <c r="C1481" i="4"/>
  <c r="F892" i="4"/>
  <c r="A843" i="4"/>
  <c r="C440" i="4"/>
  <c r="A342" i="4"/>
  <c r="A1230" i="4"/>
  <c r="B890" i="4"/>
  <c r="A1123" i="4"/>
  <c r="C620" i="4"/>
  <c r="B1028" i="4"/>
  <c r="F1052" i="4"/>
  <c r="B921" i="4"/>
  <c r="A700" i="4"/>
  <c r="A1226" i="4"/>
  <c r="C952" i="4"/>
  <c r="D874" i="4"/>
  <c r="C870" i="4"/>
  <c r="B1300" i="4"/>
  <c r="C1467" i="4"/>
  <c r="F890" i="4"/>
  <c r="F20" i="4"/>
  <c r="D557" i="4"/>
  <c r="F643" i="4"/>
  <c r="A501" i="4"/>
  <c r="A234" i="4"/>
  <c r="A2185" i="4"/>
  <c r="B1197" i="4"/>
  <c r="A1449" i="4"/>
  <c r="A1480" i="4"/>
  <c r="B1311" i="4"/>
  <c r="A1143" i="4"/>
  <c r="C1227" i="4"/>
  <c r="A982" i="4"/>
  <c r="B871" i="4"/>
  <c r="B918" i="4"/>
  <c r="C1149" i="4"/>
  <c r="C524" i="4"/>
  <c r="A1110" i="4"/>
  <c r="A1189" i="4"/>
  <c r="B1101" i="4"/>
  <c r="A1097" i="4"/>
  <c r="B1195" i="4"/>
  <c r="F1460" i="4"/>
  <c r="D1117" i="4"/>
  <c r="B245" i="4"/>
  <c r="D1785" i="4"/>
  <c r="B1548" i="4"/>
  <c r="A1376" i="4"/>
  <c r="C1111" i="4"/>
  <c r="B1243" i="4"/>
  <c r="F1296" i="4"/>
  <c r="F1145" i="4"/>
  <c r="D574" i="4"/>
  <c r="C1329" i="4"/>
  <c r="F1470" i="4"/>
  <c r="C1524" i="4"/>
  <c r="A630" i="4"/>
  <c r="D1365" i="4"/>
  <c r="A1471" i="4"/>
  <c r="C1611" i="4"/>
  <c r="C1492" i="4"/>
  <c r="A1468" i="4"/>
  <c r="F1300" i="4"/>
  <c r="F1321" i="4"/>
  <c r="B1451" i="4"/>
  <c r="B1506" i="4"/>
  <c r="C1682" i="4"/>
  <c r="D1816" i="4"/>
  <c r="A1411" i="4"/>
  <c r="A1504" i="4"/>
  <c r="B1410" i="4"/>
  <c r="F1468" i="4"/>
  <c r="F1326" i="4"/>
  <c r="F953" i="4"/>
  <c r="C1378" i="4"/>
  <c r="F1347" i="4"/>
  <c r="B1325" i="4"/>
  <c r="A1284" i="4"/>
  <c r="D1240" i="4"/>
  <c r="C1680" i="4"/>
  <c r="F1606" i="4"/>
  <c r="B2182" i="4"/>
  <c r="D1948" i="4"/>
  <c r="B1624" i="4"/>
  <c r="F1810" i="4"/>
  <c r="C1997" i="4"/>
  <c r="F1685" i="4"/>
  <c r="A1792" i="4"/>
  <c r="C1641" i="4"/>
  <c r="B1480" i="4"/>
  <c r="D1047" i="4"/>
  <c r="C822" i="4"/>
  <c r="F1175" i="4"/>
  <c r="D968" i="4"/>
  <c r="A917" i="4"/>
  <c r="A1482" i="4"/>
  <c r="B1453" i="4"/>
  <c r="A1814" i="4"/>
  <c r="E1653" i="4"/>
  <c r="D1490" i="4"/>
  <c r="F1485" i="4"/>
  <c r="F1569" i="4"/>
  <c r="D1313" i="4"/>
  <c r="A1949" i="4"/>
  <c r="B1655" i="4"/>
  <c r="F1942" i="4"/>
  <c r="F1582" i="4"/>
  <c r="A1818" i="4"/>
  <c r="F1904" i="4"/>
  <c r="A1739" i="4"/>
  <c r="D1394" i="4"/>
  <c r="F1708" i="4"/>
  <c r="B1627" i="4"/>
  <c r="C1363" i="4"/>
  <c r="F1194" i="4"/>
  <c r="A1651" i="4"/>
  <c r="C1754" i="4"/>
  <c r="F1484" i="4"/>
  <c r="D1666" i="4"/>
  <c r="D1601" i="4"/>
  <c r="F1593" i="4"/>
  <c r="C1437" i="4"/>
  <c r="A1849" i="4"/>
  <c r="F1605" i="4"/>
  <c r="A1013" i="4"/>
  <c r="A1672" i="4"/>
  <c r="B955" i="4"/>
  <c r="B1428" i="4"/>
  <c r="F780" i="4"/>
  <c r="F1520" i="4"/>
  <c r="B710" i="4"/>
  <c r="F1519" i="4"/>
  <c r="B540" i="4"/>
  <c r="A1461" i="4"/>
  <c r="F484" i="4"/>
  <c r="A2025" i="4"/>
  <c r="B765" i="4"/>
  <c r="F1659" i="4"/>
  <c r="B700" i="4"/>
  <c r="D1457" i="4"/>
  <c r="A1140" i="4"/>
  <c r="C1377" i="4"/>
  <c r="B1536" i="4"/>
  <c r="C1003" i="4"/>
  <c r="C1405" i="4"/>
  <c r="A984" i="4"/>
  <c r="A826" i="4"/>
  <c r="F1200" i="4"/>
  <c r="A1260" i="4"/>
  <c r="B1196" i="4"/>
  <c r="C1074" i="4"/>
  <c r="B2136" i="4"/>
  <c r="B1715" i="4"/>
  <c r="A1452" i="4"/>
  <c r="C1795" i="4"/>
  <c r="C1105" i="4"/>
  <c r="F1110" i="4"/>
  <c r="B993" i="4"/>
  <c r="A1054" i="4"/>
  <c r="A1209" i="4"/>
  <c r="A877" i="4"/>
  <c r="B1058" i="4"/>
  <c r="F802" i="4"/>
  <c r="F1563" i="4"/>
  <c r="F1018" i="4"/>
  <c r="F1480" i="4"/>
  <c r="D960" i="4"/>
  <c r="D1305" i="4"/>
  <c r="D791" i="4"/>
  <c r="F1248" i="4"/>
  <c r="A735" i="4"/>
  <c r="A1217" i="4"/>
  <c r="D902" i="4"/>
  <c r="F909" i="4"/>
  <c r="A1335" i="4"/>
  <c r="B730" i="4"/>
  <c r="D1055" i="4"/>
  <c r="C1291" i="4"/>
  <c r="F1043" i="4"/>
  <c r="F1522" i="4"/>
  <c r="B1126" i="4"/>
  <c r="A1736" i="4"/>
  <c r="C1016" i="4"/>
  <c r="F1694" i="4"/>
  <c r="C1552" i="4"/>
  <c r="D1411" i="4"/>
  <c r="A1398" i="4"/>
  <c r="F1289" i="4"/>
  <c r="D799" i="4"/>
  <c r="F1232" i="4"/>
  <c r="A724" i="4"/>
  <c r="C1267" i="4"/>
  <c r="F553" i="4"/>
  <c r="B1210" i="4"/>
  <c r="C497" i="4"/>
  <c r="A1551" i="4"/>
  <c r="F783" i="4"/>
  <c r="A1490" i="4"/>
  <c r="F712" i="4"/>
  <c r="A1315" i="4"/>
  <c r="F845" i="4"/>
  <c r="F1257" i="4"/>
  <c r="B1165" i="4"/>
  <c r="C1479" i="4"/>
  <c r="F879" i="4"/>
  <c r="B1586" i="4"/>
  <c r="B949" i="4"/>
  <c r="D827" i="4"/>
  <c r="D855" i="4"/>
  <c r="C1297" i="4"/>
  <c r="B804" i="4"/>
  <c r="F1221" i="4"/>
  <c r="B659" i="4"/>
  <c r="D1011" i="4"/>
  <c r="A1277" i="4"/>
  <c r="A1355" i="4"/>
  <c r="D1604" i="4"/>
  <c r="C1907" i="4"/>
  <c r="A1203" i="4"/>
  <c r="C1423" i="4"/>
  <c r="C893" i="4"/>
  <c r="A1516" i="4"/>
  <c r="B814" i="4"/>
  <c r="F1570" i="4"/>
  <c r="B1027" i="4"/>
  <c r="A1515" i="4"/>
  <c r="F969" i="4"/>
  <c r="A1557" i="4"/>
  <c r="F800" i="4"/>
  <c r="B1494" i="4"/>
  <c r="B743" i="4"/>
  <c r="C1319" i="4"/>
  <c r="B1026" i="4"/>
  <c r="F1262" i="4"/>
  <c r="F968" i="4"/>
  <c r="C1383" i="4"/>
  <c r="C668" i="4"/>
  <c r="F1371" i="4"/>
  <c r="A1256" i="4"/>
  <c r="A1020" i="4"/>
  <c r="D1264" i="4"/>
  <c r="C1154" i="4"/>
  <c r="A653" i="4"/>
  <c r="F1715" i="4"/>
  <c r="F1105" i="4"/>
  <c r="A1585" i="4"/>
  <c r="B1106" i="4"/>
  <c r="B2004" i="4"/>
  <c r="F1450" i="4"/>
  <c r="D1634" i="4"/>
  <c r="B1599" i="4"/>
  <c r="F1220" i="4"/>
  <c r="B999" i="4"/>
  <c r="A1363" i="4"/>
  <c r="B941" i="4"/>
  <c r="A1501" i="4"/>
  <c r="F761" i="4"/>
  <c r="D1442" i="4"/>
  <c r="F697" i="4"/>
  <c r="D1268" i="4"/>
  <c r="A527" i="4"/>
  <c r="F1211" i="4"/>
  <c r="B472" i="4"/>
  <c r="F1238" i="4"/>
  <c r="B748" i="4"/>
  <c r="A1391" i="4"/>
  <c r="A687" i="4"/>
  <c r="F1230" i="4"/>
  <c r="A407" i="4"/>
  <c r="A1238" i="4"/>
  <c r="C1253" i="4"/>
  <c r="C824" i="4"/>
  <c r="F1315" i="4"/>
  <c r="B687" i="4"/>
  <c r="B736" i="4"/>
  <c r="B1352" i="4"/>
  <c r="F442" i="4"/>
  <c r="B1342" i="4"/>
  <c r="B1226" i="4"/>
  <c r="C1565" i="4"/>
  <c r="A1419" i="4"/>
  <c r="B924" i="4"/>
  <c r="F1619" i="4"/>
  <c r="D1525" i="4"/>
  <c r="B1093" i="4"/>
  <c r="A1467" i="4"/>
  <c r="C1036" i="4"/>
  <c r="D1505" i="4"/>
  <c r="B854" i="4"/>
  <c r="A1447" i="4"/>
  <c r="C1173" i="4"/>
  <c r="D1272" i="4"/>
  <c r="B1000" i="4"/>
  <c r="C1216" i="4"/>
  <c r="B942" i="4"/>
  <c r="F1243" i="4"/>
  <c r="A773" i="4"/>
  <c r="A1187" i="4"/>
  <c r="A1172" i="4"/>
  <c r="A1306" i="4"/>
  <c r="B885" i="4"/>
  <c r="B1296" i="4"/>
  <c r="C1304" i="4"/>
  <c r="B1418" i="4"/>
  <c r="B984" i="4"/>
  <c r="B1134" i="4"/>
  <c r="F297" i="4"/>
  <c r="F1324" i="4"/>
  <c r="F1108" i="4"/>
  <c r="B1495" i="4"/>
  <c r="B1045" i="4"/>
  <c r="A2267" i="4"/>
  <c r="C1482" i="4"/>
  <c r="A959" i="4"/>
  <c r="F921" i="4"/>
  <c r="A1691" i="4"/>
  <c r="A1429" i="4"/>
  <c r="F936" i="4"/>
  <c r="D1226" i="4"/>
  <c r="D1776" i="4"/>
  <c r="B1472" i="4"/>
  <c r="C905" i="4"/>
  <c r="F977" i="4"/>
  <c r="D2089" i="4"/>
  <c r="D1572" i="4"/>
  <c r="A1588" i="4"/>
  <c r="A1362" i="4"/>
  <c r="D2081" i="4"/>
  <c r="F1510" i="4"/>
  <c r="D1469" i="4"/>
  <c r="C1496" i="4"/>
  <c r="F1192" i="4"/>
  <c r="A1186" i="4"/>
  <c r="F1408" i="4"/>
  <c r="A1078" i="4"/>
  <c r="C531" i="4"/>
  <c r="A1039" i="4"/>
  <c r="A1531" i="4"/>
  <c r="C868" i="4"/>
  <c r="C1011" i="4"/>
  <c r="A784" i="4"/>
  <c r="C1010" i="4"/>
  <c r="B627" i="4"/>
  <c r="B123" i="4"/>
  <c r="C1110" i="4"/>
  <c r="F1386" i="4"/>
  <c r="D1246" i="4"/>
  <c r="A1224" i="4"/>
  <c r="A1116" i="4"/>
  <c r="B889" i="4"/>
  <c r="F1085" i="4"/>
  <c r="F699" i="4"/>
  <c r="F402" i="4"/>
  <c r="B1642" i="4"/>
  <c r="D1098" i="4"/>
  <c r="F1076" i="4"/>
  <c r="A1072" i="4"/>
  <c r="F1297" i="4"/>
  <c r="D1229" i="4"/>
  <c r="B462" i="4"/>
  <c r="A859" i="4"/>
  <c r="A1750" i="4"/>
  <c r="F1171" i="4"/>
  <c r="A941" i="4"/>
  <c r="C1098" i="4"/>
  <c r="B1251" i="4"/>
  <c r="B867" i="4"/>
  <c r="C507" i="4"/>
  <c r="A1023" i="4"/>
  <c r="A1221" i="4"/>
  <c r="B1171" i="4"/>
  <c r="B964" i="4"/>
  <c r="C1120" i="4"/>
  <c r="A1269" i="4"/>
  <c r="D608" i="4"/>
  <c r="A638" i="4"/>
  <c r="F1092" i="4"/>
  <c r="F1554" i="4"/>
  <c r="D805" i="4"/>
  <c r="B1131" i="4"/>
  <c r="F960" i="4"/>
  <c r="F903" i="4"/>
  <c r="B1217" i="4"/>
  <c r="D1188" i="4"/>
  <c r="B1010" i="4"/>
  <c r="B952" i="4"/>
  <c r="A1052" i="4"/>
  <c r="D1061" i="4"/>
  <c r="A1148" i="4"/>
  <c r="B291" i="4"/>
  <c r="B711" i="4"/>
  <c r="B651" i="4"/>
  <c r="A1214" i="4"/>
  <c r="A1812" i="4"/>
  <c r="B582" i="4"/>
  <c r="D886" i="4"/>
  <c r="B1080" i="4"/>
  <c r="B1024" i="4"/>
  <c r="B853" i="4"/>
  <c r="A797" i="4"/>
  <c r="A1079" i="4"/>
  <c r="B1023" i="4"/>
  <c r="B720" i="4"/>
  <c r="D894" i="4"/>
  <c r="B928" i="4"/>
  <c r="D492" i="4"/>
  <c r="B1159" i="4"/>
  <c r="B1219" i="4"/>
  <c r="B1747" i="4"/>
  <c r="A1920" i="4"/>
  <c r="B909" i="4"/>
  <c r="F853" i="4"/>
  <c r="F666" i="4"/>
  <c r="F609" i="4"/>
  <c r="B441" i="4"/>
  <c r="B1356" i="4"/>
  <c r="F1439" i="4"/>
  <c r="A1632" i="4"/>
  <c r="D1395" i="4"/>
  <c r="A1111" i="4"/>
  <c r="C765" i="4"/>
  <c r="D579" i="4"/>
  <c r="D1168" i="4"/>
  <c r="B598" i="4"/>
  <c r="F1312" i="4"/>
  <c r="F1455" i="4"/>
  <c r="C1270" i="4"/>
  <c r="F1218" i="4"/>
  <c r="F992" i="4"/>
  <c r="F356" i="4"/>
  <c r="A961" i="4"/>
  <c r="A857" i="4"/>
  <c r="D838" i="4"/>
  <c r="C713" i="4"/>
  <c r="E1024" i="4"/>
  <c r="A584" i="4"/>
  <c r="C516" i="4"/>
  <c r="B34" i="4"/>
  <c r="F657" i="4"/>
  <c r="D247" i="4"/>
  <c r="D1311" i="4"/>
  <c r="C1372" i="4"/>
  <c r="B1099" i="4"/>
  <c r="B1307" i="4"/>
  <c r="C509" i="4"/>
  <c r="F548" i="4"/>
  <c r="A799" i="4"/>
  <c r="A1057" i="4"/>
  <c r="B747" i="4"/>
  <c r="B260" i="4"/>
  <c r="B1400" i="4"/>
  <c r="B370" i="4"/>
  <c r="A1001" i="4"/>
  <c r="F588" i="4"/>
  <c r="D1249" i="4"/>
  <c r="A1240" i="4"/>
  <c r="A1283" i="4"/>
  <c r="B1115" i="4"/>
  <c r="A1407" i="4"/>
  <c r="C1385" i="4"/>
  <c r="B1544" i="4"/>
  <c r="D554" i="4"/>
  <c r="B1456" i="4"/>
  <c r="C835" i="4"/>
  <c r="A764" i="4"/>
  <c r="F1130" i="4"/>
  <c r="B365" i="4"/>
  <c r="A1506" i="4"/>
  <c r="A1300" i="4"/>
  <c r="B1479" i="4"/>
  <c r="B1007" i="4"/>
  <c r="B1507" i="4"/>
  <c r="C742" i="4"/>
  <c r="C932" i="4"/>
  <c r="B567" i="4"/>
  <c r="A1600" i="4"/>
  <c r="D1354" i="4"/>
  <c r="C1567" i="4"/>
  <c r="D829" i="4"/>
  <c r="C1078" i="4"/>
  <c r="A408" i="4"/>
  <c r="C1510" i="4"/>
  <c r="C701" i="4"/>
  <c r="A417" i="4"/>
  <c r="C453" i="4"/>
  <c r="B340" i="4"/>
  <c r="B676" i="4"/>
  <c r="B1682" i="4"/>
  <c r="F1405" i="4"/>
  <c r="A1793" i="4"/>
  <c r="C1554" i="4"/>
  <c r="C1531" i="4"/>
  <c r="C1414" i="4"/>
  <c r="C976" i="4"/>
  <c r="D1390" i="4"/>
  <c r="C1394" i="4"/>
  <c r="A969" i="4"/>
  <c r="F1159" i="4"/>
  <c r="F812" i="4"/>
  <c r="A1301" i="4"/>
  <c r="F1128" i="4"/>
  <c r="A1695" i="4"/>
  <c r="A851" i="4"/>
  <c r="A1198" i="4"/>
  <c r="B691" i="4"/>
  <c r="C1515" i="4"/>
  <c r="F475" i="4"/>
  <c r="A1349" i="4"/>
  <c r="A903" i="4"/>
  <c r="A1338" i="4"/>
  <c r="F1150" i="4"/>
  <c r="E995" i="4"/>
  <c r="F153" i="4"/>
  <c r="B1363" i="4"/>
  <c r="C562" i="4"/>
  <c r="B1034" i="4"/>
  <c r="A1285" i="4"/>
  <c r="F1306" i="4"/>
  <c r="B526" i="4"/>
  <c r="C1847" i="4"/>
  <c r="B1433" i="4"/>
  <c r="F1428" i="4"/>
  <c r="D1352" i="4"/>
  <c r="A1451" i="4"/>
  <c r="A1406" i="4"/>
  <c r="B917" i="4"/>
  <c r="F913" i="4"/>
  <c r="B983" i="4"/>
  <c r="B521" i="4"/>
  <c r="A1359" i="4"/>
  <c r="C338" i="4"/>
  <c r="B1305" i="4"/>
  <c r="D1254" i="4"/>
  <c r="C1359" i="4"/>
  <c r="F785" i="4"/>
  <c r="F374" i="4"/>
  <c r="D242" i="4"/>
  <c r="C1263" i="4"/>
  <c r="B806" i="4"/>
  <c r="F1038" i="4"/>
  <c r="A907" i="4"/>
  <c r="B1556" i="4"/>
  <c r="A514" i="4"/>
  <c r="A831" i="4"/>
  <c r="C604" i="4"/>
  <c r="D1205" i="4"/>
  <c r="D491" i="4"/>
  <c r="A1047" i="4"/>
  <c r="D1132" i="4"/>
  <c r="F991" i="4"/>
  <c r="C618" i="4"/>
  <c r="B2010" i="4"/>
  <c r="C1208" i="4"/>
  <c r="B1153" i="4"/>
  <c r="F1514" i="4"/>
  <c r="C1246" i="4"/>
  <c r="A1308" i="4"/>
  <c r="B819" i="4"/>
  <c r="D1048" i="4"/>
  <c r="D843" i="4"/>
  <c r="D471" i="4"/>
  <c r="B1223" i="4"/>
  <c r="C485" i="4"/>
  <c r="B1052" i="4"/>
  <c r="F1134" i="4"/>
  <c r="F1030" i="4"/>
  <c r="F985" i="4"/>
  <c r="B994" i="4"/>
  <c r="C381" i="4"/>
  <c r="A931" i="4"/>
  <c r="F717" i="4"/>
  <c r="D1813" i="4"/>
  <c r="D885" i="4"/>
  <c r="F1789" i="4"/>
  <c r="D1093" i="4"/>
  <c r="C581" i="4"/>
  <c r="C907" i="4"/>
  <c r="B1313" i="4"/>
  <c r="A976" i="4"/>
  <c r="F1338" i="4"/>
  <c r="C1333" i="4"/>
  <c r="C1436" i="4"/>
  <c r="F880" i="4"/>
  <c r="B1964" i="4"/>
  <c r="F605" i="4"/>
  <c r="B382" i="4"/>
  <c r="F1084" i="4"/>
  <c r="B858" i="4"/>
  <c r="D969" i="4"/>
  <c r="C564" i="4"/>
  <c r="D983" i="4"/>
  <c r="B1140" i="4"/>
  <c r="D1103" i="4"/>
  <c r="B1283" i="4"/>
  <c r="F732" i="4"/>
  <c r="C1389" i="4"/>
  <c r="F1382" i="4"/>
  <c r="C1396" i="4"/>
  <c r="D1106" i="4"/>
  <c r="D1382" i="4"/>
  <c r="F1633" i="4"/>
  <c r="D935" i="4"/>
  <c r="C925" i="4"/>
  <c r="A1425" i="4"/>
  <c r="D847" i="4"/>
  <c r="B1349" i="4"/>
  <c r="D1075" i="4"/>
  <c r="B1008" i="4"/>
  <c r="C1194" i="4"/>
  <c r="C1188" i="4"/>
  <c r="D1128" i="4"/>
  <c r="B1266" i="4"/>
  <c r="B1384" i="4"/>
  <c r="B1208" i="4"/>
  <c r="F451" i="4"/>
  <c r="F1747" i="4"/>
  <c r="C1064" i="4"/>
  <c r="C838" i="4"/>
  <c r="C1063" i="4"/>
  <c r="D976" i="4"/>
  <c r="A973" i="4"/>
  <c r="F768" i="4"/>
  <c r="B798" i="4"/>
  <c r="A1526" i="4"/>
  <c r="A1378" i="4"/>
  <c r="B1164" i="4"/>
  <c r="C943" i="4"/>
  <c r="A1624" i="4"/>
  <c r="B1074" i="4"/>
  <c r="D1344" i="4"/>
  <c r="A626" i="4"/>
  <c r="D1332" i="4"/>
  <c r="C1202" i="4"/>
  <c r="A913" i="4"/>
  <c r="F971" i="4"/>
  <c r="B1310" i="4"/>
  <c r="B826" i="4"/>
  <c r="B1252" i="4"/>
  <c r="D955" i="4"/>
  <c r="F945" i="4"/>
  <c r="D1294" i="4"/>
  <c r="A1387" i="4"/>
  <c r="C1034" i="4"/>
  <c r="B1120" i="4"/>
  <c r="F826" i="4"/>
  <c r="D1063" i="4"/>
  <c r="B916" i="4"/>
  <c r="D1889" i="4"/>
  <c r="F1276" i="4"/>
  <c r="F1064" i="4"/>
  <c r="F838" i="4"/>
  <c r="D1554" i="4"/>
  <c r="F1355" i="4"/>
  <c r="B967" i="4"/>
  <c r="C1289" i="4"/>
  <c r="B860" i="4"/>
  <c r="F1049" i="4"/>
  <c r="D1080" i="4"/>
  <c r="B558" i="4"/>
  <c r="F967" i="4"/>
  <c r="B434" i="4"/>
  <c r="C1176" i="4"/>
  <c r="F1348" i="4"/>
  <c r="F1037" i="4"/>
  <c r="C1050" i="4"/>
  <c r="F1180" i="4"/>
  <c r="D1042" i="4"/>
  <c r="D1468" i="4"/>
  <c r="B1125" i="4"/>
  <c r="A1405" i="4"/>
  <c r="A1190" i="4"/>
  <c r="D341" i="4"/>
  <c r="B991" i="4"/>
  <c r="D1026" i="4"/>
  <c r="B1012" i="4"/>
  <c r="C432" i="4"/>
  <c r="D515" i="4"/>
  <c r="C377" i="4"/>
  <c r="D777" i="4"/>
  <c r="D1094" i="4"/>
  <c r="A919" i="4"/>
  <c r="B573" i="4"/>
  <c r="A899" i="4"/>
  <c r="A912" i="4"/>
  <c r="B644" i="4"/>
  <c r="C1353" i="4"/>
  <c r="F728" i="4"/>
  <c r="F624" i="4"/>
  <c r="F482" i="4"/>
  <c r="A343" i="4"/>
  <c r="A255" i="4"/>
  <c r="B404" i="4"/>
  <c r="D514" i="4"/>
  <c r="F793" i="4"/>
  <c r="B459" i="4"/>
  <c r="D767" i="4"/>
  <c r="C617" i="4"/>
  <c r="C421" i="4"/>
  <c r="F234" i="4"/>
  <c r="A151" i="4"/>
  <c r="D237" i="4"/>
  <c r="D94" i="4"/>
  <c r="B591" i="4"/>
  <c r="A452" i="4"/>
  <c r="B307" i="4"/>
  <c r="F1320" i="4"/>
  <c r="A1326" i="4"/>
  <c r="F232" i="4"/>
  <c r="C1084" i="4"/>
  <c r="D1108" i="4"/>
  <c r="A379" i="4"/>
  <c r="C892" i="4"/>
  <c r="A1021" i="4"/>
  <c r="F592" i="4"/>
  <c r="B507" i="4"/>
  <c r="D41" i="4"/>
  <c r="C721" i="4"/>
  <c r="F756" i="4"/>
  <c r="B666" i="4"/>
  <c r="C145" i="4"/>
  <c r="C60" i="4"/>
  <c r="B194" i="4"/>
  <c r="A109" i="4"/>
  <c r="C174" i="4"/>
  <c r="D630" i="4"/>
  <c r="A658" i="4"/>
  <c r="B572" i="4"/>
  <c r="A702" i="4"/>
  <c r="F617" i="4"/>
  <c r="F421" i="4"/>
  <c r="D967" i="4"/>
  <c r="A624" i="4"/>
  <c r="C1387" i="4"/>
  <c r="B1515" i="4"/>
  <c r="B1287" i="4"/>
  <c r="A1341" i="4"/>
  <c r="F766" i="4"/>
  <c r="F916" i="4"/>
  <c r="B537" i="4"/>
  <c r="D399" i="4"/>
  <c r="F252" i="4"/>
  <c r="D597" i="4"/>
  <c r="E639" i="4"/>
  <c r="A723" i="4"/>
  <c r="F580" i="4"/>
  <c r="C474" i="4"/>
  <c r="F752" i="4"/>
  <c r="C605" i="4"/>
  <c r="A465" i="4"/>
  <c r="A367" i="4"/>
  <c r="A787" i="4"/>
  <c r="F407" i="4"/>
  <c r="A715" i="4"/>
  <c r="C761" i="4"/>
  <c r="F92" i="4"/>
  <c r="A1955" i="4"/>
  <c r="F1153" i="4"/>
  <c r="A1529" i="4"/>
  <c r="A1395" i="4"/>
  <c r="F938" i="4"/>
  <c r="C948" i="4"/>
  <c r="A1012" i="4"/>
  <c r="F1115" i="4"/>
  <c r="A776" i="4"/>
  <c r="D740" i="4"/>
  <c r="A485" i="4"/>
  <c r="D55" i="4"/>
  <c r="F1265" i="4"/>
  <c r="D1323" i="4"/>
  <c r="B1190" i="4"/>
  <c r="B351" i="4"/>
  <c r="F472" i="4"/>
  <c r="F65" i="4"/>
  <c r="B399" i="4"/>
  <c r="D667" i="4"/>
  <c r="B1282" i="4"/>
  <c r="B1334" i="4"/>
  <c r="A1393" i="4"/>
  <c r="F1351" i="4"/>
  <c r="B1330" i="4"/>
  <c r="B1211" i="4"/>
  <c r="F1141" i="4"/>
  <c r="A1162" i="4"/>
  <c r="C1169" i="4"/>
  <c r="E1319" i="4"/>
  <c r="C342" i="4"/>
  <c r="D687" i="4"/>
  <c r="D888" i="4"/>
  <c r="F1059" i="4"/>
  <c r="F1191" i="4"/>
  <c r="B1186" i="4"/>
  <c r="B982" i="4"/>
  <c r="C1340" i="4"/>
  <c r="D1033" i="4"/>
  <c r="F7" i="4"/>
  <c r="B1331" i="4"/>
  <c r="F1188" i="4"/>
  <c r="A1299" i="4"/>
  <c r="A858" i="4"/>
  <c r="C1044" i="4"/>
  <c r="A994" i="4"/>
  <c r="B1047" i="4"/>
  <c r="B455" i="4"/>
  <c r="D410" i="4"/>
  <c r="A492" i="4"/>
  <c r="F352" i="4"/>
  <c r="A770" i="4"/>
  <c r="F1281" i="4"/>
  <c r="A1327" i="4"/>
  <c r="B856" i="4"/>
  <c r="F1383" i="4"/>
  <c r="F1075" i="4"/>
  <c r="B1170" i="4"/>
  <c r="A740" i="4"/>
  <c r="B827" i="4"/>
  <c r="F226" i="4"/>
  <c r="A478" i="4"/>
  <c r="A276" i="4"/>
  <c r="B456" i="4"/>
  <c r="B101" i="4"/>
  <c r="F906" i="4"/>
  <c r="A1135" i="4"/>
  <c r="B1072" i="4"/>
  <c r="B745" i="4"/>
  <c r="B1333" i="4"/>
  <c r="B1473" i="4"/>
  <c r="F1461" i="4"/>
  <c r="C1532" i="4"/>
  <c r="A693" i="4"/>
  <c r="B1916" i="4"/>
  <c r="B1668" i="4"/>
  <c r="F1705" i="4"/>
  <c r="B1262" i="4"/>
  <c r="A1854" i="4"/>
  <c r="B1764" i="4"/>
  <c r="C1876" i="4"/>
  <c r="C2265" i="4"/>
  <c r="A1871" i="4"/>
  <c r="A1790" i="4"/>
  <c r="F1853" i="4"/>
  <c r="D1589" i="4"/>
  <c r="F1584" i="4"/>
  <c r="F1277" i="4"/>
  <c r="A1192" i="4"/>
  <c r="D1239" i="4"/>
  <c r="A1228" i="4"/>
  <c r="B1148" i="4"/>
  <c r="A2038" i="4"/>
  <c r="C1279" i="4"/>
  <c r="D1066" i="4"/>
  <c r="C840" i="4"/>
  <c r="C997" i="4"/>
  <c r="F1157" i="4"/>
  <c r="A1270" i="4"/>
  <c r="F1407" i="4"/>
  <c r="C1769" i="4"/>
  <c r="C1462" i="4"/>
  <c r="D1151" i="4"/>
  <c r="F1129" i="4"/>
  <c r="C1088" i="4"/>
  <c r="A1248" i="4"/>
  <c r="C1093" i="4"/>
  <c r="B930" i="4"/>
  <c r="C1386" i="4"/>
  <c r="A1292" i="4"/>
  <c r="B985" i="4"/>
  <c r="B963" i="4"/>
  <c r="A1289" i="4"/>
  <c r="D1201" i="4"/>
  <c r="A836" i="4"/>
  <c r="D1291" i="4"/>
  <c r="B1989" i="4"/>
  <c r="A1380" i="4"/>
  <c r="C1140" i="4"/>
  <c r="B912" i="4"/>
  <c r="A1070" i="4"/>
  <c r="C1230" i="4"/>
  <c r="B896" i="4"/>
  <c r="A1082" i="4"/>
  <c r="F1333" i="4"/>
  <c r="C1244" i="4"/>
  <c r="B1163" i="4"/>
  <c r="A935" i="4"/>
  <c r="D1092" i="4"/>
  <c r="A1235" i="4"/>
  <c r="F814" i="4"/>
  <c r="F1023" i="4"/>
  <c r="F2194" i="4"/>
  <c r="F1932" i="4"/>
  <c r="D774" i="4"/>
  <c r="A706" i="4"/>
  <c r="A536" i="4"/>
  <c r="F480" i="4"/>
  <c r="D759" i="4"/>
  <c r="C695" i="4"/>
  <c r="B823" i="4"/>
  <c r="B1146" i="4"/>
  <c r="A863" i="4"/>
  <c r="F1102" i="4"/>
  <c r="A1245" i="4"/>
  <c r="B1118" i="4"/>
  <c r="A885" i="4"/>
  <c r="B385" i="4"/>
  <c r="A1698" i="4"/>
  <c r="C1844" i="4"/>
  <c r="C1371" i="4"/>
  <c r="D1314" i="4"/>
  <c r="C1346" i="4"/>
  <c r="D1269" i="4"/>
  <c r="B1116" i="4"/>
  <c r="A1060" i="4"/>
  <c r="C889" i="4"/>
  <c r="F833" i="4"/>
  <c r="B932" i="4"/>
  <c r="C1089" i="4"/>
  <c r="B1006" i="4"/>
  <c r="A807" i="4"/>
  <c r="B1184" i="4"/>
  <c r="A1151" i="4"/>
  <c r="A1475" i="4"/>
  <c r="B1580" i="4"/>
  <c r="A945" i="4"/>
  <c r="F888" i="4"/>
  <c r="B701" i="4"/>
  <c r="C645" i="4"/>
  <c r="C475" i="4"/>
  <c r="F420" i="4"/>
  <c r="C690" i="4"/>
  <c r="B635" i="4"/>
  <c r="A353" i="4"/>
  <c r="C763" i="4"/>
  <c r="D420" i="4"/>
  <c r="D718" i="4"/>
  <c r="F1204" i="4"/>
  <c r="D725" i="4"/>
  <c r="A1628" i="4"/>
  <c r="F1343" i="4"/>
  <c r="B1519" i="4"/>
  <c r="F1354" i="4"/>
  <c r="F894" i="4"/>
  <c r="C492" i="4"/>
  <c r="D997" i="4"/>
  <c r="B499" i="4"/>
  <c r="B812" i="4"/>
  <c r="B734" i="4"/>
  <c r="B1059" i="4"/>
  <c r="A734" i="4"/>
  <c r="E1094" i="4"/>
  <c r="A820" i="4"/>
  <c r="C658" i="4"/>
  <c r="A604" i="4"/>
  <c r="A1234" i="4"/>
  <c r="B1346" i="4"/>
  <c r="C999" i="4"/>
  <c r="B1149" i="4"/>
  <c r="F1365" i="4"/>
  <c r="F959" i="4"/>
  <c r="B834" i="4"/>
  <c r="F976" i="4"/>
  <c r="C927" i="4"/>
  <c r="C703" i="4"/>
  <c r="D576" i="4"/>
  <c r="A992" i="4"/>
  <c r="C1121" i="4"/>
  <c r="F500" i="4"/>
  <c r="F582" i="4"/>
  <c r="B799" i="4"/>
  <c r="A534" i="4"/>
  <c r="F871" i="4"/>
  <c r="B1014" i="4"/>
  <c r="F786" i="4"/>
  <c r="B898" i="4"/>
  <c r="F895" i="4"/>
  <c r="F911" i="4"/>
  <c r="A811" i="4"/>
  <c r="A1033" i="4"/>
  <c r="F1095" i="4"/>
  <c r="B348" i="4"/>
  <c r="A1404" i="4"/>
  <c r="F429" i="4"/>
  <c r="E1400" i="4"/>
  <c r="D1265" i="4"/>
  <c r="F825" i="4"/>
  <c r="F1521" i="4"/>
  <c r="A1158" i="4"/>
  <c r="F749" i="4"/>
  <c r="C1205" i="4"/>
  <c r="F910" i="4"/>
  <c r="F1295" i="4"/>
  <c r="B1488" i="4"/>
  <c r="D878" i="4"/>
  <c r="B1294" i="4"/>
  <c r="B451" i="4"/>
  <c r="C427" i="4"/>
  <c r="F591" i="4"/>
  <c r="D677" i="4"/>
  <c r="B498" i="4"/>
  <c r="B403" i="4"/>
  <c r="C1538" i="4"/>
  <c r="D994" i="4"/>
  <c r="C766" i="4"/>
  <c r="D993" i="4"/>
  <c r="B877" i="4"/>
  <c r="A902" i="4"/>
  <c r="A1003" i="4"/>
  <c r="A1113" i="4"/>
  <c r="D1050" i="4"/>
  <c r="C2095" i="4"/>
  <c r="A932" i="4"/>
  <c r="D1018" i="4"/>
  <c r="B1436" i="4"/>
  <c r="D1138" i="4"/>
  <c r="B1324" i="4"/>
  <c r="A1231" i="4"/>
  <c r="B355" i="4"/>
  <c r="A1337" i="4"/>
  <c r="D676" i="4"/>
  <c r="B653" i="4"/>
  <c r="A1201" i="4"/>
  <c r="F1106" i="4"/>
  <c r="A1614" i="4"/>
  <c r="F1182" i="4"/>
  <c r="D898" i="4"/>
  <c r="A1103" i="4"/>
  <c r="B683" i="4"/>
  <c r="D743" i="4"/>
  <c r="C1697" i="4"/>
  <c r="A1258" i="4"/>
  <c r="A1581" i="4"/>
  <c r="A1085" i="4"/>
  <c r="B1409" i="4"/>
  <c r="A1567" i="4"/>
  <c r="B1291" i="4"/>
  <c r="F1286" i="4"/>
  <c r="B1502" i="4"/>
  <c r="B1475" i="4"/>
  <c r="D1258" i="4"/>
  <c r="A850" i="4"/>
  <c r="B1254" i="4"/>
  <c r="B1081" i="4"/>
  <c r="D457" i="4"/>
  <c r="D513" i="4"/>
  <c r="B1434" i="4"/>
  <c r="C1049" i="4"/>
  <c r="A1573" i="4"/>
  <c r="F1197" i="4"/>
  <c r="B1562" i="4"/>
  <c r="D998" i="4"/>
  <c r="A939" i="4"/>
  <c r="F455" i="4"/>
  <c r="B1335" i="4"/>
  <c r="A1112" i="4"/>
  <c r="F1325" i="4"/>
  <c r="D1327" i="4"/>
  <c r="C1809" i="4"/>
  <c r="C1079" i="4"/>
  <c r="D907" i="4"/>
  <c r="F191" i="4"/>
  <c r="A733" i="4"/>
  <c r="F366" i="4"/>
  <c r="C675" i="4"/>
  <c r="B412" i="4"/>
  <c r="F1528" i="4"/>
  <c r="F1219" i="4"/>
  <c r="F1237" i="4"/>
  <c r="B1332" i="4"/>
  <c r="C1302" i="4"/>
  <c r="D1444" i="4"/>
  <c r="B1249" i="4"/>
  <c r="C906" i="4"/>
  <c r="F1109" i="4"/>
  <c r="C520" i="4"/>
  <c r="D1169" i="4"/>
  <c r="A58" i="4"/>
  <c r="B1357" i="4"/>
  <c r="B886" i="4"/>
  <c r="D1564" i="4"/>
  <c r="E1356" i="4"/>
  <c r="F1827" i="4"/>
  <c r="C1002" i="4"/>
  <c r="C1135" i="4"/>
  <c r="D422" i="4"/>
  <c r="A1331" i="4"/>
  <c r="D631" i="4"/>
  <c r="F1267" i="4"/>
  <c r="D1300" i="4"/>
  <c r="B816" i="4"/>
  <c r="D754" i="4"/>
  <c r="A1295" i="4"/>
  <c r="F754" i="4"/>
  <c r="A1291" i="4"/>
  <c r="B638" i="4"/>
  <c r="A1164" i="4"/>
  <c r="D1024" i="4"/>
  <c r="F1558" i="4"/>
  <c r="B465" i="4"/>
  <c r="C1172" i="4"/>
  <c r="C941" i="4"/>
  <c r="F1170" i="4"/>
  <c r="A829" i="4"/>
  <c r="B923" i="4"/>
  <c r="F842" i="4"/>
  <c r="C1182" i="4"/>
  <c r="A980" i="4"/>
  <c r="F1078" i="4"/>
  <c r="D521" i="4"/>
  <c r="B1268" i="4"/>
  <c r="F413" i="4"/>
  <c r="D956" i="4"/>
  <c r="F1189" i="4"/>
  <c r="A1045" i="4"/>
  <c r="C995" i="4"/>
  <c r="F1140" i="4"/>
  <c r="F570" i="4"/>
  <c r="B1199" i="4"/>
  <c r="A894" i="4"/>
  <c r="F1091" i="4"/>
  <c r="F891" i="4"/>
  <c r="B1381" i="4"/>
  <c r="D741" i="4"/>
  <c r="A434" i="4"/>
  <c r="D704" i="4"/>
  <c r="A345" i="4"/>
  <c r="C457" i="4"/>
  <c r="F735" i="4"/>
  <c r="A680" i="4"/>
  <c r="C1527" i="4"/>
  <c r="C921" i="4"/>
  <c r="D1148" i="4"/>
  <c r="B920" i="4"/>
  <c r="B1176" i="4"/>
  <c r="F832" i="4"/>
  <c r="F806" i="4"/>
  <c r="A1042" i="4"/>
  <c r="C1017" i="4"/>
  <c r="C847" i="4"/>
  <c r="D913" i="4"/>
  <c r="C816" i="4"/>
  <c r="F942" i="4"/>
  <c r="F1120" i="4"/>
  <c r="A934" i="4"/>
  <c r="D1118" i="4"/>
  <c r="C1203" i="4"/>
  <c r="B522" i="4"/>
  <c r="A659" i="4"/>
  <c r="D479" i="4"/>
  <c r="A1195" i="4"/>
  <c r="F1089" i="4"/>
  <c r="B1463" i="4"/>
  <c r="B969" i="4"/>
  <c r="D1350" i="4"/>
  <c r="D947" i="4"/>
  <c r="B908" i="4"/>
  <c r="A349" i="4"/>
  <c r="A339" i="4"/>
  <c r="A424" i="4"/>
  <c r="D278" i="4"/>
  <c r="B377" i="4"/>
  <c r="F1805" i="4"/>
  <c r="F1500" i="4"/>
  <c r="D1474" i="4"/>
  <c r="D1553" i="4"/>
  <c r="D1414" i="4"/>
  <c r="F1271" i="4"/>
  <c r="C1007" i="4"/>
  <c r="A1481" i="4"/>
  <c r="F866" i="4"/>
  <c r="A1465" i="4"/>
  <c r="B668" i="4"/>
  <c r="A474" i="4"/>
  <c r="F1387" i="4"/>
  <c r="F1476" i="4"/>
  <c r="B1452" i="4"/>
  <c r="F615" i="4"/>
  <c r="D1295" i="4"/>
  <c r="D1383" i="4"/>
  <c r="F998" i="4"/>
  <c r="F574" i="4"/>
  <c r="C1410" i="4"/>
  <c r="B1649" i="4"/>
  <c r="B1306" i="4"/>
  <c r="C640" i="4"/>
  <c r="C1145" i="4"/>
  <c r="A1293" i="4"/>
  <c r="B831" i="4"/>
  <c r="F280" i="4"/>
  <c r="B435" i="4"/>
  <c r="C518" i="4"/>
  <c r="C380" i="4"/>
  <c r="A574" i="4"/>
  <c r="A1237" i="4"/>
  <c r="D1073" i="4"/>
  <c r="A1076" i="4"/>
  <c r="A1486" i="4"/>
  <c r="D869" i="4"/>
  <c r="F1399" i="4"/>
  <c r="D930" i="4"/>
  <c r="F1066" i="4"/>
  <c r="D434" i="4"/>
  <c r="F748" i="4"/>
  <c r="F602" i="4"/>
  <c r="D447" i="4"/>
  <c r="B671" i="4"/>
  <c r="C1076" i="4"/>
  <c r="D614" i="4"/>
  <c r="F1093" i="4"/>
  <c r="C758" i="4"/>
  <c r="C811" i="4"/>
  <c r="F412" i="4"/>
  <c r="D284" i="4"/>
  <c r="A325" i="4"/>
  <c r="A381" i="4"/>
  <c r="F268" i="4"/>
  <c r="F943" i="4"/>
  <c r="C444" i="4"/>
  <c r="D1397" i="4"/>
  <c r="F1291" i="4"/>
  <c r="A1191" i="4"/>
  <c r="B1360" i="4"/>
  <c r="D820" i="4"/>
  <c r="E1303" i="4"/>
  <c r="D562" i="4"/>
  <c r="D312" i="4"/>
  <c r="A948" i="4"/>
  <c r="D807" i="4"/>
  <c r="B1117" i="4"/>
  <c r="F711" i="4"/>
  <c r="F423" i="4"/>
  <c r="A506" i="4"/>
  <c r="A368" i="4"/>
  <c r="B662" i="4"/>
  <c r="B875" i="4"/>
  <c r="F1100" i="4"/>
  <c r="F958" i="4"/>
  <c r="D244" i="4"/>
  <c r="D1114" i="4"/>
  <c r="D747" i="4"/>
  <c r="C1058" i="4"/>
  <c r="F685" i="4"/>
  <c r="F542" i="4"/>
  <c r="C405" i="4"/>
  <c r="B1241" i="4"/>
  <c r="A802" i="4"/>
  <c r="B83" i="4"/>
  <c r="B968" i="4"/>
  <c r="A308" i="4"/>
  <c r="B1073" i="4"/>
  <c r="F361" i="4"/>
  <c r="B150" i="4"/>
  <c r="A729" i="4"/>
  <c r="D537" i="4"/>
  <c r="F644" i="4"/>
  <c r="D325" i="4"/>
  <c r="B1188" i="4"/>
  <c r="A862" i="4"/>
  <c r="F1138" i="4"/>
  <c r="C15" i="4"/>
  <c r="A746" i="4"/>
  <c r="B725" i="4"/>
  <c r="D31" i="4"/>
  <c r="B218" i="4"/>
  <c r="B406" i="4"/>
  <c r="B524" i="4"/>
  <c r="B552" i="4"/>
  <c r="B328" i="4"/>
  <c r="B42" i="4"/>
  <c r="C1046" i="4"/>
  <c r="B815" i="4"/>
  <c r="B1353" i="4"/>
  <c r="B1139" i="4"/>
  <c r="A1091" i="4"/>
  <c r="B841" i="4"/>
  <c r="C586" i="4"/>
  <c r="F820" i="4"/>
  <c r="B1087" i="4"/>
  <c r="F388" i="4"/>
  <c r="C1106" i="4"/>
  <c r="D1514" i="4"/>
  <c r="B1450" i="4"/>
  <c r="D1288" i="4"/>
  <c r="A468" i="4"/>
  <c r="C1715" i="4"/>
  <c r="B1775" i="4"/>
  <c r="B1867" i="4"/>
  <c r="B1053" i="4"/>
  <c r="A2029" i="4"/>
  <c r="C1196" i="4"/>
  <c r="C1381" i="4"/>
  <c r="F1258" i="4"/>
  <c r="C1525" i="4"/>
  <c r="C1265" i="4"/>
  <c r="F1511" i="4"/>
  <c r="F1497" i="4"/>
  <c r="B1215" i="4"/>
  <c r="C1210" i="4"/>
  <c r="B1358" i="4"/>
  <c r="A872" i="4"/>
  <c r="C994" i="4"/>
  <c r="C425" i="4"/>
  <c r="C1480" i="4"/>
  <c r="A933" i="4"/>
  <c r="A1067" i="4"/>
  <c r="F840" i="4"/>
  <c r="A1066" i="4"/>
  <c r="D707" i="4"/>
  <c r="A1463" i="4"/>
  <c r="D1238" i="4"/>
  <c r="C1610" i="4"/>
  <c r="C1293" i="4"/>
  <c r="C968" i="4"/>
  <c r="A833" i="4"/>
  <c r="C945" i="4"/>
  <c r="D1256" i="4"/>
  <c r="D1633" i="4"/>
  <c r="C482" i="4"/>
  <c r="B1524" i="4"/>
  <c r="A1322" i="4"/>
  <c r="B1293" i="4"/>
  <c r="A1287" i="4"/>
  <c r="F1319" i="4"/>
  <c r="B1038" i="4"/>
  <c r="B1322" i="4"/>
  <c r="B1477" i="4"/>
  <c r="C1818" i="4"/>
  <c r="C1206" i="4"/>
  <c r="A999" i="4"/>
  <c r="D1154" i="4"/>
  <c r="B927" i="4"/>
  <c r="B1107" i="4"/>
  <c r="A1263" i="4"/>
  <c r="A1059" i="4"/>
  <c r="C1656" i="4"/>
  <c r="C1228" i="4"/>
  <c r="B1022" i="4"/>
  <c r="A1184" i="4"/>
  <c r="A950" i="4"/>
  <c r="F1111" i="4"/>
  <c r="F1242" i="4"/>
  <c r="B880" i="4"/>
  <c r="B1711" i="4"/>
  <c r="B1526" i="4"/>
  <c r="F1045" i="4"/>
  <c r="A990" i="4"/>
  <c r="B1316" i="4"/>
  <c r="F1245" i="4"/>
  <c r="A1094" i="4"/>
  <c r="C1037" i="4"/>
  <c r="F867" i="4"/>
  <c r="D811" i="4"/>
  <c r="D909" i="4"/>
  <c r="A924" i="4"/>
  <c r="D1523" i="4"/>
  <c r="C871" i="4"/>
  <c r="F569" i="4"/>
  <c r="D1058" i="4"/>
  <c r="B1644" i="4"/>
  <c r="A1742" i="4"/>
  <c r="B1829" i="4"/>
  <c r="C1226" i="4"/>
  <c r="F1231" i="4"/>
  <c r="A1392" i="4"/>
  <c r="B1607" i="4"/>
  <c r="A1520" i="4"/>
  <c r="B1498" i="4"/>
  <c r="F1696" i="4"/>
  <c r="D1722" i="4"/>
  <c r="F441" i="4"/>
  <c r="A753" i="4"/>
  <c r="A1435" i="4"/>
  <c r="C1349" i="4"/>
  <c r="B1819" i="4"/>
  <c r="D1807" i="4"/>
  <c r="F1949" i="4"/>
  <c r="F1418" i="4"/>
  <c r="B1577" i="4"/>
  <c r="D1701" i="4"/>
  <c r="B1676" i="4"/>
  <c r="A1473" i="4"/>
  <c r="B1198" i="4"/>
  <c r="B1317" i="4"/>
  <c r="A1644" i="4"/>
  <c r="A1431" i="4"/>
  <c r="F320" i="4"/>
  <c r="B502" i="4"/>
  <c r="B1413" i="4"/>
  <c r="C1739" i="4"/>
  <c r="B1835" i="4"/>
  <c r="B1551" i="4"/>
  <c r="C1468" i="4"/>
  <c r="A1346" i="4"/>
  <c r="B761" i="4"/>
  <c r="B1151" i="4"/>
  <c r="C1199" i="4"/>
  <c r="D1652" i="4"/>
  <c r="C71" i="4"/>
  <c r="C454" i="4"/>
  <c r="C1845" i="4"/>
  <c r="B1398" i="4"/>
  <c r="A436" i="4"/>
  <c r="A936" i="4"/>
  <c r="C630" i="4"/>
  <c r="A572" i="4"/>
  <c r="F2199" i="4"/>
  <c r="C1305" i="4"/>
  <c r="D1219" i="4"/>
  <c r="B379" i="4"/>
  <c r="F299" i="4"/>
  <c r="F679" i="4"/>
  <c r="D1627" i="4"/>
  <c r="C1675" i="4"/>
  <c r="F661" i="4"/>
  <c r="F1164" i="4"/>
  <c r="F1481" i="4"/>
  <c r="C1570" i="4"/>
  <c r="B654" i="4"/>
  <c r="C904" i="4"/>
  <c r="C1454" i="4"/>
  <c r="D1409" i="4"/>
  <c r="D1929" i="4"/>
  <c r="F1344" i="4"/>
  <c r="D1270" i="4"/>
  <c r="A1290" i="4"/>
  <c r="D1527" i="4"/>
  <c r="D1716" i="4"/>
  <c r="C1159" i="4"/>
  <c r="A1347" i="4"/>
  <c r="D1196" i="4"/>
  <c r="E971" i="4"/>
  <c r="C917" i="4"/>
  <c r="A351" i="4"/>
  <c r="C1324" i="4"/>
  <c r="C1427" i="4"/>
  <c r="C1193" i="4"/>
  <c r="B1079" i="4"/>
  <c r="A967" i="4"/>
  <c r="B902" i="4"/>
  <c r="F980" i="4"/>
  <c r="A553" i="4"/>
  <c r="F1235" i="4"/>
  <c r="C1345" i="4"/>
  <c r="A1364" i="4"/>
  <c r="C874" i="4"/>
  <c r="B1062" i="4"/>
  <c r="B1345" i="4"/>
  <c r="B331" i="4"/>
  <c r="C687" i="4"/>
  <c r="B787" i="4"/>
  <c r="F434" i="4"/>
  <c r="B715" i="4"/>
  <c r="D662" i="4"/>
  <c r="A1408" i="4"/>
  <c r="B1541" i="4"/>
  <c r="B1616" i="4"/>
  <c r="A1497" i="4"/>
  <c r="A1472" i="4"/>
  <c r="A1582" i="4"/>
  <c r="C940" i="4"/>
  <c r="A1278" i="4"/>
  <c r="A1174" i="4"/>
  <c r="B1138" i="4"/>
  <c r="C755" i="4"/>
  <c r="F798" i="4"/>
  <c r="D892" i="4"/>
  <c r="C1266" i="4"/>
  <c r="C1201" i="4"/>
  <c r="A1101" i="4"/>
  <c r="A940" i="4"/>
  <c r="D1379" i="4"/>
  <c r="C555" i="4"/>
  <c r="C462" i="4"/>
  <c r="B974" i="4"/>
  <c r="A1358" i="4"/>
  <c r="B1202" i="4"/>
  <c r="A951" i="4"/>
  <c r="B911" i="4"/>
  <c r="F1274" i="4"/>
  <c r="A562" i="4"/>
  <c r="F547" i="4"/>
  <c r="A1356" i="4"/>
  <c r="D1213" i="4"/>
  <c r="F1246" i="4"/>
  <c r="F389" i="4"/>
  <c r="C1648" i="4"/>
  <c r="F1431" i="4"/>
  <c r="F1427" i="4"/>
  <c r="A1324" i="4"/>
  <c r="A1643" i="4"/>
  <c r="B1302" i="4"/>
  <c r="F981" i="4"/>
  <c r="A1206" i="4"/>
  <c r="D1045" i="4"/>
  <c r="B1063" i="4"/>
  <c r="D795" i="4"/>
  <c r="A791" i="4"/>
  <c r="C1326" i="4"/>
  <c r="F1183" i="4"/>
  <c r="B1200" i="4"/>
  <c r="B602" i="4"/>
  <c r="A350" i="4"/>
  <c r="C815" i="4"/>
  <c r="B821" i="4"/>
  <c r="B1119" i="4"/>
  <c r="F978" i="4"/>
  <c r="A1340" i="4"/>
  <c r="B970" i="4"/>
  <c r="A853" i="4"/>
  <c r="B1040" i="4"/>
  <c r="D1510" i="4"/>
  <c r="F1046" i="4"/>
  <c r="B423" i="4"/>
  <c r="C568" i="4"/>
  <c r="F1061" i="4"/>
  <c r="B512" i="4"/>
  <c r="C546" i="4"/>
  <c r="B1285" i="4"/>
  <c r="D1319" i="4"/>
  <c r="F1199" i="4"/>
  <c r="F1437" i="4"/>
  <c r="C1391" i="4"/>
  <c r="B1269" i="4"/>
  <c r="B822" i="4"/>
  <c r="F920" i="4"/>
  <c r="D573" i="4"/>
  <c r="F1040" i="4"/>
  <c r="B1046" i="4"/>
  <c r="E417" i="4"/>
  <c r="C823" i="4"/>
  <c r="F1063" i="4"/>
  <c r="C1177" i="4"/>
  <c r="A1080" i="4"/>
  <c r="F815" i="4"/>
  <c r="F810" i="4"/>
  <c r="A1016" i="4"/>
  <c r="A648" i="4"/>
  <c r="C956" i="4"/>
  <c r="A1334" i="4"/>
  <c r="A966" i="4"/>
  <c r="E1093" i="4"/>
  <c r="F1054" i="4"/>
  <c r="D1208" i="4"/>
  <c r="A817" i="4"/>
  <c r="B904" i="4"/>
  <c r="F1198" i="4"/>
  <c r="C1544" i="4"/>
  <c r="C1365" i="4"/>
  <c r="B611" i="4"/>
  <c r="F1331" i="4"/>
  <c r="A548" i="4"/>
  <c r="C894" i="4"/>
  <c r="A1028" i="4"/>
  <c r="F801" i="4"/>
  <c r="D443" i="4"/>
  <c r="D633" i="4"/>
  <c r="F924" i="4"/>
  <c r="B829" i="4"/>
  <c r="F1229" i="4"/>
  <c r="C972" i="4"/>
  <c r="C661" i="4"/>
  <c r="A1455" i="4"/>
  <c r="D1309" i="4"/>
  <c r="A1343" i="4"/>
  <c r="B1061" i="4"/>
  <c r="F883" i="4"/>
  <c r="D1136" i="4"/>
  <c r="D635" i="4"/>
  <c r="B832" i="4"/>
  <c r="D916" i="4"/>
  <c r="D1159" i="4"/>
  <c r="D1278" i="4"/>
  <c r="F1308" i="4"/>
  <c r="A1044" i="4"/>
  <c r="C863" i="4"/>
  <c r="A875" i="4"/>
  <c r="A1058" i="4"/>
  <c r="F335" i="4"/>
  <c r="B1286" i="4"/>
  <c r="F984" i="4"/>
  <c r="D382" i="4"/>
  <c r="D1582" i="4"/>
  <c r="F1008" i="4"/>
  <c r="C781" i="4"/>
  <c r="F1007" i="4"/>
  <c r="A898" i="4"/>
  <c r="A1064" i="4"/>
  <c r="B325" i="4"/>
  <c r="A1126" i="4"/>
  <c r="F358" i="4"/>
  <c r="C1373" i="4"/>
  <c r="B878" i="4"/>
  <c r="C873" i="4"/>
  <c r="F1144" i="4"/>
  <c r="D1003" i="4"/>
  <c r="A1019" i="4"/>
  <c r="F940" i="4"/>
  <c r="F914" i="4"/>
  <c r="B1132" i="4"/>
  <c r="D1101" i="4"/>
  <c r="C900" i="4"/>
  <c r="C895" i="4"/>
  <c r="B1137" i="4"/>
  <c r="A1272" i="4"/>
  <c r="F1151" i="4"/>
  <c r="B1121" i="4"/>
  <c r="D924" i="4"/>
  <c r="F1082" i="4"/>
  <c r="C963" i="4"/>
  <c r="A330" i="4"/>
  <c r="C1134" i="4"/>
  <c r="C964" i="4"/>
  <c r="B847" i="4"/>
  <c r="F1612" i="4"/>
  <c r="D1216" i="4"/>
  <c r="B1009" i="4"/>
  <c r="B1246" i="4"/>
  <c r="A1470" i="4"/>
  <c r="A1108" i="4"/>
  <c r="D1174" i="4"/>
  <c r="A413" i="4"/>
  <c r="F1024" i="4"/>
  <c r="D1534" i="4"/>
  <c r="F488" i="4"/>
  <c r="B488" i="4"/>
  <c r="C502" i="4"/>
  <c r="B364" i="4"/>
  <c r="B437" i="4"/>
  <c r="A842" i="4"/>
  <c r="C780" i="4"/>
  <c r="C1148" i="4"/>
  <c r="C829" i="4"/>
  <c r="A972" i="4"/>
  <c r="B744" i="4"/>
  <c r="C1054" i="4"/>
  <c r="B669" i="4"/>
  <c r="A519" i="4"/>
  <c r="B810" i="4"/>
  <c r="D946" i="4"/>
  <c r="C1104" i="4"/>
  <c r="B939" i="4"/>
  <c r="F995" i="4"/>
  <c r="A446" i="4"/>
  <c r="C929" i="4"/>
  <c r="C694" i="4"/>
  <c r="F1160" i="4"/>
  <c r="A1131" i="4"/>
  <c r="D818" i="4"/>
  <c r="B1521" i="4"/>
  <c r="C869" i="4"/>
  <c r="C1170" i="4"/>
  <c r="B518" i="4"/>
  <c r="F310" i="4"/>
  <c r="B619" i="4"/>
  <c r="B415" i="4"/>
  <c r="F285" i="4"/>
  <c r="F494" i="4"/>
  <c r="B532" i="4"/>
  <c r="B422" i="4"/>
  <c r="A473" i="4"/>
  <c r="D390" i="4"/>
  <c r="C632" i="4"/>
  <c r="F512" i="4"/>
  <c r="B4" i="4"/>
  <c r="B222" i="4"/>
  <c r="B251" i="4"/>
  <c r="F165" i="4"/>
  <c r="B606" i="4"/>
  <c r="F520" i="4"/>
  <c r="F321" i="4"/>
  <c r="B1043" i="4"/>
  <c r="B1380" i="4"/>
  <c r="A1370" i="4"/>
  <c r="A1218" i="4"/>
  <c r="A837" i="4"/>
  <c r="B1369" i="4"/>
  <c r="A971" i="4"/>
  <c r="F583" i="4"/>
  <c r="F719" i="4"/>
  <c r="A578" i="4"/>
  <c r="A439" i="4"/>
  <c r="B23" i="4"/>
  <c r="F651" i="4"/>
  <c r="B739" i="4"/>
  <c r="F594" i="4"/>
  <c r="F130" i="4"/>
  <c r="C322" i="4"/>
  <c r="C179" i="4"/>
  <c r="D553" i="4"/>
  <c r="C244" i="4"/>
  <c r="F557" i="4"/>
  <c r="A644" i="4"/>
  <c r="B501" i="4"/>
  <c r="B688" i="4"/>
  <c r="F545" i="4"/>
  <c r="C408" i="4"/>
  <c r="A1083" i="4"/>
  <c r="B751" i="4"/>
  <c r="C1364" i="4"/>
  <c r="D362" i="4"/>
  <c r="F1400" i="4"/>
  <c r="F767" i="4"/>
  <c r="A997" i="4"/>
  <c r="B65" i="4"/>
  <c r="A414" i="4"/>
  <c r="C324" i="4"/>
  <c r="A219" i="4"/>
  <c r="C708" i="4"/>
  <c r="F740" i="4"/>
  <c r="D653" i="4"/>
  <c r="A493" i="4"/>
  <c r="B383" i="4"/>
  <c r="B620" i="4"/>
  <c r="F533" i="4"/>
  <c r="D270" i="4"/>
  <c r="C393" i="4"/>
  <c r="B421" i="4"/>
  <c r="D335" i="4"/>
  <c r="B386" i="4"/>
  <c r="F683" i="4"/>
  <c r="F540" i="4"/>
  <c r="C821" i="4"/>
  <c r="F739" i="4"/>
  <c r="D1189" i="4"/>
  <c r="B1085" i="4"/>
  <c r="D1381" i="4"/>
  <c r="C1260" i="4"/>
  <c r="C1032" i="4"/>
  <c r="C1059" i="4"/>
  <c r="B944" i="4"/>
  <c r="A681" i="4"/>
  <c r="A200" i="4"/>
  <c r="B1135" i="4"/>
  <c r="A775" i="4"/>
  <c r="F1131" i="4"/>
  <c r="C365" i="4"/>
  <c r="F52" i="4"/>
  <c r="D79" i="4"/>
  <c r="D490" i="4"/>
  <c r="C681" i="4"/>
  <c r="D1971" i="4"/>
  <c r="D1242" i="4"/>
  <c r="F1466" i="4"/>
  <c r="F1210" i="4"/>
  <c r="F1389" i="4"/>
  <c r="A1320" i="4"/>
  <c r="C981" i="4"/>
  <c r="F1173" i="4"/>
  <c r="B1232" i="4"/>
  <c r="B476" i="4"/>
  <c r="C1493" i="4"/>
  <c r="D701" i="4"/>
  <c r="A1316" i="4"/>
  <c r="C1130" i="4"/>
  <c r="B1259" i="4"/>
  <c r="D1177" i="4"/>
  <c r="F1323" i="4"/>
  <c r="A610" i="4"/>
  <c r="A1444" i="4"/>
  <c r="D22" i="4"/>
  <c r="F1340" i="4"/>
  <c r="C1259" i="4"/>
  <c r="B864" i="4"/>
  <c r="F530" i="4"/>
  <c r="A848" i="4"/>
  <c r="F471" i="4"/>
  <c r="B1250" i="4"/>
  <c r="A580" i="4"/>
  <c r="C478" i="4"/>
  <c r="D505" i="4"/>
  <c r="D423" i="4"/>
  <c r="C849" i="4"/>
  <c r="F1727" i="4"/>
  <c r="F1304" i="4"/>
  <c r="A1528" i="4"/>
  <c r="F1403" i="4"/>
  <c r="A989" i="4"/>
  <c r="F1266" i="4"/>
  <c r="F1122" i="4"/>
  <c r="D882" i="4"/>
  <c r="F689" i="4"/>
  <c r="B547" i="4"/>
  <c r="B410" i="4"/>
  <c r="D823" i="4"/>
  <c r="B893" i="4"/>
  <c r="D978" i="4"/>
  <c r="D837" i="4"/>
  <c r="B1143" i="4"/>
  <c r="A1002" i="4"/>
  <c r="C860" i="4"/>
  <c r="C879" i="4"/>
  <c r="A683" i="4"/>
  <c r="F827" i="4"/>
  <c r="C1700" i="4"/>
  <c r="B1638" i="4"/>
  <c r="F1165" i="4"/>
  <c r="B1218" i="4"/>
  <c r="B1435" i="4"/>
  <c r="B1231" i="4"/>
  <c r="C1303" i="4"/>
  <c r="D1262" i="4"/>
  <c r="F1158" i="4"/>
  <c r="A1302" i="4"/>
  <c r="A1366" i="4"/>
  <c r="C1332" i="4"/>
  <c r="C1126" i="4"/>
  <c r="F1104" i="4"/>
  <c r="F1034" i="4"/>
  <c r="A987" i="4"/>
  <c r="D1027" i="4"/>
  <c r="B1308" i="4"/>
  <c r="B1239" i="4"/>
  <c r="A1075" i="4"/>
  <c r="B1348" i="4"/>
  <c r="A1088" i="4"/>
  <c r="F616" i="4"/>
  <c r="B492" i="4"/>
  <c r="D1376" i="4"/>
  <c r="B1559" i="4"/>
  <c r="C1138" i="4"/>
  <c r="C748" i="4"/>
  <c r="F725" i="4"/>
  <c r="D1316" i="4"/>
  <c r="B975" i="4"/>
  <c r="C718" i="4"/>
  <c r="F724" i="4"/>
  <c r="B797" i="4"/>
  <c r="F784" i="4"/>
  <c r="D389" i="4"/>
  <c r="D1153" i="4"/>
  <c r="C1099" i="4"/>
  <c r="F456" i="4"/>
  <c r="A1176" i="4"/>
  <c r="B636" i="4"/>
  <c r="D1163" i="4"/>
  <c r="C284" i="4"/>
  <c r="D845" i="4"/>
  <c r="C682" i="4"/>
  <c r="F460" i="4"/>
  <c r="A1120" i="4"/>
  <c r="D889" i="4"/>
  <c r="A838" i="4"/>
  <c r="F1261" i="4"/>
  <c r="D1081" i="4"/>
  <c r="D421" i="4"/>
  <c r="F994" i="4"/>
  <c r="D417" i="4"/>
  <c r="F655" i="4"/>
  <c r="B206" i="4"/>
  <c r="F424" i="4"/>
  <c r="D1559" i="4"/>
  <c r="F641" i="4"/>
  <c r="F446" i="4"/>
  <c r="F898" i="4"/>
  <c r="D546" i="4"/>
  <c r="D439" i="4"/>
  <c r="F773" i="4"/>
  <c r="A1530" i="4"/>
  <c r="B1112" i="4"/>
  <c r="C1168" i="4"/>
  <c r="B535" i="4"/>
  <c r="D905" i="4"/>
  <c r="A585" i="4"/>
  <c r="E898" i="4"/>
  <c r="F718" i="4"/>
  <c r="B693" i="4"/>
  <c r="B1092" i="4"/>
  <c r="F965" i="4"/>
  <c r="F830" i="4"/>
  <c r="A920" i="4"/>
  <c r="F492" i="4"/>
  <c r="F1202" i="4"/>
  <c r="F368" i="4"/>
  <c r="D395" i="4"/>
  <c r="F1711" i="4"/>
  <c r="C1486" i="4"/>
  <c r="D487" i="4"/>
  <c r="B839" i="4"/>
  <c r="A589" i="4"/>
  <c r="A427" i="4"/>
  <c r="B243" i="4"/>
  <c r="A588" i="4"/>
  <c r="A1233" i="4"/>
  <c r="C803" i="4"/>
  <c r="D570" i="4"/>
  <c r="C1166" i="4"/>
  <c r="F572" i="4"/>
  <c r="B1016" i="4"/>
  <c r="B922" i="4"/>
  <c r="C993" i="4"/>
  <c r="A737" i="4"/>
  <c r="F437" i="4"/>
  <c r="D1030" i="4"/>
  <c r="A1129" i="4"/>
  <c r="A1783" i="4"/>
  <c r="D932" i="4"/>
  <c r="C757" i="4"/>
  <c r="F847" i="4"/>
  <c r="D542" i="4"/>
  <c r="B510" i="4"/>
  <c r="A257" i="4"/>
  <c r="C1035" i="4"/>
  <c r="C1030" i="4"/>
  <c r="C345" i="4"/>
  <c r="A540" i="4"/>
  <c r="D904" i="4"/>
  <c r="F507" i="4"/>
  <c r="A952" i="4"/>
  <c r="B836" i="4"/>
  <c r="B1167" i="4"/>
  <c r="A1166" i="4"/>
  <c r="F1126" i="4"/>
  <c r="F1026" i="4"/>
  <c r="F930" i="4"/>
  <c r="F727" i="4"/>
  <c r="B894" i="4"/>
  <c r="C806" i="4"/>
  <c r="F688" i="4"/>
  <c r="F821" i="4"/>
  <c r="A1276" i="4"/>
  <c r="A868" i="4"/>
  <c r="A328" i="4"/>
  <c r="A834" i="4"/>
  <c r="C789" i="4"/>
  <c r="B1583" i="4"/>
  <c r="D361" i="4"/>
  <c r="A120" i="4"/>
  <c r="F782" i="4"/>
  <c r="C263" i="4"/>
  <c r="B69" i="4"/>
  <c r="A208" i="4"/>
  <c r="C601" i="4"/>
  <c r="C784" i="4"/>
  <c r="C700" i="4"/>
  <c r="D126" i="4"/>
  <c r="F638" i="4"/>
  <c r="A722" i="4"/>
  <c r="F579" i="4"/>
  <c r="A1157" i="4"/>
  <c r="A1017" i="4"/>
  <c r="B874" i="4"/>
  <c r="A1145" i="4"/>
  <c r="A111" i="4"/>
  <c r="D699" i="4"/>
  <c r="D915" i="4"/>
  <c r="C330" i="4"/>
  <c r="A1127" i="4"/>
  <c r="C417" i="4"/>
  <c r="A459" i="4"/>
  <c r="B324" i="4"/>
  <c r="D1021" i="4"/>
  <c r="A726" i="4"/>
  <c r="A23" i="4"/>
  <c r="D1091" i="4"/>
  <c r="B661" i="4"/>
  <c r="F675" i="4"/>
  <c r="B469" i="4"/>
  <c r="B888" i="4"/>
  <c r="B639" i="4"/>
  <c r="A59" i="4"/>
  <c r="F247" i="4"/>
  <c r="A873" i="4"/>
  <c r="D617" i="4"/>
  <c r="F1137" i="4"/>
  <c r="B334" i="4"/>
  <c r="C588" i="4"/>
  <c r="A1168" i="4"/>
  <c r="B992" i="4"/>
  <c r="B645" i="4"/>
  <c r="F1337" i="4"/>
  <c r="F983" i="4"/>
  <c r="A1351" i="4"/>
  <c r="F1234" i="4"/>
  <c r="A1114" i="4"/>
  <c r="A832" i="4"/>
  <c r="A1068" i="4"/>
  <c r="A925" i="4"/>
  <c r="A78" i="4"/>
  <c r="B248" i="4"/>
  <c r="F3" i="4"/>
  <c r="C491" i="4"/>
  <c r="F636" i="4"/>
  <c r="F493" i="4"/>
  <c r="F354" i="4"/>
  <c r="B664" i="4"/>
  <c r="F127" i="4"/>
  <c r="A277" i="4"/>
  <c r="B366" i="4"/>
  <c r="D219" i="4"/>
  <c r="A289" i="4"/>
  <c r="F1056" i="4"/>
  <c r="B872" i="4"/>
  <c r="D1430" i="4"/>
  <c r="B1730" i="4"/>
  <c r="B250" i="4"/>
  <c r="C1101" i="4"/>
  <c r="C565" i="4"/>
  <c r="B396" i="4"/>
  <c r="B474" i="4"/>
  <c r="C688" i="4"/>
  <c r="F522" i="4"/>
  <c r="D680" i="4"/>
  <c r="C355" i="4"/>
  <c r="D1125" i="4"/>
  <c r="F1222" i="4"/>
  <c r="D925" i="4"/>
  <c r="B306" i="4"/>
  <c r="A510" i="4"/>
  <c r="D595" i="4"/>
  <c r="C455" i="4"/>
  <c r="F276" i="4"/>
  <c r="D1750" i="4"/>
  <c r="A1202" i="4"/>
  <c r="A995" i="4"/>
  <c r="F1217" i="4"/>
  <c r="C1452" i="4"/>
  <c r="F1284" i="4"/>
  <c r="B1089" i="4"/>
  <c r="A1211" i="4"/>
  <c r="B1383" i="4"/>
  <c r="C979" i="4"/>
  <c r="D685" i="4"/>
  <c r="C647" i="4"/>
  <c r="F1352" i="4"/>
  <c r="F417" i="4"/>
  <c r="A1546" i="4"/>
  <c r="D1322" i="4"/>
  <c r="A1353" i="4"/>
  <c r="B830" i="4"/>
  <c r="B1157" i="4"/>
  <c r="A755" i="4"/>
  <c r="F1557" i="4"/>
  <c r="F1107" i="4"/>
  <c r="D1233" i="4"/>
  <c r="C975" i="4"/>
  <c r="C1288" i="4"/>
  <c r="F508" i="4"/>
  <c r="A1009" i="4"/>
  <c r="A66" i="4"/>
  <c r="B607" i="4"/>
  <c r="D691" i="4"/>
  <c r="B549" i="4"/>
  <c r="C591" i="4"/>
  <c r="A1038" i="4"/>
  <c r="F1168" i="4"/>
  <c r="A1459" i="4"/>
  <c r="A830" i="4"/>
  <c r="C1271" i="4"/>
  <c r="C572" i="4"/>
  <c r="A847" i="4"/>
  <c r="C1109" i="4"/>
  <c r="B452" i="4"/>
  <c r="A772" i="4"/>
  <c r="F620" i="4"/>
  <c r="C89" i="4"/>
  <c r="A661" i="4"/>
  <c r="C750" i="4"/>
  <c r="F603" i="4"/>
  <c r="B442" i="4"/>
  <c r="A745" i="4"/>
  <c r="F599" i="4"/>
  <c r="B398" i="4"/>
  <c r="B129" i="4"/>
  <c r="B314" i="4"/>
  <c r="F62" i="4"/>
  <c r="F257" i="4"/>
  <c r="F573" i="4"/>
  <c r="C434" i="4"/>
  <c r="A2266" i="4"/>
  <c r="D1348" i="4"/>
  <c r="B1234" i="4"/>
  <c r="F1362" i="4"/>
  <c r="F1011" i="4"/>
  <c r="F1441" i="4"/>
  <c r="C1082" i="4"/>
  <c r="D569" i="4"/>
  <c r="A618" i="4"/>
  <c r="A422" i="4"/>
  <c r="F336" i="4"/>
  <c r="A131" i="4"/>
  <c r="F703" i="4"/>
  <c r="C734" i="4"/>
  <c r="B648" i="4"/>
  <c r="A605" i="4"/>
  <c r="D464" i="4"/>
  <c r="D775" i="4"/>
  <c r="A623" i="4"/>
  <c r="D577" i="4"/>
  <c r="B1048" i="4"/>
  <c r="D1133" i="4"/>
  <c r="A993" i="4"/>
  <c r="D1089" i="4"/>
  <c r="A947" i="4"/>
  <c r="D806" i="4"/>
  <c r="A1311" i="4"/>
  <c r="F876" i="4"/>
  <c r="D906" i="4"/>
  <c r="D1263" i="4"/>
  <c r="A852" i="4"/>
  <c r="B1113" i="4"/>
  <c r="C912" i="4"/>
  <c r="B844" i="4"/>
  <c r="C547" i="4"/>
  <c r="B566" i="4"/>
  <c r="B264" i="4"/>
  <c r="D578" i="4"/>
  <c r="C649" i="4"/>
  <c r="F817" i="4"/>
  <c r="A592" i="4"/>
  <c r="A1077" i="4"/>
  <c r="D761" i="4"/>
  <c r="F791" i="4"/>
  <c r="B525" i="4"/>
  <c r="F126" i="4"/>
  <c r="A332" i="4"/>
  <c r="B845" i="4"/>
  <c r="F770" i="4"/>
  <c r="A372" i="4"/>
  <c r="F808" i="4"/>
  <c r="C2090" i="4"/>
  <c r="C1097" i="4"/>
  <c r="B1172" i="4"/>
  <c r="A1118" i="4"/>
  <c r="D802" i="4"/>
  <c r="D910" i="4"/>
  <c r="D544" i="4"/>
  <c r="C525" i="4"/>
  <c r="B907" i="4"/>
  <c r="F1156" i="4"/>
  <c r="A496" i="4"/>
  <c r="C633" i="4"/>
  <c r="A558" i="4"/>
  <c r="B1238" i="4"/>
  <c r="C1042" i="4"/>
  <c r="D1131" i="4"/>
  <c r="B486" i="4"/>
  <c r="A579" i="4"/>
  <c r="D413" i="4"/>
  <c r="D991" i="4"/>
  <c r="D1401" i="4"/>
  <c r="C530" i="4"/>
  <c r="C866" i="4"/>
  <c r="D1010" i="4"/>
  <c r="B783" i="4"/>
  <c r="A1296" i="4"/>
  <c r="B732" i="4"/>
  <c r="B1227" i="4"/>
  <c r="C1022" i="4"/>
  <c r="C1367" i="4"/>
  <c r="A400" i="4"/>
  <c r="F1127" i="4"/>
  <c r="B1122" i="4"/>
  <c r="D980" i="4"/>
  <c r="B996" i="4"/>
  <c r="B1020" i="4"/>
  <c r="B965" i="4"/>
  <c r="B1152" i="4"/>
  <c r="A631" i="4"/>
  <c r="F738" i="4"/>
  <c r="A846" i="4"/>
  <c r="D1076" i="4"/>
  <c r="C1300" i="4"/>
  <c r="B997" i="4"/>
  <c r="F1027" i="4"/>
  <c r="A665" i="4"/>
  <c r="F851" i="4"/>
  <c r="B482" i="4"/>
  <c r="D748" i="4"/>
  <c r="B663" i="4"/>
  <c r="C967" i="4"/>
  <c r="B378" i="4"/>
  <c r="B1344" i="4"/>
  <c r="F1001" i="4"/>
  <c r="F380" i="4"/>
  <c r="F896" i="4"/>
  <c r="C133" i="4"/>
  <c r="F944" i="4"/>
  <c r="C343" i="4"/>
  <c r="D132" i="4"/>
  <c r="A710" i="4"/>
  <c r="B533" i="4"/>
  <c r="D323" i="4"/>
  <c r="B267" i="4"/>
  <c r="D643" i="4"/>
  <c r="C297" i="4"/>
  <c r="C641" i="4"/>
  <c r="C689" i="4"/>
  <c r="B128" i="4"/>
  <c r="F409" i="4"/>
  <c r="F91" i="4"/>
  <c r="C669" i="4"/>
  <c r="D722" i="4"/>
  <c r="F612" i="4"/>
  <c r="A92" i="4"/>
  <c r="F9" i="4"/>
  <c r="B140" i="4"/>
  <c r="B976" i="4"/>
  <c r="C1347" i="4"/>
  <c r="A1259" i="4"/>
  <c r="C1068" i="4"/>
  <c r="B1021" i="4"/>
  <c r="B824" i="4"/>
  <c r="A870" i="4"/>
  <c r="A228" i="4"/>
  <c r="C168" i="4"/>
  <c r="A29" i="4"/>
  <c r="A466" i="4"/>
  <c r="A225" i="4"/>
  <c r="F383" i="4"/>
  <c r="C466" i="4"/>
  <c r="D322" i="4"/>
  <c r="C368" i="4"/>
  <c r="A677" i="4"/>
  <c r="C534" i="4"/>
  <c r="F396" i="4"/>
  <c r="F12" i="4"/>
  <c r="D431" i="4"/>
  <c r="F514" i="4"/>
  <c r="D376" i="4"/>
  <c r="B680" i="4"/>
  <c r="C537" i="4"/>
  <c r="F399" i="4"/>
  <c r="A1180" i="4"/>
  <c r="B1144" i="4"/>
  <c r="F1132" i="4"/>
  <c r="A866" i="4"/>
  <c r="F435" i="4"/>
  <c r="A835" i="4"/>
  <c r="C980" i="4"/>
  <c r="C851" i="4"/>
  <c r="D136" i="4"/>
  <c r="A53" i="4"/>
  <c r="F258" i="4"/>
  <c r="B432" i="4"/>
  <c r="C469" i="4"/>
  <c r="F357" i="4"/>
  <c r="F476" i="4"/>
  <c r="D394" i="4"/>
  <c r="C646" i="4"/>
  <c r="C560" i="4"/>
  <c r="A152" i="4"/>
  <c r="F173" i="4"/>
  <c r="C202" i="4"/>
  <c r="A117" i="4"/>
  <c r="C121" i="4"/>
  <c r="B774" i="4"/>
  <c r="A869" i="4"/>
  <c r="F1535" i="4"/>
  <c r="C526" i="4"/>
  <c r="F1196" i="4"/>
  <c r="B1417" i="4"/>
  <c r="A923" i="4"/>
  <c r="F1636" i="4"/>
  <c r="A669" i="4"/>
  <c r="A316" i="4"/>
  <c r="C460" i="4"/>
  <c r="F559" i="4"/>
  <c r="A628" i="4"/>
  <c r="D456" i="4"/>
  <c r="A703" i="4"/>
  <c r="B716" i="4"/>
  <c r="F19" i="4"/>
  <c r="A334" i="4"/>
  <c r="D419" i="4"/>
  <c r="B728" i="4"/>
  <c r="A463" i="4"/>
  <c r="F318" i="4"/>
  <c r="B176" i="4"/>
  <c r="D36" i="4"/>
  <c r="C667" i="4"/>
  <c r="F13" i="4"/>
  <c r="C127" i="4"/>
  <c r="F162" i="4"/>
  <c r="F46" i="4"/>
  <c r="A313" i="4"/>
  <c r="F596" i="4"/>
  <c r="A106" i="4"/>
  <c r="B143" i="4"/>
  <c r="F158" i="4"/>
  <c r="D580" i="4"/>
  <c r="C316" i="4"/>
  <c r="B72" i="4"/>
  <c r="F192" i="4"/>
  <c r="A664" i="4"/>
  <c r="F145" i="4"/>
  <c r="F53" i="4"/>
  <c r="A748" i="4"/>
  <c r="B401" i="4"/>
  <c r="A905" i="4"/>
  <c r="B855" i="4"/>
  <c r="F918" i="4"/>
  <c r="F1236" i="4"/>
  <c r="A707" i="4"/>
  <c r="F597" i="4"/>
  <c r="A563" i="4"/>
  <c r="F648" i="4"/>
  <c r="B506" i="4"/>
  <c r="C333" i="4"/>
  <c r="B487" i="4"/>
  <c r="A765" i="4"/>
  <c r="D615" i="4"/>
  <c r="C247" i="4"/>
  <c r="A270" i="4"/>
  <c r="D222" i="4"/>
  <c r="F250" i="4"/>
  <c r="B177" i="4"/>
  <c r="D65" i="4"/>
  <c r="A587" i="4"/>
  <c r="B269" i="4"/>
  <c r="B259" i="4"/>
  <c r="B29" i="4"/>
  <c r="A73" i="4"/>
  <c r="C30" i="4"/>
  <c r="F186" i="4"/>
  <c r="F244" i="4"/>
  <c r="D525" i="4"/>
  <c r="C1" i="4"/>
  <c r="B44" i="4"/>
  <c r="B211" i="4"/>
  <c r="F682" i="4"/>
  <c r="B556" i="4"/>
  <c r="F997" i="4"/>
  <c r="C452" i="4"/>
  <c r="D714" i="4"/>
  <c r="C305" i="4"/>
  <c r="F286" i="4"/>
  <c r="A392" i="4"/>
  <c r="C501" i="4"/>
  <c r="B781" i="4"/>
  <c r="B769" i="4"/>
  <c r="F618" i="4"/>
  <c r="C477" i="4"/>
  <c r="C337" i="4"/>
  <c r="B66" i="4"/>
  <c r="C494" i="4"/>
  <c r="C102" i="4"/>
  <c r="F393" i="4"/>
  <c r="A239" i="4"/>
  <c r="C642" i="4"/>
  <c r="B332" i="4"/>
  <c r="F425" i="4"/>
  <c r="A48" i="4"/>
  <c r="D272" i="4"/>
  <c r="F292" i="4"/>
  <c r="F28" i="4"/>
  <c r="A71" i="4"/>
  <c r="F206" i="4"/>
  <c r="F113" i="4"/>
  <c r="F174" i="4"/>
  <c r="D458" i="4"/>
  <c r="F194" i="4"/>
  <c r="D418" i="4"/>
  <c r="D432" i="4"/>
  <c r="D47" i="4"/>
  <c r="A532" i="4"/>
  <c r="C767" i="4"/>
  <c r="A621" i="4"/>
  <c r="F305" i="4"/>
  <c r="A469" i="4"/>
  <c r="A6" i="4"/>
  <c r="F22" i="4"/>
  <c r="F541" i="4"/>
  <c r="F131" i="4"/>
  <c r="D241" i="4"/>
  <c r="E26" i="4"/>
  <c r="F629" i="4"/>
  <c r="B1109" i="4"/>
  <c r="C1773" i="4"/>
  <c r="C1866" i="4"/>
  <c r="F1626" i="4"/>
  <c r="D1358" i="4"/>
  <c r="A670" i="4"/>
  <c r="A1011" i="4"/>
  <c r="C1116" i="4"/>
  <c r="C923" i="4"/>
  <c r="D453" i="4"/>
  <c r="A1142" i="4"/>
  <c r="D1034" i="4"/>
  <c r="B1084" i="4"/>
  <c r="D757" i="4"/>
  <c r="D1105" i="4"/>
  <c r="A1122" i="4"/>
  <c r="F1047" i="4"/>
  <c r="A978" i="4"/>
  <c r="A1207" i="4"/>
  <c r="B899" i="4"/>
  <c r="C1251" i="4"/>
  <c r="B1182" i="4"/>
  <c r="F1065" i="4"/>
  <c r="F1161" i="4"/>
  <c r="A1031" i="4"/>
  <c r="A559" i="4"/>
  <c r="F912" i="4"/>
  <c r="C855" i="4"/>
  <c r="F1112" i="4"/>
  <c r="D1012" i="4"/>
  <c r="D673" i="4"/>
  <c r="D864" i="4"/>
  <c r="A711" i="4"/>
  <c r="A916" i="4"/>
  <c r="A1141" i="4"/>
  <c r="B658" i="4"/>
  <c r="B956" i="4"/>
  <c r="F1260" i="4"/>
  <c r="C716" i="4"/>
  <c r="F957" i="4"/>
  <c r="C674" i="4"/>
  <c r="B986" i="4"/>
  <c r="D357" i="4"/>
  <c r="A331" i="4"/>
  <c r="B935" i="4"/>
  <c r="D1280" i="4"/>
  <c r="F923" i="4"/>
  <c r="B1194" i="4"/>
  <c r="C580" i="4"/>
  <c r="F823" i="4"/>
  <c r="C888" i="4"/>
  <c r="B342" i="4"/>
  <c r="B1576" i="4"/>
  <c r="D1005" i="4"/>
  <c r="B1244" i="4"/>
  <c r="F1044" i="4"/>
  <c r="D872" i="4"/>
  <c r="B349" i="4"/>
  <c r="A352" i="4"/>
  <c r="F339" i="4"/>
  <c r="C1274" i="4"/>
  <c r="A854" i="4"/>
  <c r="A1099" i="4"/>
  <c r="D572" i="4"/>
  <c r="D403" i="4"/>
  <c r="D1057" i="4"/>
  <c r="D1968" i="4"/>
  <c r="F799" i="4"/>
  <c r="C885" i="4"/>
  <c r="C839" i="4"/>
  <c r="A1696" i="4"/>
  <c r="C1038" i="4"/>
  <c r="F1293" i="4"/>
  <c r="B667" i="4"/>
  <c r="B439" i="4"/>
  <c r="F608" i="4"/>
  <c r="C1033" i="4"/>
  <c r="C818" i="4"/>
  <c r="D1578" i="4"/>
  <c r="D480" i="4"/>
  <c r="B1794" i="4"/>
  <c r="C211" i="4"/>
  <c r="B411" i="4"/>
  <c r="C2081" i="4"/>
  <c r="B1471" i="4"/>
  <c r="B436" i="4"/>
  <c r="F1393" i="4"/>
  <c r="A426" i="4"/>
  <c r="C1380" i="4"/>
  <c r="E741" i="4"/>
  <c r="C503" i="4"/>
  <c r="F1456" i="4"/>
  <c r="B565" i="4"/>
  <c r="F502" i="4"/>
  <c r="A1062" i="4"/>
  <c r="C1024" i="4"/>
  <c r="A366" i="4"/>
  <c r="B863" i="4"/>
  <c r="D808" i="4"/>
  <c r="B575" i="4"/>
  <c r="A727" i="4"/>
  <c r="A495" i="4"/>
  <c r="C95" i="4"/>
  <c r="A813" i="4"/>
  <c r="A1133" i="4"/>
  <c r="C696" i="4"/>
  <c r="B609" i="4"/>
  <c r="A942" i="4"/>
  <c r="A354" i="4"/>
  <c r="F595" i="4"/>
  <c r="B114" i="4"/>
  <c r="C876" i="4"/>
  <c r="F1155" i="4"/>
  <c r="A221" i="4"/>
  <c r="F568" i="4"/>
  <c r="B817" i="4"/>
  <c r="C987" i="4"/>
  <c r="F875" i="4"/>
  <c r="B517" i="4"/>
  <c r="A996" i="4"/>
  <c r="D880" i="4"/>
  <c r="A895" i="4"/>
  <c r="A1282" i="4"/>
  <c r="D462" i="4"/>
  <c r="B657" i="4"/>
  <c r="F1203" i="4"/>
  <c r="F1256" i="4"/>
  <c r="B197" i="4"/>
  <c r="D1129" i="4"/>
  <c r="A1154" i="4"/>
  <c r="C1096" i="4"/>
  <c r="B513" i="4"/>
  <c r="D683" i="4"/>
  <c r="F532" i="4"/>
  <c r="F1213" i="4"/>
  <c r="D1656" i="4"/>
  <c r="A1377" i="4"/>
  <c r="B989" i="4"/>
  <c r="D248" i="4"/>
  <c r="A50" i="4"/>
  <c r="C193" i="4"/>
  <c r="B586" i="4"/>
  <c r="F764" i="4"/>
  <c r="B615" i="4"/>
  <c r="A699" i="4"/>
  <c r="B426" i="4"/>
  <c r="A509" i="4"/>
  <c r="D371" i="4"/>
  <c r="C237" i="4"/>
  <c r="C94" i="4"/>
  <c r="D435" i="4"/>
  <c r="B891" i="4"/>
  <c r="D871" i="4"/>
  <c r="C357" i="4"/>
  <c r="F576" i="4"/>
  <c r="F1035" i="4"/>
  <c r="F819" i="4"/>
  <c r="A214" i="4"/>
  <c r="A347" i="4"/>
  <c r="E442" i="4"/>
  <c r="C329" i="4"/>
  <c r="F169" i="4"/>
  <c r="B276" i="4"/>
  <c r="F304" i="4"/>
  <c r="F218" i="4"/>
  <c r="D364" i="4"/>
  <c r="F730" i="4"/>
  <c r="A531" i="4"/>
  <c r="B448" i="4"/>
  <c r="C724" i="4"/>
  <c r="B483" i="4"/>
  <c r="F510" i="4"/>
  <c r="A428" i="4"/>
  <c r="C676" i="4"/>
  <c r="D590" i="4"/>
  <c r="A396" i="4"/>
  <c r="F937" i="4"/>
  <c r="C801" i="4"/>
  <c r="F1317" i="4"/>
  <c r="E1219" i="4"/>
  <c r="B1261" i="4"/>
  <c r="D1428" i="4"/>
  <c r="D1192" i="4"/>
  <c r="B972" i="4"/>
  <c r="B91" i="4"/>
  <c r="A285" i="4"/>
  <c r="B139" i="4"/>
  <c r="C374" i="4"/>
  <c r="B352" i="4"/>
  <c r="C360" i="4"/>
  <c r="B742" i="4"/>
  <c r="D793" i="4"/>
  <c r="A333" i="4"/>
  <c r="B961" i="4"/>
  <c r="C500" i="4"/>
  <c r="F11" i="4"/>
  <c r="C113" i="4"/>
  <c r="B590" i="4"/>
  <c r="B57" i="4"/>
  <c r="F836" i="4"/>
  <c r="F1041" i="4"/>
  <c r="A1761" i="4"/>
  <c r="A1274" i="4"/>
  <c r="A1199" i="4"/>
  <c r="C1264" i="4"/>
  <c r="B1049" i="4"/>
  <c r="D1207" i="4"/>
  <c r="B1315" i="4"/>
  <c r="A302" i="4"/>
  <c r="C672" i="4"/>
  <c r="B545" i="4"/>
  <c r="A321" i="4"/>
  <c r="C438" i="4"/>
  <c r="A1139" i="4"/>
  <c r="B1318" i="4"/>
  <c r="C807" i="4"/>
  <c r="B791" i="4"/>
  <c r="F317" i="4"/>
  <c r="C407" i="4"/>
  <c r="F261" i="4"/>
  <c r="C862" i="4"/>
  <c r="B1936" i="4"/>
  <c r="D1296" i="4"/>
  <c r="F1079" i="4"/>
  <c r="F852" i="4"/>
  <c r="F1586" i="4"/>
  <c r="F1398" i="4"/>
  <c r="A1105" i="4"/>
  <c r="F861" i="4"/>
  <c r="B1041" i="4"/>
  <c r="D1036" i="4"/>
  <c r="D873" i="4"/>
  <c r="C891" i="4"/>
  <c r="B801" i="4"/>
  <c r="C1041" i="4"/>
  <c r="A1173" i="4"/>
  <c r="A598" i="4"/>
  <c r="B345" i="4"/>
  <c r="B1469" i="4"/>
  <c r="A1251" i="4"/>
  <c r="B905" i="4"/>
  <c r="D1492" i="4"/>
  <c r="A1314" i="4"/>
  <c r="D1347" i="4"/>
  <c r="B622" i="4"/>
  <c r="A828" i="4"/>
  <c r="B931" i="4"/>
  <c r="A879" i="4"/>
  <c r="A650" i="4"/>
  <c r="C445" i="4"/>
  <c r="D848" i="4"/>
  <c r="F390" i="4"/>
  <c r="D1015" i="4"/>
  <c r="A1330" i="4"/>
  <c r="A795" i="4"/>
  <c r="B947" i="4"/>
  <c r="D911" i="4"/>
  <c r="D863" i="4"/>
  <c r="F925" i="4"/>
  <c r="C935" i="4"/>
  <c r="F473" i="4"/>
  <c r="F444" i="4"/>
  <c r="B1114" i="4"/>
  <c r="D613" i="4"/>
  <c r="B148" i="4"/>
  <c r="F1177" i="4"/>
  <c r="C1142" i="4"/>
  <c r="A1030" i="4"/>
  <c r="B560" i="4"/>
  <c r="D690" i="4"/>
  <c r="B719" i="4"/>
  <c r="C87" i="4"/>
  <c r="F198" i="4"/>
  <c r="F619" i="4"/>
  <c r="D1110" i="4"/>
  <c r="C944" i="4"/>
  <c r="B694" i="4"/>
  <c r="A887" i="4"/>
  <c r="C1100" i="4"/>
  <c r="F1491" i="4"/>
  <c r="F386" i="4"/>
  <c r="B1289" i="4"/>
  <c r="A1446" i="4"/>
  <c r="B1447" i="4"/>
  <c r="C1461" i="4"/>
  <c r="A1819" i="4"/>
  <c r="A1354" i="4"/>
  <c r="D1156" i="4"/>
  <c r="A1169" i="4"/>
  <c r="A1388" i="4"/>
  <c r="F1002" i="4"/>
  <c r="A1457" i="4"/>
  <c r="C1119" i="4"/>
  <c r="B1273" i="4"/>
  <c r="F857" i="4"/>
  <c r="C916" i="4"/>
  <c r="E878" i="4"/>
  <c r="C1413" i="4"/>
  <c r="A878" i="4"/>
  <c r="A1325" i="4"/>
  <c r="D338" i="4"/>
  <c r="B1658" i="4"/>
  <c r="C1286" i="4"/>
  <c r="F1031" i="4"/>
  <c r="F818" i="4"/>
  <c r="B1866" i="4"/>
  <c r="B861" i="4"/>
  <c r="A393" i="4"/>
  <c r="A897" i="4"/>
  <c r="A1802" i="4"/>
  <c r="A1029" i="4"/>
  <c r="B786" i="4"/>
  <c r="A1024" i="4"/>
  <c r="A1945" i="4"/>
  <c r="F555" i="4"/>
  <c r="A798" i="4"/>
  <c r="A1037" i="4"/>
  <c r="A2028" i="4"/>
  <c r="D730" i="4"/>
  <c r="B811" i="4"/>
  <c r="C498" i="4"/>
  <c r="A860" i="4"/>
  <c r="D982" i="4"/>
  <c r="F884" i="4"/>
  <c r="C680" i="4"/>
  <c r="F1453" i="4"/>
  <c r="A804" i="4"/>
  <c r="C340" i="4"/>
  <c r="A757" i="4"/>
  <c r="D1111" i="4"/>
  <c r="F1185" i="4"/>
  <c r="A1095" i="4"/>
  <c r="C1351" i="4"/>
  <c r="F1507" i="4"/>
  <c r="B1501" i="4"/>
  <c r="B869" i="4"/>
  <c r="D1120" i="4"/>
  <c r="F669" i="4"/>
  <c r="C731" i="4"/>
  <c r="D918" i="4"/>
  <c r="C556" i="4"/>
  <c r="B1795" i="4"/>
  <c r="C1245" i="4"/>
  <c r="F509" i="4"/>
  <c r="A957" i="4"/>
  <c r="F1146" i="4"/>
  <c r="A701" i="4"/>
  <c r="D933" i="4"/>
  <c r="F706" i="4"/>
  <c r="A1680" i="4"/>
  <c r="B1111" i="4"/>
  <c r="A1160" i="4"/>
  <c r="D481" i="4"/>
  <c r="B1128" i="4"/>
  <c r="C965" i="4"/>
  <c r="D1155" i="4"/>
  <c r="A476" i="4"/>
  <c r="B1558" i="4"/>
  <c r="A1115" i="4"/>
  <c r="C678" i="4"/>
  <c r="C740" i="4"/>
  <c r="C1219" i="4"/>
  <c r="B1160" i="4"/>
  <c r="F993" i="4"/>
  <c r="A438" i="4"/>
  <c r="D1557" i="4"/>
  <c r="D1276" i="4"/>
  <c r="B987" i="4"/>
  <c r="B1376" i="4"/>
  <c r="B1002" i="4"/>
  <c r="A1558" i="4"/>
  <c r="F750" i="4"/>
  <c r="F531" i="4"/>
  <c r="B901" i="4"/>
  <c r="A1539" i="4"/>
  <c r="A767" i="4"/>
  <c r="A1147" i="4"/>
  <c r="A881" i="4"/>
  <c r="F449" i="4"/>
  <c r="C1092" i="4"/>
  <c r="F1531" i="4"/>
  <c r="F255" i="4"/>
  <c r="B237" i="4"/>
  <c r="A590" i="4"/>
  <c r="A286" i="4"/>
  <c r="A615" i="4"/>
  <c r="D450" i="4"/>
  <c r="F900" i="4"/>
  <c r="D468" i="4"/>
  <c r="A788" i="4"/>
  <c r="C655" i="4"/>
  <c r="D455" i="4"/>
  <c r="C1045" i="4"/>
  <c r="C797" i="4"/>
  <c r="B358" i="4"/>
  <c r="D139" i="4"/>
  <c r="F1125" i="4"/>
  <c r="A728" i="4"/>
  <c r="B915" i="4"/>
  <c r="F805" i="4"/>
  <c r="F461" i="4"/>
  <c r="E937" i="4"/>
  <c r="C1231" i="4"/>
  <c r="A1040" i="4"/>
  <c r="C842" i="4"/>
  <c r="A370" i="4"/>
  <c r="D585" i="4"/>
  <c r="A1049" i="4"/>
  <c r="D921" i="4"/>
  <c r="F125" i="4"/>
  <c r="F1058" i="4"/>
  <c r="B353" i="4"/>
  <c r="B593" i="4"/>
  <c r="D669" i="4"/>
  <c r="A613" i="4"/>
  <c r="A464" i="4"/>
  <c r="C1506" i="4"/>
  <c r="C883" i="4"/>
  <c r="C852" i="4"/>
  <c r="A119" i="4"/>
  <c r="A177" i="4"/>
  <c r="F178" i="4"/>
  <c r="D122" i="4"/>
  <c r="A516" i="4"/>
  <c r="B785" i="4"/>
  <c r="C550" i="4"/>
  <c r="C68" i="4"/>
  <c r="F742" i="4"/>
  <c r="B652" i="4"/>
  <c r="F753" i="4"/>
  <c r="C1087" i="4"/>
  <c r="D1179" i="4"/>
  <c r="B2006" i="4"/>
  <c r="C1027" i="4"/>
  <c r="D1032" i="4"/>
  <c r="D949" i="4"/>
  <c r="B1094" i="4"/>
  <c r="F893" i="4"/>
  <c r="A444" i="4"/>
  <c r="A269" i="4"/>
  <c r="D780" i="4"/>
  <c r="C1091" i="4"/>
  <c r="D948" i="4"/>
  <c r="A481" i="4"/>
  <c r="A647" i="4"/>
  <c r="D732" i="4"/>
  <c r="B589" i="4"/>
  <c r="B538" i="4"/>
  <c r="F400" i="4"/>
  <c r="F707" i="4"/>
  <c r="D566" i="4"/>
  <c r="A30" i="4"/>
  <c r="C603" i="4"/>
  <c r="A688" i="4"/>
  <c r="D545" i="4"/>
  <c r="F428" i="4"/>
  <c r="F710" i="4"/>
  <c r="C569" i="4"/>
  <c r="A1213" i="4"/>
  <c r="D821" i="4"/>
  <c r="A824" i="4"/>
  <c r="C399" i="4"/>
  <c r="A504" i="4"/>
  <c r="D879" i="4"/>
  <c r="F1050" i="4"/>
  <c r="D920" i="4"/>
  <c r="C608" i="4"/>
  <c r="A998" i="4"/>
  <c r="B198" i="4"/>
  <c r="C319" i="4"/>
  <c r="D373" i="4"/>
  <c r="B263" i="4"/>
  <c r="F649" i="4"/>
  <c r="A564" i="4"/>
  <c r="F369" i="4"/>
  <c r="F736" i="4"/>
  <c r="D25" i="4"/>
  <c r="F351" i="4"/>
  <c r="A491" i="4"/>
  <c r="C291" i="4"/>
  <c r="F303" i="4"/>
  <c r="C242" i="4"/>
  <c r="A886" i="4"/>
  <c r="B1581" i="4"/>
  <c r="C1991" i="4"/>
  <c r="F961" i="4"/>
  <c r="B818" i="4"/>
  <c r="C1197" i="4"/>
  <c r="D1046" i="4"/>
  <c r="F1639" i="4"/>
  <c r="F54" i="4"/>
  <c r="B529" i="4"/>
  <c r="B632" i="4"/>
  <c r="B697" i="4"/>
  <c r="B557" i="4"/>
  <c r="A962" i="4"/>
  <c r="F829" i="4"/>
  <c r="A911" i="4"/>
  <c r="F483" i="4"/>
  <c r="F1113" i="4"/>
  <c r="A524" i="4"/>
  <c r="D641" i="4"/>
  <c r="D510" i="4"/>
  <c r="B1920" i="4"/>
  <c r="D1165" i="4"/>
  <c r="D936" i="4"/>
  <c r="A1309" i="4"/>
  <c r="B1375" i="4"/>
  <c r="C398" i="4"/>
  <c r="A1100" i="4"/>
  <c r="C1171" i="4"/>
  <c r="D919" i="4"/>
  <c r="F1244" i="4"/>
  <c r="F546" i="4"/>
  <c r="B628" i="4"/>
  <c r="D485" i="4"/>
  <c r="B346" i="4"/>
  <c r="D908" i="4"/>
  <c r="D832" i="4"/>
  <c r="F665" i="4"/>
  <c r="F1077" i="4"/>
  <c r="A774" i="4"/>
  <c r="F2031" i="4"/>
  <c r="B1187" i="4"/>
  <c r="C1661" i="4"/>
  <c r="F495" i="4"/>
  <c r="A891" i="4"/>
  <c r="A689" i="4"/>
  <c r="D1200" i="4"/>
  <c r="F79" i="4"/>
  <c r="A678" i="4"/>
  <c r="C705" i="4"/>
  <c r="D621" i="4"/>
  <c r="C606" i="4"/>
  <c r="A521" i="4"/>
  <c r="A1104" i="4"/>
  <c r="F1508" i="4"/>
  <c r="E746" i="4"/>
  <c r="A751" i="4"/>
  <c r="F1169" i="4"/>
  <c r="A944" i="4"/>
  <c r="F448" i="4"/>
  <c r="B240" i="4"/>
  <c r="A792" i="4"/>
  <c r="F690" i="4"/>
  <c r="D199" i="4"/>
  <c r="A732" i="4"/>
  <c r="C768" i="4"/>
  <c r="F674" i="4"/>
  <c r="A456" i="4"/>
  <c r="A373" i="4"/>
  <c r="A614" i="4"/>
  <c r="F489" i="4"/>
  <c r="C590" i="4"/>
  <c r="C49" i="4"/>
  <c r="F76" i="4"/>
  <c r="F329" i="4"/>
  <c r="F587" i="4"/>
  <c r="D502" i="4"/>
  <c r="A304" i="4"/>
  <c r="B1323" i="4"/>
  <c r="F1097" i="4"/>
  <c r="B1229" i="4"/>
  <c r="A986" i="4"/>
  <c r="C1301" i="4"/>
  <c r="F1336" i="4"/>
  <c r="B1236" i="4"/>
  <c r="F513" i="4"/>
  <c r="A546" i="4"/>
  <c r="F408" i="4"/>
  <c r="A716" i="4"/>
  <c r="D927" i="4"/>
  <c r="F634" i="4"/>
  <c r="A718" i="4"/>
  <c r="B605" i="4"/>
  <c r="C533" i="4"/>
  <c r="F2" i="4"/>
  <c r="F692" i="4"/>
  <c r="A575" i="4"/>
  <c r="E225" i="4"/>
  <c r="D568" i="4"/>
  <c r="F1062" i="4"/>
  <c r="C512" i="4"/>
  <c r="F1019" i="4"/>
  <c r="F556" i="4"/>
  <c r="C1441" i="4"/>
  <c r="B807" i="4"/>
  <c r="B1414" i="4"/>
  <c r="C1295" i="4"/>
  <c r="F1390" i="4"/>
  <c r="C1221" i="4"/>
  <c r="C1339" i="4"/>
  <c r="F899" i="4"/>
  <c r="C827" i="4"/>
  <c r="A694" i="4"/>
  <c r="F414" i="4"/>
  <c r="F394" i="4"/>
  <c r="F1096" i="4"/>
  <c r="B887" i="4"/>
  <c r="B962" i="4"/>
  <c r="F1147" i="4"/>
  <c r="F1006" i="4"/>
  <c r="C864" i="4"/>
  <c r="C704" i="4"/>
  <c r="A252" i="4"/>
  <c r="C831" i="4"/>
  <c r="A914" i="4"/>
  <c r="B1156" i="4"/>
  <c r="A441" i="4"/>
  <c r="C858" i="4"/>
  <c r="B1088" i="4"/>
  <c r="C762" i="4"/>
  <c r="A125" i="4"/>
  <c r="A874" i="4"/>
  <c r="F933" i="4"/>
  <c r="C983" i="4"/>
  <c r="B1145" i="4"/>
  <c r="D1064" i="4"/>
  <c r="B929" i="4"/>
  <c r="F796" i="4"/>
  <c r="C552" i="4"/>
  <c r="B67" i="4"/>
  <c r="B1064" i="4"/>
  <c r="A641" i="4"/>
  <c r="D1549" i="4"/>
  <c r="B750" i="4"/>
  <c r="A565" i="4"/>
  <c r="A651" i="4"/>
  <c r="D861" i="4"/>
  <c r="F831" i="4"/>
  <c r="C1285" i="4"/>
  <c r="C587" i="4"/>
  <c r="A364" i="4"/>
  <c r="B1066" i="4"/>
  <c r="A840" i="4"/>
  <c r="D951" i="4"/>
  <c r="F463" i="4"/>
  <c r="C966" i="4"/>
  <c r="B1359" i="4"/>
  <c r="D1377" i="4"/>
  <c r="B1141" i="4"/>
  <c r="C1179" i="4"/>
  <c r="F1263" i="4"/>
  <c r="A1051" i="4"/>
  <c r="F1576" i="4"/>
  <c r="B800" i="4"/>
  <c r="C1252" i="4"/>
  <c r="F1328" i="4"/>
  <c r="C1434" i="4"/>
  <c r="C809" i="4"/>
  <c r="E1247" i="4"/>
  <c r="B1147" i="4"/>
  <c r="B1127" i="4"/>
  <c r="B1033" i="4"/>
  <c r="A777" i="4"/>
  <c r="A1170" i="4"/>
  <c r="A1357" i="4"/>
  <c r="F551" i="4"/>
  <c r="E648" i="4"/>
  <c r="B735" i="4"/>
  <c r="A591" i="4"/>
  <c r="A447" i="4"/>
  <c r="A1345" i="4"/>
  <c r="A1236" i="4"/>
  <c r="A856" i="4"/>
  <c r="F1313" i="4"/>
  <c r="F528" i="4"/>
  <c r="F1465" i="4"/>
  <c r="C960" i="4"/>
  <c r="B1011" i="4"/>
  <c r="F751" i="4"/>
  <c r="F604" i="4"/>
  <c r="A800" i="4"/>
  <c r="B136" i="4"/>
  <c r="F281" i="4"/>
  <c r="C372" i="4"/>
  <c r="F224" i="4"/>
  <c r="C769" i="4"/>
  <c r="A619" i="4"/>
  <c r="D477" i="4"/>
  <c r="D337" i="4"/>
  <c r="B186" i="4"/>
  <c r="C598" i="4"/>
  <c r="C683" i="4"/>
  <c r="C540" i="4"/>
  <c r="D77" i="4"/>
  <c r="D269" i="4"/>
  <c r="C126" i="4"/>
  <c r="C969" i="4"/>
  <c r="C953" i="4"/>
  <c r="B427" i="4"/>
  <c r="B1212" i="4"/>
  <c r="A743" i="4"/>
  <c r="A1150" i="4"/>
  <c r="E647" i="4"/>
  <c r="B440" i="4"/>
  <c r="D1082" i="4"/>
  <c r="D571" i="4"/>
  <c r="B257" i="4"/>
  <c r="A453" i="4"/>
  <c r="B480" i="4"/>
  <c r="F397" i="4"/>
  <c r="A383" i="4"/>
  <c r="D753" i="4"/>
  <c r="C548" i="4"/>
  <c r="D465" i="4"/>
  <c r="D306" i="4"/>
  <c r="B500" i="4"/>
  <c r="F527" i="4"/>
  <c r="B445" i="4"/>
  <c r="C693" i="4"/>
  <c r="A609" i="4"/>
  <c r="B414" i="4"/>
  <c r="A1109" i="4"/>
  <c r="B1082" i="4"/>
  <c r="C1213" i="4"/>
  <c r="E1216" i="4"/>
  <c r="A1159" i="4"/>
  <c r="A1280" i="4"/>
  <c r="A909" i="4"/>
  <c r="F1042" i="4"/>
  <c r="B266" i="4"/>
  <c r="C123" i="4"/>
  <c r="D317" i="4"/>
  <c r="D326" i="4"/>
  <c r="F337" i="4"/>
  <c r="C450" i="4"/>
  <c r="D728" i="4"/>
  <c r="B463" i="4"/>
  <c r="B788" i="4"/>
  <c r="A633" i="4"/>
  <c r="B490" i="4"/>
  <c r="F677" i="4"/>
  <c r="F102" i="4"/>
  <c r="D187" i="4"/>
  <c r="A47" i="4"/>
  <c r="D102" i="4"/>
  <c r="F1028" i="4"/>
  <c r="F854" i="4"/>
  <c r="F1353" i="4"/>
  <c r="A667" i="4"/>
  <c r="F1577" i="4"/>
  <c r="D526" i="4"/>
  <c r="A1602" i="4"/>
  <c r="D473" i="4"/>
  <c r="C41" i="4"/>
  <c r="F746" i="4"/>
  <c r="B617" i="4"/>
  <c r="F523" i="4"/>
  <c r="C529" i="4"/>
  <c r="A533" i="4"/>
  <c r="B341" i="4"/>
  <c r="D251" i="4"/>
  <c r="F405" i="4"/>
  <c r="F432" i="4"/>
  <c r="F348" i="4"/>
  <c r="D476" i="4"/>
  <c r="B394" i="4"/>
  <c r="D190" i="4"/>
  <c r="B105" i="4"/>
  <c r="F239" i="4"/>
  <c r="F203" i="4"/>
  <c r="A199" i="4"/>
  <c r="B94" i="4"/>
  <c r="B284" i="4"/>
  <c r="B775" i="4"/>
  <c r="B81" i="4"/>
  <c r="D51" i="4"/>
  <c r="F549" i="4"/>
  <c r="B93" i="4"/>
  <c r="C423" i="4"/>
  <c r="B160" i="4"/>
  <c r="D533" i="4"/>
  <c r="A179" i="4"/>
  <c r="B576" i="4"/>
  <c r="D176" i="4"/>
  <c r="F32" i="4"/>
  <c r="A318" i="4"/>
  <c r="C32" i="4"/>
  <c r="D66" i="4"/>
  <c r="A395" i="4"/>
  <c r="B32" i="4"/>
  <c r="B937" i="4"/>
  <c r="C796" i="4"/>
  <c r="C10" i="4"/>
  <c r="F635" i="4"/>
  <c r="C663" i="4"/>
  <c r="A577" i="4"/>
  <c r="C14" i="4"/>
  <c r="A260" i="4"/>
  <c r="D784" i="4"/>
  <c r="B686" i="4"/>
  <c r="A82" i="4"/>
  <c r="F1411" i="4"/>
  <c r="F1503" i="4"/>
  <c r="C1578" i="4"/>
  <c r="D1464" i="4"/>
  <c r="C1296" i="4"/>
  <c r="F1506" i="4"/>
  <c r="D938" i="4"/>
  <c r="C1406" i="4"/>
  <c r="C1031" i="4"/>
  <c r="C1839" i="4"/>
  <c r="B1500" i="4"/>
  <c r="B1696" i="4"/>
  <c r="C1014" i="4"/>
  <c r="B1449" i="4"/>
  <c r="D1035" i="4"/>
  <c r="D1970" i="4"/>
  <c r="D822" i="4"/>
  <c r="F1251" i="4"/>
  <c r="D351" i="4"/>
  <c r="F1472" i="4"/>
  <c r="F1228" i="4"/>
  <c r="F974" i="4"/>
  <c r="D1100" i="4"/>
  <c r="F1663" i="4"/>
  <c r="A805" i="4"/>
  <c r="C791" i="4"/>
  <c r="A988" i="4"/>
  <c r="A1348" i="4"/>
  <c r="F505" i="4"/>
  <c r="D987" i="4"/>
  <c r="D828" i="4"/>
  <c r="B1263" i="4"/>
  <c r="D965" i="4"/>
  <c r="B966" i="4"/>
  <c r="F811" i="4"/>
  <c r="F478" i="4"/>
  <c r="D1166" i="4"/>
  <c r="F1298" i="4"/>
  <c r="F359" i="4"/>
  <c r="F939" i="4"/>
  <c r="C841" i="4"/>
  <c r="F611" i="4"/>
  <c r="F606" i="4"/>
  <c r="B936" i="4"/>
  <c r="B926" i="4"/>
  <c r="A864" i="4"/>
  <c r="F1067" i="4"/>
  <c r="F1083" i="4"/>
  <c r="B1036" i="4"/>
  <c r="F349" i="4"/>
  <c r="D1187" i="4"/>
  <c r="F1544" i="4"/>
  <c r="C416" i="4"/>
  <c r="B825" i="4"/>
  <c r="A979" i="4"/>
  <c r="F1123" i="4"/>
  <c r="A1041" i="4"/>
  <c r="C812" i="4"/>
  <c r="C751" i="4"/>
  <c r="B1162" i="4"/>
  <c r="C613" i="4"/>
  <c r="B1271" i="4"/>
  <c r="D816" i="4"/>
  <c r="B1029" i="4"/>
  <c r="B1807" i="4"/>
  <c r="B1050" i="4"/>
  <c r="F1629" i="4"/>
  <c r="F410" i="4"/>
  <c r="C737" i="4"/>
  <c r="A1227" i="4"/>
  <c r="C1477" i="4"/>
  <c r="B859" i="4"/>
  <c r="A1687" i="4"/>
  <c r="C539" i="4"/>
  <c r="F364" i="4"/>
  <c r="B866" i="4"/>
  <c r="A566" i="4"/>
  <c r="C1262" i="4"/>
  <c r="F1770" i="4"/>
  <c r="B1013" i="4"/>
  <c r="F1581" i="4"/>
  <c r="A744" i="4"/>
  <c r="D353" i="4"/>
  <c r="D1418" i="4"/>
  <c r="C1608" i="4"/>
  <c r="A937" i="4"/>
  <c r="C1460" i="4"/>
  <c r="B682" i="4"/>
  <c r="C1662" i="4"/>
  <c r="C1013" i="4"/>
  <c r="A449" i="4"/>
  <c r="A335" i="4"/>
  <c r="D1049" i="4"/>
  <c r="F673" i="4"/>
  <c r="A1006" i="4"/>
  <c r="F1342" i="4"/>
  <c r="B755" i="4"/>
  <c r="C1223" i="4"/>
  <c r="D550" i="4"/>
  <c r="A557" i="4"/>
  <c r="C834" i="4"/>
  <c r="B979" i="4"/>
  <c r="B1371" i="4"/>
  <c r="B613" i="4"/>
  <c r="D952" i="4"/>
  <c r="A1032" i="4"/>
  <c r="B371" i="4"/>
  <c r="D82" i="4"/>
  <c r="E1" i="4"/>
  <c r="A403" i="4"/>
  <c r="D1025" i="4"/>
  <c r="F1486" i="4"/>
  <c r="D627" i="4"/>
  <c r="A812" i="4"/>
  <c r="B948" i="4"/>
  <c r="F901" i="4"/>
  <c r="C846" i="4"/>
  <c r="A1288" i="4"/>
  <c r="B848" i="4"/>
  <c r="A768" i="4"/>
  <c r="D724" i="4"/>
  <c r="C578" i="4"/>
  <c r="A462" i="4"/>
  <c r="D1431" i="4"/>
  <c r="B1422" i="4"/>
  <c r="B1054" i="4"/>
  <c r="C1153" i="4"/>
  <c r="A1171" i="4"/>
  <c r="B1389" i="4"/>
  <c r="B106" i="4"/>
  <c r="A686" i="4"/>
  <c r="D440" i="4"/>
  <c r="A918" i="4"/>
  <c r="B1065" i="4"/>
  <c r="B335" i="4"/>
  <c r="B205" i="4"/>
  <c r="F659" i="4"/>
  <c r="D415" i="4"/>
  <c r="B520" i="4"/>
  <c r="A1496" i="4"/>
  <c r="F1029" i="4"/>
  <c r="E175" i="4"/>
  <c r="F863" i="4"/>
  <c r="A486" i="4"/>
  <c r="D607" i="4"/>
  <c r="A922" i="4"/>
  <c r="C896" i="4"/>
  <c r="C489" i="4"/>
  <c r="B1439" i="4"/>
  <c r="F338" i="4"/>
  <c r="F1135" i="4"/>
  <c r="D581" i="4"/>
  <c r="B1177" i="4"/>
  <c r="D1475" i="4"/>
  <c r="B1288" i="4"/>
  <c r="D1366" i="4"/>
  <c r="F1214" i="4"/>
  <c r="A769" i="4"/>
  <c r="F550" i="4"/>
  <c r="B1005" i="4"/>
  <c r="A1043" i="4"/>
  <c r="B1071" i="4"/>
  <c r="B649" i="4"/>
  <c r="C1039" i="4"/>
  <c r="A1384" i="4"/>
  <c r="A697" i="4"/>
  <c r="A18" i="4"/>
  <c r="F1015" i="4"/>
  <c r="A713" i="4"/>
  <c r="B375" i="4"/>
  <c r="A781" i="4"/>
  <c r="B163" i="4"/>
  <c r="A212" i="4"/>
  <c r="D733" i="4"/>
  <c r="D675" i="4"/>
  <c r="D719" i="4"/>
  <c r="B1090" i="4"/>
  <c r="D69" i="4"/>
  <c r="F294" i="4"/>
  <c r="B347" i="4"/>
  <c r="B496" i="4"/>
  <c r="A227" i="4"/>
  <c r="A763" i="4"/>
  <c r="B516" i="4"/>
  <c r="D638" i="4"/>
  <c r="B277" i="4"/>
  <c r="B438" i="4"/>
  <c r="C239" i="4"/>
  <c r="A287" i="4"/>
  <c r="F1069" i="4"/>
  <c r="B958" i="4"/>
  <c r="A1153" i="4"/>
  <c r="B1130" i="4"/>
  <c r="B758" i="4"/>
  <c r="A69" i="4"/>
  <c r="B1055" i="4"/>
  <c r="C225" i="4"/>
  <c r="A169" i="4"/>
  <c r="B614" i="4"/>
  <c r="F1402" i="4"/>
  <c r="C1450" i="4"/>
  <c r="C1026" i="4"/>
  <c r="B754" i="4"/>
  <c r="D760" i="4"/>
  <c r="A1938" i="4"/>
  <c r="F1618" i="4"/>
  <c r="D441" i="4"/>
  <c r="B835" i="4"/>
  <c r="F1438" i="4"/>
  <c r="B1504" i="4"/>
  <c r="A761" i="4"/>
  <c r="B1150" i="4"/>
  <c r="C495" i="4"/>
  <c r="F440" i="4"/>
  <c r="C2175" i="4"/>
  <c r="A896" i="4"/>
  <c r="A904" i="4"/>
  <c r="C1382" i="4"/>
  <c r="B287" i="4"/>
  <c r="B6" i="4"/>
  <c r="B161" i="4"/>
  <c r="C104" i="4"/>
  <c r="D934" i="4"/>
  <c r="B1104" i="4"/>
  <c r="C826" i="4"/>
  <c r="A639" i="4"/>
  <c r="C679" i="4"/>
  <c r="B749" i="4"/>
  <c r="A927" i="4"/>
  <c r="D672" i="4"/>
  <c r="F695" i="4"/>
  <c r="C313" i="4"/>
  <c r="B690" i="4"/>
  <c r="D215" i="4"/>
  <c r="D158" i="4"/>
  <c r="B670" i="4"/>
  <c r="A390" i="4"/>
  <c r="D424" i="4"/>
  <c r="F989" i="4"/>
  <c r="F734" i="4"/>
  <c r="C918" i="4"/>
  <c r="B1274" i="4"/>
  <c r="F1223" i="4"/>
  <c r="A893" i="4"/>
  <c r="A794" i="4"/>
  <c r="A258" i="4"/>
  <c r="A974" i="4"/>
  <c r="C928" i="4"/>
  <c r="B630" i="4"/>
  <c r="F214" i="4"/>
  <c r="D717" i="4"/>
  <c r="D897" i="4"/>
  <c r="D1141" i="4"/>
  <c r="A1484" i="4"/>
  <c r="F1074" i="4"/>
  <c r="B388" i="4"/>
  <c r="B702" i="4"/>
  <c r="D937" i="4"/>
  <c r="D1" i="4"/>
  <c r="C201" i="4"/>
  <c r="F816" i="4"/>
  <c r="B400" i="4"/>
  <c r="D1090" i="4"/>
  <c r="B428" i="4"/>
  <c r="A431" i="4"/>
  <c r="C472" i="4"/>
  <c r="C1070" i="4"/>
  <c r="B126" i="4"/>
  <c r="C152" i="4"/>
  <c r="B33" i="4"/>
  <c r="A594" i="4"/>
  <c r="C413" i="4"/>
  <c r="F148" i="4"/>
  <c r="B752" i="4"/>
  <c r="F778" i="4"/>
  <c r="A645" i="4"/>
  <c r="A556" i="4"/>
  <c r="B746" i="4"/>
  <c r="B842" i="4"/>
  <c r="C295" i="4"/>
  <c r="F453" i="4"/>
  <c r="F282" i="4"/>
  <c r="D46" i="4"/>
  <c r="C184" i="4"/>
  <c r="C162" i="4"/>
  <c r="D127" i="4"/>
  <c r="A274" i="4"/>
  <c r="F115" i="4"/>
  <c r="A99" i="4"/>
  <c r="C90" i="4"/>
  <c r="C628" i="4"/>
  <c r="D164" i="4"/>
  <c r="A132" i="4"/>
  <c r="F948" i="4"/>
  <c r="A513" i="4"/>
  <c r="C97" i="4"/>
  <c r="A472" i="4"/>
  <c r="C218" i="4"/>
  <c r="A704" i="4"/>
  <c r="B718" i="4"/>
  <c r="A790" i="4"/>
  <c r="C933" i="4"/>
  <c r="D703" i="4"/>
  <c r="D297" i="4"/>
  <c r="F610" i="4"/>
  <c r="B281" i="4"/>
  <c r="C21" i="4"/>
  <c r="F242" i="4"/>
  <c r="B43" i="4"/>
  <c r="B254" i="4"/>
  <c r="C24" i="4"/>
  <c r="B173" i="4"/>
  <c r="F301" i="4"/>
  <c r="A404" i="4"/>
  <c r="D88" i="4"/>
  <c r="B113" i="4"/>
  <c r="A144" i="4"/>
  <c r="C787" i="4"/>
  <c r="C23" i="4"/>
  <c r="D503" i="4"/>
  <c r="A1165" i="4"/>
  <c r="D108" i="4"/>
  <c r="B943" i="4"/>
  <c r="C650" i="4"/>
  <c r="A483" i="4"/>
  <c r="B202" i="4"/>
  <c r="F539" i="4"/>
  <c r="A164" i="4"/>
  <c r="F298" i="4"/>
  <c r="D383" i="4"/>
  <c r="E443" i="4"/>
  <c r="C112" i="4"/>
  <c r="C111" i="4"/>
  <c r="B117" i="4"/>
  <c r="B809" i="4"/>
  <c r="F503" i="4"/>
  <c r="C117" i="4"/>
  <c r="A288" i="4"/>
  <c r="A173" i="4"/>
  <c r="A338" i="4"/>
  <c r="C293" i="4"/>
  <c r="F745" i="4"/>
  <c r="D201" i="4"/>
  <c r="C515" i="4"/>
  <c r="F221" i="4"/>
  <c r="B793" i="4"/>
  <c r="A217" i="4"/>
  <c r="B363" i="4"/>
  <c r="A415" i="4"/>
  <c r="F42" i="4"/>
  <c r="D23" i="4"/>
  <c r="C1162" i="4"/>
  <c r="A394" i="4"/>
  <c r="B646" i="4"/>
  <c r="B555" i="4"/>
  <c r="A567" i="4"/>
  <c r="A725" i="4"/>
  <c r="C120" i="4"/>
  <c r="C309" i="4"/>
  <c r="F72" i="4"/>
  <c r="A157" i="4"/>
  <c r="A116" i="4"/>
  <c r="B271" i="4"/>
  <c r="F45" i="4"/>
  <c r="A443" i="4"/>
  <c r="A508" i="4"/>
  <c r="B484" i="4"/>
  <c r="C246" i="4"/>
  <c r="C99" i="4"/>
  <c r="A27" i="4"/>
  <c r="A103" i="4"/>
  <c r="A130" i="4"/>
  <c r="D80" i="4"/>
  <c r="B191" i="4"/>
  <c r="B514" i="4"/>
  <c r="B84" i="4"/>
  <c r="A435" i="4"/>
  <c r="A450" i="4"/>
  <c r="A975" i="4"/>
  <c r="D549" i="4"/>
  <c r="A789" i="4"/>
  <c r="F653" i="4"/>
  <c r="F31" i="4"/>
  <c r="B980" i="4"/>
  <c r="C1143" i="4"/>
  <c r="A622" i="4"/>
  <c r="F1094" i="4"/>
  <c r="A1323" i="4"/>
  <c r="D731" i="4"/>
  <c r="C208" i="4"/>
  <c r="F107" i="4"/>
  <c r="A517" i="4"/>
  <c r="D149" i="4"/>
  <c r="D558" i="4"/>
  <c r="D2" i="4"/>
  <c r="C433" i="4"/>
  <c r="B62" i="4"/>
  <c r="F41" i="4"/>
  <c r="C205" i="4"/>
  <c r="A114" i="4"/>
  <c r="A77" i="4"/>
  <c r="F4" i="4"/>
  <c r="F190" i="4"/>
  <c r="C137" i="4"/>
  <c r="A264" i="4"/>
  <c r="B286" i="4"/>
  <c r="F324" i="4"/>
  <c r="B119" i="4"/>
  <c r="A634" i="4"/>
  <c r="B577" i="4"/>
  <c r="B96" i="4"/>
  <c r="F479" i="4"/>
  <c r="F928" i="4"/>
  <c r="B705" i="4"/>
  <c r="D86" i="4"/>
  <c r="A671" i="4"/>
  <c r="C1075" i="4"/>
  <c r="C614" i="4"/>
  <c r="C1222" i="4"/>
  <c r="C670" i="4"/>
  <c r="C957" i="4"/>
  <c r="B390" i="4"/>
  <c r="A42" i="4"/>
  <c r="C78" i="4"/>
  <c r="B851" i="4"/>
  <c r="F121" i="4"/>
  <c r="A3" i="4"/>
  <c r="B246" i="4"/>
  <c r="D171" i="4"/>
  <c r="B685" i="4"/>
  <c r="F140" i="4"/>
  <c r="F700" i="4"/>
  <c r="A206" i="4"/>
  <c r="A378" i="4"/>
  <c r="A70" i="4"/>
  <c r="A487" i="4"/>
  <c r="B214" i="4"/>
  <c r="B763" i="4"/>
  <c r="D62" i="4"/>
  <c r="F288" i="4"/>
  <c r="F966" i="4"/>
  <c r="C363" i="4"/>
  <c r="E1151" i="4"/>
  <c r="C845" i="4"/>
  <c r="A544" i="4"/>
  <c r="F794" i="4"/>
  <c r="A197" i="4"/>
  <c r="A76" i="4"/>
  <c r="F177" i="4"/>
  <c r="A184" i="4"/>
  <c r="A432" i="4"/>
  <c r="C585" i="4"/>
  <c r="C54" i="4"/>
  <c r="A695" i="4"/>
  <c r="F287" i="4"/>
  <c r="A511" i="4"/>
  <c r="A85" i="4"/>
  <c r="F743" i="4"/>
  <c r="D891" i="4"/>
  <c r="A107" i="4"/>
  <c r="A329" i="4"/>
  <c r="D185" i="4"/>
  <c r="B141" i="4"/>
  <c r="B77" i="4"/>
  <c r="B362" i="4"/>
  <c r="A226" i="4"/>
  <c r="A818" i="4"/>
  <c r="F1181" i="4"/>
  <c r="F1" i="4"/>
  <c r="F155" i="4"/>
  <c r="F89" i="4"/>
  <c r="B80" i="4"/>
  <c r="A81" i="4"/>
  <c r="A240" i="4"/>
  <c r="F314" i="4"/>
  <c r="C805" i="4"/>
  <c r="B727" i="4"/>
  <c r="B2" i="4"/>
  <c r="F344" i="4"/>
  <c r="D836" i="4"/>
  <c r="A742" i="4"/>
  <c r="B789" i="4"/>
  <c r="F331" i="4"/>
  <c r="F490" i="4"/>
  <c r="B46" i="4"/>
  <c r="A115" i="4"/>
  <c r="C125" i="4"/>
  <c r="B40" i="4"/>
  <c r="B154" i="4"/>
  <c r="D115" i="4"/>
  <c r="A305" i="4"/>
  <c r="A245" i="4"/>
  <c r="B359" i="4"/>
  <c r="A300" i="4"/>
  <c r="A191" i="4"/>
  <c r="C114" i="4"/>
  <c r="C719" i="4"/>
  <c r="B228" i="4"/>
  <c r="B612" i="4"/>
  <c r="F58" i="4"/>
  <c r="C429" i="4"/>
  <c r="B51" i="4"/>
  <c r="C131" i="4"/>
  <c r="B387" i="4"/>
  <c r="D835" i="4"/>
  <c r="A1156" i="4"/>
  <c r="D849" i="4"/>
  <c r="A382" i="4"/>
  <c r="A690" i="4"/>
  <c r="F578" i="4"/>
  <c r="A545" i="4"/>
  <c r="A632" i="4"/>
  <c r="B489" i="4"/>
  <c r="F526" i="4"/>
  <c r="E500" i="4"/>
  <c r="A1182" i="4"/>
  <c r="F626" i="4"/>
  <c r="D229" i="4"/>
  <c r="C28" i="4"/>
  <c r="F163" i="4"/>
  <c r="D200" i="4"/>
  <c r="D483" i="4"/>
  <c r="C1415" i="4"/>
  <c r="D598" i="4"/>
  <c r="A949" i="4"/>
  <c r="C108" i="4"/>
  <c r="F213" i="4"/>
  <c r="A251" i="4"/>
  <c r="F631" i="4"/>
  <c r="D1135" i="4"/>
  <c r="C424" i="4"/>
  <c r="B290" i="4"/>
  <c r="D517" i="4"/>
  <c r="D496" i="4"/>
  <c r="A2053" i="4"/>
  <c r="D834" i="4"/>
  <c r="B162" i="4"/>
  <c r="A346" i="4"/>
  <c r="B1179" i="4"/>
  <c r="A576" i="4"/>
  <c r="D1142" i="4"/>
  <c r="C909" i="4"/>
  <c r="F678" i="4"/>
  <c r="B38" i="4"/>
  <c r="B344" i="4"/>
  <c r="C375" i="4"/>
  <c r="A908" i="4"/>
  <c r="E1389" i="4"/>
  <c r="C962" i="4"/>
  <c r="B868" i="4"/>
  <c r="A977" i="4"/>
  <c r="C612" i="4"/>
  <c r="A720" i="4"/>
  <c r="B1086" i="4"/>
  <c r="F970" i="4"/>
  <c r="B409" i="4"/>
  <c r="F534" i="4"/>
  <c r="F632" i="4"/>
  <c r="B156" i="4"/>
  <c r="C777" i="4"/>
  <c r="A953" i="4"/>
  <c r="C938" i="4"/>
  <c r="F963" i="4"/>
  <c r="A1132" i="4"/>
  <c r="A654" i="4"/>
  <c r="A365" i="4"/>
  <c r="F319" i="4"/>
  <c r="C37" i="4"/>
  <c r="D53" i="4"/>
  <c r="B360" i="4"/>
  <c r="A425" i="4"/>
  <c r="B592" i="4"/>
  <c r="F849" i="4"/>
  <c r="F881" i="4"/>
  <c r="A627" i="4"/>
  <c r="F1014" i="4"/>
  <c r="B569" i="4"/>
  <c r="C196" i="4"/>
  <c r="C745" i="4"/>
  <c r="B497" i="4"/>
  <c r="D623" i="4"/>
  <c r="B391" i="4"/>
  <c r="B424" i="4"/>
  <c r="A224" i="4"/>
  <c r="D273" i="4"/>
  <c r="B1201" i="4"/>
  <c r="F922" i="4"/>
  <c r="F824" i="4"/>
  <c r="C1086" i="4"/>
  <c r="A555" i="4"/>
  <c r="B1319" i="4"/>
  <c r="A930" i="4"/>
  <c r="F154" i="4"/>
  <c r="A98" i="4"/>
  <c r="A1798" i="4"/>
  <c r="C1742" i="4"/>
  <c r="F1768" i="4"/>
  <c r="B1191" i="4"/>
  <c r="A1456" i="4"/>
  <c r="B444" i="4"/>
  <c r="F919" i="4"/>
  <c r="A1232" i="4"/>
  <c r="F1375" i="4"/>
  <c r="A1136" i="4"/>
  <c r="D1234" i="4"/>
  <c r="D1202" i="4"/>
  <c r="A1321" i="4"/>
  <c r="C1150" i="4"/>
  <c r="C426" i="4"/>
  <c r="F371" i="4"/>
  <c r="B1339" i="4"/>
  <c r="A467" i="4"/>
  <c r="F873" i="4"/>
  <c r="A1090" i="4"/>
  <c r="C216" i="4"/>
  <c r="A266" i="4"/>
  <c r="B90" i="4"/>
  <c r="D35" i="4"/>
  <c r="B457" i="4"/>
  <c r="C626" i="4"/>
  <c r="F436" i="4"/>
  <c r="F381" i="4"/>
  <c r="A105" i="4"/>
  <c r="A1084" i="4"/>
  <c r="D1438" i="4"/>
  <c r="B1411" i="4"/>
  <c r="B142" i="4"/>
  <c r="F419" i="4"/>
  <c r="F497" i="4"/>
  <c r="B675" i="4"/>
  <c r="C859" i="4"/>
  <c r="A958" i="4"/>
  <c r="C706" i="4"/>
  <c r="B849" i="4"/>
  <c r="C919" i="4"/>
  <c r="D620" i="4"/>
  <c r="E759" i="4"/>
  <c r="F1369" i="4"/>
  <c r="F1307" i="4"/>
  <c r="B837" i="4"/>
  <c r="F705" i="4"/>
  <c r="C207" i="4"/>
  <c r="F902" i="4"/>
  <c r="D859" i="4"/>
  <c r="C557" i="4"/>
  <c r="C257" i="4"/>
  <c r="F647" i="4"/>
  <c r="B828" i="4"/>
  <c r="B1713" i="4"/>
  <c r="F1086" i="4"/>
  <c r="C753" i="4"/>
  <c r="B988" i="4"/>
  <c r="B543" i="4"/>
  <c r="D781" i="4"/>
  <c r="C395" i="4"/>
  <c r="A20" i="4"/>
  <c r="E972" i="4"/>
  <c r="A460" i="4"/>
  <c r="B618" i="4"/>
  <c r="A306" i="4"/>
  <c r="D43" i="4"/>
  <c r="F30" i="4"/>
  <c r="F175" i="4"/>
  <c r="F143" i="4"/>
  <c r="F40" i="4"/>
  <c r="C84" i="4"/>
  <c r="D141" i="4"/>
  <c r="A265" i="4"/>
  <c r="B596" i="4"/>
  <c r="A692" i="4"/>
  <c r="B1276" i="4"/>
  <c r="B27" i="4"/>
  <c r="F1071" i="4"/>
  <c r="C1144" i="4"/>
  <c r="C861" i="4"/>
  <c r="A581" i="4"/>
  <c r="B542" i="4"/>
  <c r="F439" i="4"/>
  <c r="A55" i="4"/>
  <c r="A696" i="4"/>
  <c r="B759" i="4"/>
  <c r="B249" i="4"/>
  <c r="A259" i="4"/>
  <c r="C18" i="4"/>
  <c r="A187" i="4"/>
  <c r="A376" i="4"/>
  <c r="F265" i="4"/>
  <c r="F171" i="4"/>
  <c r="F237" i="4"/>
  <c r="C402" i="4"/>
  <c r="B595" i="4"/>
  <c r="C1133" i="4"/>
  <c r="D44" i="4"/>
  <c r="A377" i="4"/>
  <c r="A635" i="4"/>
  <c r="F411" i="4"/>
  <c r="B1076" i="4"/>
  <c r="A457" i="4"/>
  <c r="C409" i="4"/>
  <c r="A1155" i="4"/>
  <c r="A336" i="4"/>
  <c r="B70" i="4"/>
  <c r="F525" i="4"/>
  <c r="A284" i="4"/>
  <c r="B315" i="4"/>
  <c r="F209" i="4"/>
  <c r="D120" i="4"/>
  <c r="F470" i="4"/>
  <c r="B431" i="4"/>
  <c r="B152" i="4"/>
  <c r="B111" i="4"/>
  <c r="B116" i="4"/>
  <c r="C210" i="4"/>
  <c r="C228" i="4"/>
  <c r="A272" i="4"/>
  <c r="B449" i="4"/>
  <c r="A691" i="4"/>
  <c r="C349" i="4"/>
  <c r="B419" i="4"/>
  <c r="C553" i="4"/>
  <c r="F744" i="4"/>
  <c r="C16" i="4"/>
  <c r="F67" i="4"/>
  <c r="F227" i="4"/>
  <c r="A312" i="4"/>
  <c r="D202" i="4"/>
  <c r="C722" i="4"/>
  <c r="A385" i="4"/>
  <c r="B278" i="4"/>
  <c r="F330" i="4"/>
  <c r="D194" i="4"/>
  <c r="C195" i="4"/>
  <c r="C397" i="4"/>
  <c r="C231" i="4"/>
  <c r="B684" i="4"/>
  <c r="D26" i="4"/>
  <c r="F93" i="4"/>
  <c r="D61" i="4"/>
  <c r="C129" i="4"/>
  <c r="A34" i="4"/>
  <c r="D72" i="4"/>
  <c r="D522" i="4"/>
  <c r="A371" i="4"/>
  <c r="F779" i="4"/>
  <c r="A218" i="4"/>
  <c r="A498" i="4"/>
  <c r="C698" i="4"/>
  <c r="C726" i="4"/>
  <c r="D642" i="4"/>
  <c r="A451" i="4"/>
  <c r="D367" i="4"/>
  <c r="A620" i="4"/>
  <c r="B1051" i="4"/>
  <c r="D147" i="4"/>
  <c r="F290" i="4"/>
  <c r="A780" i="4"/>
  <c r="C212" i="4"/>
  <c r="B166" i="4"/>
  <c r="D301" i="4"/>
  <c r="B515" i="4"/>
  <c r="D168" i="4"/>
  <c r="A530" i="4"/>
  <c r="D211" i="4"/>
  <c r="D310" i="4"/>
  <c r="F315" i="4"/>
  <c r="B87" i="4"/>
  <c r="B224" i="4"/>
  <c r="F129" i="4"/>
  <c r="F295" i="4"/>
  <c r="F241" i="4"/>
  <c r="D131" i="4"/>
  <c r="C26" i="4"/>
  <c r="F49" i="4"/>
  <c r="D179" i="4"/>
  <c r="F98" i="4"/>
  <c r="B674" i="4"/>
  <c r="B336" i="4"/>
  <c r="F36" i="4"/>
  <c r="B279" i="4"/>
  <c r="F307" i="4"/>
  <c r="A222" i="4"/>
  <c r="F931" i="4"/>
  <c r="D840" i="4"/>
  <c r="B625" i="4"/>
  <c r="D538" i="4"/>
  <c r="F78" i="4"/>
  <c r="F122" i="4"/>
  <c r="F211" i="4"/>
  <c r="F64" i="4"/>
  <c r="C254" i="4"/>
  <c r="A309" i="4"/>
  <c r="B505" i="4"/>
  <c r="D24" i="4"/>
  <c r="D93" i="4"/>
  <c r="A64" i="4"/>
  <c r="B554" i="4"/>
  <c r="B397" i="4"/>
  <c r="F668" i="4"/>
  <c r="B285" i="4"/>
  <c r="F709" i="4"/>
  <c r="A49" i="4"/>
  <c r="C4" i="4"/>
  <c r="F34" i="4"/>
  <c r="A4" i="4"/>
  <c r="D98" i="4"/>
  <c r="B468" i="4"/>
  <c r="D277" i="4"/>
  <c r="F377" i="4"/>
  <c r="C802" i="4"/>
  <c r="F136" i="4"/>
  <c r="B453" i="4"/>
  <c r="C480" i="4"/>
  <c r="A398" i="4"/>
  <c r="D402" i="4"/>
  <c r="A754" i="4"/>
  <c r="D548" i="4"/>
  <c r="F465" i="4"/>
  <c r="B104" i="4"/>
  <c r="D416" i="4"/>
  <c r="F90" i="4"/>
  <c r="B726" i="4"/>
  <c r="A133" i="4"/>
  <c r="A657" i="4"/>
  <c r="D264" i="4"/>
  <c r="F747" i="4"/>
  <c r="F35" i="4"/>
  <c r="F334" i="4"/>
  <c r="C50" i="4"/>
  <c r="F564" i="4"/>
  <c r="F219" i="4"/>
  <c r="F308" i="4"/>
  <c r="C70" i="4"/>
  <c r="A608" i="4"/>
  <c r="A216" i="4"/>
  <c r="D100" i="4"/>
  <c r="C392" i="4"/>
  <c r="D349" i="4"/>
  <c r="D1124" i="4"/>
  <c r="B185" i="4"/>
  <c r="B408" i="4"/>
  <c r="B460" i="4"/>
  <c r="D280" i="4"/>
  <c r="B82" i="4"/>
  <c r="F327" i="4"/>
  <c r="B9" i="4"/>
  <c r="D198" i="4"/>
  <c r="F256" i="4"/>
  <c r="D324" i="4"/>
  <c r="C387" i="4"/>
  <c r="D30" i="4"/>
  <c r="A126" i="4"/>
  <c r="B338" i="4"/>
  <c r="B132" i="4"/>
  <c r="B594" i="4"/>
  <c r="C545" i="4"/>
  <c r="D70" i="4"/>
  <c r="A539" i="4"/>
  <c r="F309" i="4"/>
  <c r="F346" i="4"/>
  <c r="B665" i="4"/>
  <c r="C273" i="4"/>
  <c r="A471" i="4"/>
  <c r="F1148" i="4"/>
  <c r="B706" i="4"/>
  <c r="A668" i="4"/>
  <c r="C142" i="4"/>
  <c r="A525" i="4"/>
  <c r="B321" i="4"/>
  <c r="A87" i="4"/>
  <c r="D279" i="4"/>
  <c r="A185" i="4"/>
  <c r="B56" i="4"/>
  <c r="A160" i="4"/>
  <c r="D575" i="4"/>
  <c r="A360" i="4"/>
  <c r="C519" i="4"/>
  <c r="D649" i="4"/>
  <c r="F563" i="4"/>
  <c r="B369" i="4"/>
  <c r="C279" i="4"/>
  <c r="B223" i="4"/>
  <c r="F238" i="4"/>
  <c r="A249" i="4"/>
  <c r="B52" i="4"/>
  <c r="F291" i="4"/>
  <c r="B333" i="4"/>
  <c r="C744" i="4"/>
  <c r="B656" i="4"/>
  <c r="A54" i="4"/>
  <c r="B698" i="4"/>
  <c r="C165" i="4"/>
  <c r="C347" i="4"/>
  <c r="F278" i="4"/>
  <c r="C459" i="4"/>
  <c r="C148" i="4"/>
  <c r="A475" i="4"/>
  <c r="A275" i="4"/>
  <c r="C38" i="4"/>
  <c r="A762" i="4"/>
  <c r="F684" i="4"/>
  <c r="C283" i="4"/>
  <c r="A968" i="4"/>
  <c r="A391" i="4"/>
  <c r="A499" i="4"/>
  <c r="B15" i="4"/>
  <c r="C274" i="4"/>
  <c r="F1114" i="4"/>
  <c r="A758" i="4"/>
  <c r="B97" i="4"/>
  <c r="B100" i="4"/>
  <c r="B583" i="4"/>
  <c r="C436" i="4"/>
  <c r="C326" i="4"/>
  <c r="F279" i="4"/>
  <c r="F524" i="4"/>
  <c r="F183" i="4"/>
  <c r="C567" i="4"/>
  <c r="A44" i="4"/>
  <c r="D1609" i="4"/>
  <c r="D540" i="4"/>
  <c r="F988" i="4"/>
  <c r="F51" i="4"/>
  <c r="B495" i="4"/>
  <c r="E165" i="4"/>
  <c r="D846" i="4"/>
  <c r="F652" i="4"/>
  <c r="B707" i="4"/>
  <c r="F147" i="4"/>
  <c r="D379" i="4"/>
  <c r="A358" i="4"/>
  <c r="F1012" i="4"/>
  <c r="C1494" i="4"/>
  <c r="C300" i="4"/>
  <c r="C430" i="4"/>
  <c r="F1032" i="4"/>
  <c r="C662" i="4"/>
  <c r="B1001" i="4"/>
  <c r="D1433" i="4"/>
  <c r="C577" i="4"/>
  <c r="B1018" i="4"/>
  <c r="B393" i="4"/>
  <c r="A1994" i="4"/>
  <c r="A1252" i="4"/>
  <c r="A955" i="4"/>
  <c r="B1247" i="4"/>
  <c r="B356" i="4"/>
  <c r="B1470" i="4"/>
  <c r="C1122" i="4"/>
  <c r="F834" i="4"/>
  <c r="A1789" i="4"/>
  <c r="A1036" i="4"/>
  <c r="A943" i="4"/>
  <c r="A1128" i="4"/>
  <c r="A490" i="4"/>
  <c r="B1096" i="4"/>
  <c r="B624" i="4"/>
  <c r="F246" i="4"/>
  <c r="D1232" i="4"/>
  <c r="D655" i="4"/>
  <c r="B873" i="4"/>
  <c r="A108" i="4"/>
  <c r="A458" i="4"/>
  <c r="D305" i="4"/>
  <c r="B24" i="4"/>
  <c r="B157" i="4"/>
  <c r="D381" i="4"/>
  <c r="D412" i="4"/>
  <c r="F577" i="4"/>
  <c r="C1060" i="4"/>
  <c r="B820" i="4"/>
  <c r="F952" i="4"/>
  <c r="F135" i="4"/>
  <c r="F498" i="4"/>
  <c r="F726" i="4"/>
  <c r="F670" i="4"/>
  <c r="A406" i="4"/>
  <c r="B551" i="4"/>
  <c r="C411" i="4"/>
  <c r="F353" i="4"/>
  <c r="D152" i="4"/>
  <c r="A991" i="4"/>
  <c r="A1205" i="4"/>
  <c r="B1136" i="4"/>
  <c r="B722" i="4"/>
  <c r="F1016" i="4"/>
  <c r="C271" i="4"/>
  <c r="D1161" i="4"/>
  <c r="C535" i="4"/>
  <c r="D254" i="4"/>
  <c r="D698" i="4"/>
  <c r="C1935" i="4"/>
  <c r="B1589" i="4"/>
  <c r="C2006" i="4"/>
  <c r="F1396" i="4"/>
  <c r="A1010" i="4"/>
  <c r="A719" i="4"/>
  <c r="B709" i="4"/>
  <c r="F1224" i="4"/>
  <c r="A845" i="4"/>
  <c r="A39" i="4"/>
  <c r="D1040" i="4"/>
  <c r="D602" i="4"/>
  <c r="D520" i="4"/>
  <c r="D356" i="4"/>
  <c r="C523" i="4"/>
  <c r="D377" i="4"/>
  <c r="C1277" i="4"/>
  <c r="A1547" i="4"/>
  <c r="D1580" i="4"/>
  <c r="C971" i="4"/>
  <c r="B88" i="4"/>
  <c r="D160" i="4"/>
  <c r="B189" i="4"/>
  <c r="B1077" i="4"/>
  <c r="C794" i="4"/>
  <c r="B144" i="4"/>
  <c r="A1167" i="4"/>
  <c r="E381" i="4"/>
  <c r="F536" i="4"/>
  <c r="C1146" i="4"/>
  <c r="A1562" i="4"/>
  <c r="D1330" i="4"/>
  <c r="B85" i="4"/>
  <c r="F401" i="4"/>
  <c r="B323" i="4"/>
  <c r="B604" i="4"/>
  <c r="A1175" i="4"/>
  <c r="A883" i="4"/>
  <c r="B256" i="4"/>
  <c r="D1150" i="4"/>
  <c r="B850" i="4"/>
  <c r="F1761" i="4"/>
  <c r="A569" i="4"/>
  <c r="D1053" i="4"/>
  <c r="C1023" i="4"/>
  <c r="B477" i="4"/>
  <c r="A637" i="4"/>
  <c r="A889" i="4"/>
  <c r="C833" i="4"/>
  <c r="B784" i="4"/>
  <c r="C487" i="4"/>
  <c r="B634" i="4"/>
  <c r="F575" i="4"/>
  <c r="B756" i="4"/>
  <c r="B1608" i="4"/>
  <c r="B265" i="4"/>
  <c r="C579" i="4"/>
  <c r="F487" i="4"/>
  <c r="F189" i="4"/>
  <c r="D600" i="4"/>
  <c r="C804" i="4"/>
  <c r="B59" i="4"/>
  <c r="D901" i="4"/>
  <c r="C391" i="4"/>
  <c r="F850" i="4"/>
  <c r="A136" i="4"/>
  <c r="A399" i="4"/>
  <c r="A31" i="4"/>
  <c r="A74" i="4"/>
  <c r="D212" i="4"/>
  <c r="B30" i="4"/>
  <c r="A141" i="4"/>
  <c r="A454" i="4"/>
  <c r="B151" i="4"/>
  <c r="F762" i="4"/>
  <c r="D1086" i="4"/>
  <c r="B548" i="4"/>
  <c r="A129" i="4"/>
  <c r="C1001" i="4"/>
  <c r="F1073" i="4"/>
  <c r="F790" i="4"/>
  <c r="A188" i="4"/>
  <c r="F5" i="4"/>
  <c r="F274" i="4"/>
  <c r="A89" i="4"/>
  <c r="A211" i="4"/>
  <c r="D539" i="4"/>
  <c r="A301" i="4"/>
  <c r="C308" i="4"/>
  <c r="C103" i="4"/>
  <c r="B229" i="4"/>
  <c r="E17" i="4"/>
  <c r="B231" i="4"/>
  <c r="B203" i="4"/>
  <c r="D401" i="4"/>
  <c r="A500" i="4"/>
  <c r="B876" i="4"/>
  <c r="D971" i="4"/>
  <c r="C403" i="4"/>
  <c r="B124" i="4"/>
  <c r="F855" i="4"/>
  <c r="C648" i="4"/>
  <c r="F1005" i="4"/>
  <c r="A717" i="4"/>
  <c r="C634" i="4"/>
  <c r="F681" i="4"/>
  <c r="D307" i="4"/>
  <c r="F152" i="4"/>
  <c r="F29" i="4"/>
  <c r="A14" i="4"/>
  <c r="A38" i="4"/>
  <c r="B26" i="4"/>
  <c r="B187" i="4"/>
  <c r="F403" i="4"/>
  <c r="D286" i="4"/>
  <c r="D71" i="4"/>
  <c r="B180" i="4"/>
  <c r="A140" i="4"/>
  <c r="B297" i="4"/>
  <c r="D405" i="4"/>
  <c r="C1052" i="4"/>
  <c r="D670" i="4"/>
  <c r="C1113" i="4"/>
  <c r="D877" i="4"/>
  <c r="B182" i="4"/>
  <c r="C692" i="4"/>
  <c r="F275" i="4"/>
  <c r="A237" i="4"/>
  <c r="A568" i="4"/>
  <c r="B309" i="4"/>
  <c r="A502" i="4"/>
  <c r="B536" i="4"/>
  <c r="B389" i="4"/>
  <c r="B737" i="4"/>
  <c r="D60" i="4"/>
  <c r="C754" i="4"/>
  <c r="A356" i="4"/>
  <c r="C241" i="4"/>
  <c r="A497" i="4"/>
  <c r="A195" i="4"/>
  <c r="D96" i="4"/>
  <c r="B275" i="4"/>
  <c r="D11" i="4"/>
  <c r="A766" i="4"/>
  <c r="F459" i="4"/>
  <c r="B102" i="4"/>
  <c r="B539" i="4"/>
  <c r="A153" i="4"/>
  <c r="D352" i="4"/>
  <c r="D682" i="4"/>
  <c r="F342" i="4"/>
  <c r="A13" i="4"/>
  <c r="B380" i="4"/>
  <c r="F462" i="4"/>
  <c r="F772" i="4"/>
  <c r="F627" i="4"/>
  <c r="B485" i="4"/>
  <c r="F345" i="4"/>
  <c r="B655" i="4"/>
  <c r="F88" i="4"/>
  <c r="F363" i="4"/>
  <c r="F160" i="4"/>
  <c r="F486" i="4"/>
  <c r="D56" i="4"/>
  <c r="C301" i="4"/>
  <c r="F71" i="4"/>
  <c r="F266" i="4"/>
  <c r="D105" i="4"/>
  <c r="B212" i="4"/>
  <c r="C19" i="4"/>
  <c r="F658" i="4"/>
  <c r="D129" i="4"/>
  <c r="A315" i="4"/>
  <c r="D172" i="4"/>
  <c r="B541" i="4"/>
  <c r="A261" i="4"/>
  <c r="B253" i="4"/>
  <c r="F715" i="4"/>
  <c r="B504" i="4"/>
  <c r="F39" i="4"/>
  <c r="C607" i="4"/>
  <c r="A494" i="4"/>
  <c r="C702" i="4"/>
  <c r="F260" i="4"/>
  <c r="B1129" i="4"/>
  <c r="F837" i="4"/>
  <c r="F1072" i="4"/>
  <c r="B1123" i="4"/>
  <c r="D981" i="4"/>
  <c r="C820" i="4"/>
  <c r="C660" i="4"/>
  <c r="D276" i="4"/>
  <c r="D288" i="4"/>
  <c r="B16" i="4"/>
  <c r="A25" i="4"/>
  <c r="A607" i="4"/>
  <c r="C464" i="4"/>
  <c r="F94" i="4"/>
  <c r="B762" i="4"/>
  <c r="F114" i="4"/>
  <c r="C629" i="4"/>
  <c r="A72" i="4"/>
  <c r="A290" i="4"/>
  <c r="F223" i="4"/>
  <c r="B766" i="4"/>
  <c r="F16" i="4"/>
  <c r="F656" i="4"/>
  <c r="D37" i="4"/>
  <c r="A52" i="4"/>
  <c r="F229" i="4"/>
  <c r="A636" i="4"/>
  <c r="C385" i="4"/>
  <c r="B564" i="4"/>
  <c r="D746" i="4"/>
  <c r="F859" i="4"/>
  <c r="D358" i="4"/>
  <c r="A1061" i="4"/>
  <c r="A1146" i="4"/>
  <c r="A1005" i="4"/>
  <c r="B1304" i="4"/>
  <c r="B1174" i="4"/>
  <c r="C1029" i="4"/>
  <c r="F886" i="4"/>
  <c r="A118" i="4"/>
  <c r="A172" i="4"/>
  <c r="C616" i="4"/>
  <c r="A283" i="4"/>
  <c r="B115" i="4"/>
  <c r="B28" i="4"/>
  <c r="A93" i="4"/>
  <c r="F262" i="4"/>
  <c r="B172" i="4"/>
  <c r="C29" i="4"/>
  <c r="F80" i="4"/>
  <c r="F306" i="4"/>
  <c r="B195" i="4"/>
  <c r="F215" i="4"/>
  <c r="D238" i="4"/>
  <c r="D110" i="4"/>
  <c r="B71" i="4"/>
  <c r="B320" i="4"/>
  <c r="F887" i="4"/>
  <c r="A420" i="4"/>
  <c r="F982" i="4"/>
  <c r="D900" i="4"/>
  <c r="A705" i="4"/>
  <c r="D474" i="4"/>
  <c r="E236" i="4"/>
  <c r="C364" i="4"/>
  <c r="B724" i="4"/>
  <c r="F195" i="4"/>
  <c r="B272" i="4"/>
  <c r="C542" i="4"/>
  <c r="B696" i="4"/>
  <c r="A75" i="4"/>
  <c r="D302" i="4"/>
  <c r="F878" i="4"/>
  <c r="F293" i="4"/>
  <c r="B357" i="4"/>
  <c r="D1180" i="4"/>
  <c r="B305" i="4"/>
  <c r="B213" i="4"/>
  <c r="B37" i="4"/>
  <c r="B299" i="4"/>
  <c r="C596" i="4"/>
  <c r="B167" i="4"/>
  <c r="F82" i="4"/>
  <c r="B578" i="4"/>
  <c r="A1008" i="4"/>
  <c r="F139" i="4"/>
  <c r="A244" i="4"/>
  <c r="B1" i="4"/>
  <c r="C2" i="4"/>
  <c r="A291" i="4"/>
  <c r="A137" i="4"/>
  <c r="C213" i="4"/>
  <c r="B464" i="4"/>
  <c r="C1118" i="4"/>
  <c r="B354" i="4"/>
  <c r="A823" i="4"/>
  <c r="A906" i="4"/>
  <c r="B764" i="4"/>
  <c r="F862" i="4"/>
  <c r="F702" i="4"/>
  <c r="A561" i="4"/>
  <c r="C422" i="4"/>
  <c r="F485" i="4"/>
  <c r="F87" i="4"/>
  <c r="C610" i="4"/>
  <c r="C9" i="4"/>
  <c r="A405" i="4"/>
  <c r="D83" i="4"/>
  <c r="F57" i="4"/>
  <c r="C299" i="4"/>
  <c r="C83" i="4"/>
  <c r="C8" i="4"/>
  <c r="C406" i="4"/>
  <c r="A503" i="4"/>
  <c r="F516" i="4"/>
  <c r="A549" i="4"/>
  <c r="C558" i="4"/>
  <c r="F168" i="4"/>
  <c r="B110" i="4"/>
  <c r="B145" i="4"/>
  <c r="A821" i="4"/>
  <c r="C1362" i="4"/>
  <c r="B395" i="4"/>
  <c r="D446" i="4"/>
  <c r="B523" i="4"/>
  <c r="B454" i="4"/>
  <c r="B933" i="4"/>
  <c r="F156" i="4"/>
  <c r="F10" i="4"/>
  <c r="C350" i="4"/>
  <c r="A673" i="4"/>
  <c r="F662" i="4"/>
  <c r="D826" i="4"/>
  <c r="D1349" i="4"/>
  <c r="F235" i="4"/>
  <c r="F843" i="4"/>
  <c r="C890" i="4"/>
  <c r="F519" i="4"/>
  <c r="B1612" i="4"/>
  <c r="F654" i="4"/>
  <c r="F391" i="4"/>
  <c r="C386" i="4"/>
  <c r="A421" i="4"/>
  <c r="A1372" i="4"/>
  <c r="B1228" i="4"/>
  <c r="D604" i="4"/>
  <c r="C1112" i="4"/>
  <c r="D1121" i="4"/>
  <c r="F1395" i="4"/>
  <c r="C1061" i="4"/>
  <c r="F917" i="4"/>
  <c r="F828" i="4"/>
  <c r="F713" i="4"/>
  <c r="A803" i="4"/>
  <c r="A760" i="4"/>
  <c r="F350" i="4"/>
  <c r="C795" i="4"/>
  <c r="D482" i="4"/>
  <c r="A1004" i="4"/>
  <c r="F763" i="4"/>
  <c r="F1090" i="4"/>
  <c r="B803" i="4"/>
  <c r="F443" i="4"/>
  <c r="C389" i="4"/>
  <c r="A235" i="4"/>
  <c r="C282" i="4"/>
  <c r="C362" i="4"/>
  <c r="D751" i="4"/>
  <c r="A340" i="4"/>
  <c r="A1025" i="4"/>
  <c r="F558" i="4"/>
  <c r="A739" i="4"/>
  <c r="B767" i="4"/>
  <c r="C710" i="4"/>
  <c r="A430" i="4"/>
  <c r="D656" i="4"/>
  <c r="A600" i="4"/>
  <c r="D776" i="4"/>
  <c r="A482" i="4"/>
  <c r="B339" i="4"/>
  <c r="C735" i="4"/>
  <c r="D81" i="4"/>
  <c r="C998" i="4"/>
  <c r="F964" i="4"/>
  <c r="C707" i="4"/>
  <c r="D958" i="4"/>
  <c r="F296" i="4"/>
  <c r="D188" i="4"/>
  <c r="A981" i="4"/>
  <c r="F521" i="4"/>
  <c r="F240" i="4"/>
  <c r="A685" i="4"/>
  <c r="F447" i="4"/>
  <c r="B1597" i="4"/>
  <c r="C1627" i="4"/>
  <c r="A1494" i="4"/>
  <c r="D755" i="4"/>
  <c r="F704" i="4"/>
  <c r="B640" i="4"/>
  <c r="C813" i="4"/>
  <c r="A736" i="4"/>
  <c r="F25" i="4"/>
  <c r="A970" i="4"/>
  <c r="F874" i="4"/>
  <c r="B990" i="4"/>
  <c r="F341" i="4"/>
  <c r="B509" i="4"/>
  <c r="F362" i="4"/>
  <c r="B753" i="4"/>
  <c r="D1393" i="4"/>
  <c r="F1252" i="4"/>
  <c r="D896" i="4"/>
  <c r="F73" i="4"/>
  <c r="B473" i="4"/>
  <c r="D175" i="4"/>
  <c r="A1007" i="4"/>
  <c r="C1180" i="4"/>
  <c r="A682" i="4"/>
  <c r="D881" i="4"/>
  <c r="C756" i="4"/>
  <c r="A1595" i="4"/>
  <c r="F792" i="4"/>
  <c r="A1046" i="4"/>
  <c r="B1490" i="4"/>
  <c r="D48" i="4"/>
  <c r="A771" i="4"/>
  <c r="C589" i="4"/>
  <c r="C532" i="4"/>
  <c r="B1100" i="4"/>
  <c r="C1183" i="4"/>
  <c r="C1136" i="4"/>
  <c r="C1080" i="4"/>
  <c r="C771" i="4"/>
  <c r="A882" i="4"/>
  <c r="B895" i="4"/>
  <c r="A1106" i="4"/>
  <c r="A411" i="4"/>
  <c r="A102" i="4"/>
  <c r="B153" i="4"/>
  <c r="D739" i="4"/>
  <c r="F975" i="4"/>
  <c r="D1037" i="4"/>
  <c r="C428" i="4"/>
  <c r="B721" i="4"/>
  <c r="C1103" i="4"/>
  <c r="C1071" i="4"/>
  <c r="D1921" i="4"/>
  <c r="C911" i="4"/>
  <c r="F1117" i="4"/>
  <c r="B68" i="4"/>
  <c r="F645" i="4"/>
  <c r="D299" i="4"/>
  <c r="B733" i="4"/>
  <c r="A888" i="4"/>
  <c r="C832" i="4"/>
  <c r="D768" i="4"/>
  <c r="F1152" i="4"/>
  <c r="C327" i="4"/>
  <c r="A238" i="4"/>
  <c r="F123" i="4"/>
  <c r="B865" i="4"/>
  <c r="A176" i="4"/>
  <c r="F416" i="4"/>
  <c r="C261" i="4"/>
  <c r="A205" i="4"/>
  <c r="A80" i="4"/>
  <c r="A822" i="4"/>
  <c r="F835" i="4"/>
  <c r="A479" i="4"/>
  <c r="F986" i="4"/>
  <c r="A929" i="4"/>
  <c r="B1003" i="4"/>
  <c r="D1175" i="4"/>
  <c r="C653" i="4"/>
  <c r="F172" i="4"/>
  <c r="B585" i="4"/>
  <c r="D541" i="4"/>
  <c r="D180" i="4"/>
  <c r="C442" i="4"/>
  <c r="C351" i="4"/>
  <c r="B73" i="4"/>
  <c r="D40" i="4"/>
  <c r="A163" i="4"/>
  <c r="A230" i="4"/>
  <c r="B642" i="4"/>
  <c r="F108" i="4"/>
  <c r="D95" i="4"/>
  <c r="A1071" i="4"/>
  <c r="B420" i="4"/>
  <c r="B846" i="4"/>
  <c r="F427" i="4"/>
  <c r="F212" i="4"/>
  <c r="D734" i="4"/>
  <c r="C576" i="4"/>
  <c r="B689" i="4"/>
  <c r="C790" i="4"/>
  <c r="B170" i="4"/>
  <c r="A181" i="4"/>
  <c r="A643" i="4"/>
  <c r="A161" i="4"/>
  <c r="F118" i="4"/>
  <c r="A570" i="4"/>
  <c r="C334" i="4"/>
  <c r="A362" i="4"/>
  <c r="A782" i="4"/>
  <c r="A182" i="4"/>
  <c r="F581" i="4"/>
  <c r="D472" i="4"/>
  <c r="A46" i="4"/>
  <c r="A2" i="4"/>
  <c r="A5" i="4"/>
  <c r="C348" i="4"/>
  <c r="A324" i="4"/>
  <c r="F584" i="4"/>
  <c r="F613" i="4"/>
  <c r="D883" i="4"/>
  <c r="A149" i="4"/>
  <c r="C110" i="4"/>
  <c r="F21" i="4"/>
  <c r="B168" i="4"/>
  <c r="F686" i="4"/>
  <c r="B11" i="4"/>
  <c r="F197" i="4"/>
  <c r="B470" i="4"/>
  <c r="A198" i="4"/>
  <c r="C268" i="4"/>
  <c r="C321" i="4"/>
  <c r="B49" i="4"/>
  <c r="B308" i="4"/>
  <c r="C304" i="4"/>
  <c r="B300" i="4"/>
  <c r="B188" i="4"/>
  <c r="C64" i="4"/>
  <c r="F382" i="4"/>
  <c r="A65" i="4"/>
  <c r="A104" i="4"/>
  <c r="B544" i="4"/>
  <c r="F176" i="4"/>
  <c r="C222" i="4"/>
  <c r="C34" i="4"/>
  <c r="A51" i="4"/>
  <c r="B289" i="4"/>
  <c r="A147" i="4"/>
  <c r="B447" i="4"/>
  <c r="A629" i="4"/>
  <c r="A712" i="4"/>
  <c r="F552" i="4"/>
  <c r="A437" i="4"/>
  <c r="C752" i="4"/>
  <c r="F882" i="4"/>
  <c r="F491" i="4"/>
  <c r="F355" i="4"/>
  <c r="A56" i="4"/>
  <c r="C481" i="4"/>
  <c r="C280" i="4"/>
  <c r="F151" i="4"/>
  <c r="B14" i="4"/>
  <c r="B200" i="4"/>
  <c r="B55" i="4"/>
  <c r="B695" i="4"/>
  <c r="F17" i="4"/>
  <c r="B511" i="4"/>
  <c r="B326" i="4"/>
  <c r="F625" i="4"/>
  <c r="A32" i="4"/>
  <c r="A243" i="4"/>
  <c r="D64" i="4"/>
  <c r="A10" i="4"/>
  <c r="A759" i="4"/>
  <c r="C574" i="4"/>
  <c r="D589" i="4"/>
  <c r="B296" i="4"/>
  <c r="F691" i="4"/>
  <c r="B772" i="4"/>
  <c r="D262" i="4"/>
  <c r="F452" i="4"/>
  <c r="C913" i="4"/>
  <c r="B584" i="4"/>
  <c r="C45" i="4"/>
  <c r="E686" i="4"/>
  <c r="B616" i="4"/>
  <c r="B89" i="4"/>
  <c r="B181" i="4"/>
  <c r="C206" i="4"/>
  <c r="B384" i="4"/>
  <c r="F267" i="4"/>
  <c r="B329" i="4"/>
  <c r="A410" i="4"/>
  <c r="B780" i="4"/>
  <c r="B238" i="4"/>
  <c r="F841" i="4"/>
  <c r="B159" i="4"/>
  <c r="B241" i="4"/>
  <c r="F300" i="4"/>
  <c r="F1033" i="4"/>
  <c r="A19" i="4"/>
  <c r="F664" i="4"/>
  <c r="A416" i="4"/>
  <c r="B45" i="4"/>
  <c r="C504" i="4"/>
  <c r="D493" i="4"/>
  <c r="B373" i="4"/>
  <c r="C729" i="4"/>
  <c r="D156" i="4"/>
  <c r="A189" i="4"/>
  <c r="C146" i="4"/>
  <c r="D344" i="4"/>
  <c r="D445" i="4"/>
  <c r="B430" i="4"/>
  <c r="B740" i="4"/>
  <c r="F680" i="4"/>
  <c r="C31" i="4"/>
  <c r="B343" i="4"/>
  <c r="C563" i="4"/>
  <c r="A946" i="4"/>
  <c r="D736" i="4"/>
  <c r="F228" i="4"/>
  <c r="C522" i="4"/>
  <c r="B76" i="4"/>
  <c r="A242" i="4"/>
  <c r="A322" i="4"/>
  <c r="F667" i="4"/>
  <c r="F100" i="4"/>
  <c r="C778" i="4"/>
  <c r="F142" i="4"/>
  <c r="C631" i="4"/>
  <c r="B209" i="4"/>
  <c r="C223" i="4"/>
  <c r="D1162" i="4"/>
  <c r="C1057" i="4"/>
  <c r="D523" i="4"/>
  <c r="A1119" i="4"/>
  <c r="F765" i="4"/>
  <c r="B945" i="4"/>
  <c r="C358" i="4"/>
  <c r="B892" i="4"/>
  <c r="D977" i="4"/>
  <c r="C836" i="4"/>
  <c r="F672" i="4"/>
  <c r="F529" i="4"/>
  <c r="B392" i="4"/>
  <c r="D689" i="4"/>
  <c r="F68" i="4"/>
  <c r="E78" i="4"/>
  <c r="C625" i="4"/>
  <c r="C245" i="4"/>
  <c r="C183" i="4"/>
  <c r="D155" i="4"/>
  <c r="B146" i="4"/>
  <c r="D449" i="4"/>
  <c r="A204" i="4"/>
  <c r="B164" i="4"/>
  <c r="D45" i="4"/>
  <c r="C53" i="4"/>
  <c r="A158" i="4"/>
  <c r="F622" i="4"/>
  <c r="A201" i="4"/>
  <c r="D192" i="4"/>
  <c r="A323" i="4"/>
  <c r="B103" i="4"/>
  <c r="A542" i="4"/>
  <c r="F333" i="4"/>
  <c r="B216" i="4"/>
  <c r="C435" i="4"/>
  <c r="B471" i="4"/>
  <c r="D350" i="4"/>
  <c r="D125" i="4"/>
  <c r="A538" i="4"/>
  <c r="C118" i="4"/>
  <c r="B273" i="4"/>
  <c r="F56" i="4"/>
  <c r="A146" i="4"/>
  <c r="A196" i="4"/>
  <c r="B322" i="4"/>
  <c r="D220" i="4"/>
  <c r="A280" i="4"/>
  <c r="C544" i="4"/>
  <c r="A375" i="4"/>
  <c r="F560" i="4"/>
  <c r="C390" i="4"/>
  <c r="F185" i="4"/>
  <c r="B234" i="4"/>
  <c r="D228" i="4"/>
  <c r="D157" i="4"/>
  <c r="C249" i="4"/>
  <c r="D124" i="4"/>
  <c r="D261" i="4"/>
  <c r="B221" i="4"/>
  <c r="C92" i="4"/>
  <c r="C741" i="4"/>
  <c r="B280" i="4"/>
  <c r="C303" i="4"/>
  <c r="C318" i="4"/>
  <c r="D388" i="4"/>
  <c r="F601" i="4"/>
  <c r="D654" i="4"/>
  <c r="D1022" i="4"/>
  <c r="F157" i="4"/>
  <c r="F137" i="4"/>
  <c r="D639" i="4"/>
  <c r="C922" i="4"/>
  <c r="C517" i="4"/>
  <c r="A606" i="4"/>
  <c r="F757" i="4"/>
  <c r="F776" i="4"/>
  <c r="C420" i="4"/>
  <c r="D217" i="4"/>
  <c r="A91" i="4"/>
  <c r="D165" i="4"/>
  <c r="B133" i="4"/>
  <c r="A128" i="4"/>
  <c r="B107" i="4"/>
  <c r="A113" i="4"/>
  <c r="F433" i="4"/>
  <c r="F81" i="4"/>
  <c r="F384" i="4"/>
  <c r="B127" i="4"/>
  <c r="D494" i="4"/>
  <c r="F14" i="4"/>
  <c r="B466" i="4"/>
  <c r="A127" i="4"/>
  <c r="F722" i="4"/>
  <c r="C985" i="4"/>
  <c r="B230" i="4"/>
  <c r="B503" i="4"/>
  <c r="B519" i="4"/>
  <c r="C1085" i="4"/>
  <c r="F621" i="4"/>
  <c r="F716" i="4"/>
  <c r="A273" i="4"/>
  <c r="C116" i="4"/>
  <c r="D218" i="4"/>
  <c r="B367" i="4"/>
  <c r="A162" i="4"/>
  <c r="D986" i="4"/>
  <c r="B773" i="4"/>
  <c r="F904" i="4"/>
  <c r="A480" i="4"/>
  <c r="F75" i="4"/>
  <c r="F18" i="4"/>
  <c r="F328" i="4"/>
  <c r="B317" i="4"/>
  <c r="F85" i="4"/>
  <c r="D275" i="4"/>
  <c r="B201" i="4"/>
  <c r="F233" i="4"/>
  <c r="F270" i="4"/>
  <c r="A95" i="4"/>
  <c r="C57" i="4"/>
  <c r="A220" i="4"/>
  <c r="C199" i="4"/>
  <c r="A156" i="4"/>
  <c r="A611" i="4"/>
  <c r="D304" i="4"/>
  <c r="D640" i="4"/>
  <c r="B318" i="4"/>
  <c r="B703" i="4"/>
  <c r="A649" i="4"/>
  <c r="D167" i="4"/>
  <c r="F302" i="4"/>
  <c r="A529" i="4"/>
  <c r="F694" i="4"/>
  <c r="B361" i="4"/>
  <c r="F660" i="4"/>
  <c r="A750" i="4"/>
  <c r="D603" i="4"/>
  <c r="D359" i="4"/>
  <c r="A660" i="4"/>
  <c r="F517" i="4"/>
  <c r="F379" i="4"/>
  <c r="B673" i="4"/>
  <c r="B36" i="4"/>
  <c r="C5" i="4"/>
  <c r="C7" i="4"/>
  <c r="F474" i="4"/>
  <c r="A154" i="4"/>
  <c r="C259" i="4"/>
  <c r="C35" i="4"/>
  <c r="A387" i="4"/>
  <c r="A317" i="4"/>
  <c r="F637" i="4"/>
  <c r="A63" i="4"/>
  <c r="A756" i="4"/>
  <c r="A101" i="4"/>
  <c r="C332" i="4"/>
  <c r="D123" i="4"/>
  <c r="A40" i="4"/>
  <c r="E425" i="4"/>
  <c r="B1037" i="4"/>
  <c r="B433" i="4"/>
  <c r="D769" i="4"/>
  <c r="B914" i="4"/>
  <c r="F947" i="4"/>
  <c r="B402" i="4"/>
  <c r="B64" i="4"/>
  <c r="B204" i="4"/>
  <c r="D7" i="4"/>
  <c r="B125" i="4"/>
  <c r="D224" i="4"/>
  <c r="F61" i="4"/>
  <c r="B301" i="4"/>
  <c r="C712" i="4"/>
  <c r="B184" i="4"/>
  <c r="A528" i="4"/>
  <c r="A554" i="4"/>
  <c r="B372" i="4"/>
  <c r="F962" i="4"/>
  <c r="A84" i="4"/>
  <c r="F15" i="4"/>
  <c r="C143" i="4"/>
  <c r="A271" i="4"/>
  <c r="A193" i="4"/>
  <c r="F179" i="4"/>
  <c r="F313" i="4"/>
  <c r="A593" i="4"/>
  <c r="B795" i="4"/>
  <c r="F251" i="4"/>
  <c r="F141" i="4"/>
  <c r="C166" i="4"/>
  <c r="A1" i="4"/>
  <c r="A233" i="4"/>
  <c r="D723" i="4"/>
  <c r="B118" i="4"/>
  <c r="D527" i="4"/>
  <c r="F26" i="4"/>
  <c r="A26" i="4"/>
  <c r="B120" i="4"/>
  <c r="B210" i="4"/>
  <c r="C63" i="4"/>
  <c r="B530" i="4"/>
  <c r="B337" i="4"/>
  <c r="F431" i="4"/>
  <c r="B508" i="4"/>
  <c r="C192" i="4"/>
  <c r="F467" i="4"/>
  <c r="A248" i="4"/>
  <c r="D119" i="4"/>
  <c r="F929" i="4"/>
  <c r="E2" i="4"/>
  <c r="D145" i="4"/>
  <c r="A165" i="4"/>
  <c r="D128" i="4"/>
  <c r="C378" i="4"/>
  <c r="F538" i="4"/>
  <c r="C250" i="4"/>
  <c r="F406" i="4"/>
  <c r="C47" i="4"/>
  <c r="D448" i="4"/>
  <c r="C178" i="4"/>
  <c r="B196" i="4"/>
  <c r="C788" i="4"/>
  <c r="F210" i="4"/>
  <c r="B10" i="4"/>
  <c r="B493" i="4"/>
  <c r="D221" i="4"/>
  <c r="A656" i="4"/>
  <c r="C262" i="4"/>
  <c r="A155" i="4"/>
  <c r="A418" i="4"/>
  <c r="C39" i="4"/>
  <c r="B681" i="4"/>
  <c r="C637" i="4"/>
  <c r="F109" i="4"/>
  <c r="E998" i="4"/>
  <c r="A1055" i="4"/>
  <c r="F466" i="4"/>
  <c r="A571" i="4"/>
  <c r="C130" i="4"/>
  <c r="A461" i="4"/>
  <c r="A178" i="4"/>
  <c r="B599" i="4"/>
  <c r="A180" i="4"/>
  <c r="F103" i="4"/>
  <c r="D57" i="4"/>
  <c r="A124" i="4"/>
  <c r="A292" i="4"/>
  <c r="F253" i="4"/>
  <c r="C167" i="4"/>
  <c r="C150" i="4"/>
  <c r="F44" i="4"/>
  <c r="B239" i="4"/>
  <c r="A142" i="4"/>
  <c r="F59" i="4"/>
  <c r="D209" i="4"/>
  <c r="B21" i="4"/>
  <c r="B48" i="4"/>
  <c r="D495" i="4"/>
  <c r="F1099" i="4"/>
  <c r="B18" i="4"/>
  <c r="C175" i="4"/>
  <c r="B723" i="4"/>
  <c r="C6" i="4"/>
  <c r="A168" i="4"/>
  <c r="C490" i="4"/>
  <c r="A167" i="4"/>
  <c r="B175" i="4"/>
  <c r="A223" i="4"/>
  <c r="F1003" i="4"/>
  <c r="F33" i="4"/>
  <c r="C46" i="4"/>
  <c r="F723" i="4"/>
  <c r="A522" i="4"/>
  <c r="D274" i="4"/>
  <c r="D5" i="4"/>
  <c r="B274" i="4"/>
  <c r="F639" i="4"/>
  <c r="C903" i="4"/>
  <c r="C746" i="4"/>
  <c r="A708" i="4"/>
  <c r="F272" i="4"/>
  <c r="B738" i="4"/>
  <c r="D300" i="4"/>
  <c r="D39" i="4"/>
  <c r="A303" i="4"/>
  <c r="B60" i="4"/>
  <c r="D810" i="4"/>
  <c r="B1158" i="4"/>
  <c r="A488" i="4"/>
  <c r="B217" i="4"/>
  <c r="F289" i="4"/>
  <c r="A194" i="4"/>
  <c r="A337" i="4"/>
  <c r="D488" i="4"/>
  <c r="A215" i="4"/>
  <c r="D668" i="4"/>
  <c r="A33" i="4"/>
  <c r="C176" i="4"/>
  <c r="D210" i="4"/>
  <c r="F70" i="4"/>
  <c r="F378" i="4"/>
  <c r="E11" i="4"/>
  <c r="D442" i="4"/>
  <c r="D957" i="4"/>
  <c r="F277" i="4"/>
  <c r="D339" i="4"/>
  <c r="A515" i="4"/>
  <c r="C473" i="4"/>
  <c r="F249" i="4"/>
  <c r="A262" i="4"/>
  <c r="A299" i="4"/>
  <c r="C488" i="4"/>
  <c r="D860" i="4"/>
  <c r="B242" i="4"/>
  <c r="B233" i="4"/>
  <c r="F208" i="4"/>
  <c r="F758" i="4"/>
  <c r="A68" i="4"/>
  <c r="B183" i="4"/>
  <c r="F231" i="4"/>
  <c r="D163" i="4"/>
  <c r="B288" i="4"/>
  <c r="F316" i="4"/>
  <c r="A384" i="4"/>
  <c r="B677" i="4"/>
  <c r="B122" i="4"/>
  <c r="B413" i="4"/>
  <c r="C514" i="4"/>
  <c r="C3" i="4"/>
  <c r="B443" i="4"/>
  <c r="C986" i="4"/>
  <c r="C275" i="4"/>
  <c r="F106" i="4"/>
  <c r="F124" i="4"/>
  <c r="C44" i="4"/>
  <c r="C307" i="4"/>
  <c r="C865" i="4"/>
  <c r="F567" i="4"/>
  <c r="B717" i="4"/>
  <c r="F589" i="4"/>
  <c r="C354" i="4"/>
  <c r="B79" i="4"/>
  <c r="F167" i="4"/>
  <c r="D68" i="4"/>
  <c r="D133" i="4"/>
  <c r="A278" i="4"/>
  <c r="C774" i="4"/>
  <c r="C867" i="4"/>
  <c r="F43" i="4"/>
  <c r="D645" i="4"/>
  <c r="F598" i="4"/>
  <c r="A880" i="4"/>
  <c r="B600" i="4"/>
  <c r="B190" i="4"/>
  <c r="F395" i="4"/>
  <c r="A314" i="4"/>
  <c r="D170" i="4"/>
  <c r="D27" i="4"/>
  <c r="A241" i="4"/>
  <c r="C266" i="4"/>
  <c r="C56" i="4"/>
  <c r="F23" i="4"/>
  <c r="B169" i="4"/>
  <c r="D42" i="4"/>
  <c r="C204" i="4"/>
  <c r="F325" i="4"/>
  <c r="F180" i="4"/>
  <c r="C187" i="4"/>
  <c r="F1021" i="4"/>
  <c r="B1142" i="4"/>
  <c r="A386" i="4"/>
  <c r="A752" i="4"/>
  <c r="A616" i="4"/>
  <c r="C415" i="4"/>
  <c r="C141" i="4"/>
  <c r="A652" i="4"/>
  <c r="C739" i="4"/>
  <c r="A595" i="4"/>
  <c r="A586" i="4"/>
  <c r="B446" i="4"/>
  <c r="B302" i="4"/>
  <c r="D159" i="4"/>
  <c r="F698" i="4"/>
  <c r="C240" i="4"/>
  <c r="F450" i="4"/>
  <c r="F220" i="4"/>
  <c r="D17" i="4"/>
  <c r="D38" i="4"/>
  <c r="F720" i="4"/>
  <c r="D239" i="4"/>
  <c r="C691" i="4"/>
  <c r="C156" i="4"/>
  <c r="F506" i="4"/>
  <c r="D146" i="4"/>
  <c r="C621" i="4"/>
  <c r="C251" i="4"/>
  <c r="C431" i="4"/>
  <c r="F204" i="4"/>
  <c r="A121" i="4"/>
  <c r="E740" i="4"/>
  <c r="D404" i="4"/>
  <c r="C419" i="4"/>
  <c r="E34" i="4"/>
  <c r="D518" i="4"/>
  <c r="A749" i="4"/>
  <c r="A603" i="4"/>
  <c r="F869" i="4"/>
  <c r="C400" i="4"/>
  <c r="B574" i="4"/>
  <c r="D763" i="4"/>
  <c r="D658" i="4"/>
  <c r="A440" i="4"/>
  <c r="B282" i="4"/>
  <c r="A35" i="4"/>
  <c r="A279" i="4"/>
  <c r="C203" i="4"/>
  <c r="A709" i="4"/>
  <c r="F457" i="4"/>
  <c r="F365" i="4"/>
  <c r="D109" i="4"/>
  <c r="F50" i="4"/>
  <c r="D263" i="4"/>
  <c r="F83" i="4"/>
  <c r="A359" i="4"/>
  <c r="B262" i="4"/>
  <c r="F499" i="4"/>
  <c r="B12" i="4"/>
  <c r="A79" i="4"/>
  <c r="C281" i="4"/>
  <c r="B149" i="4"/>
  <c r="B199" i="4"/>
  <c r="B47" i="4"/>
  <c r="C685" i="4"/>
  <c r="A232" i="4"/>
  <c r="D700" i="4"/>
  <c r="C850" i="4"/>
  <c r="F236" i="4"/>
  <c r="D78" i="4"/>
  <c r="C715" i="4"/>
  <c r="D749" i="4"/>
  <c r="B660" i="4"/>
  <c r="C468" i="4"/>
  <c r="F385" i="4"/>
  <c r="C638" i="4"/>
  <c r="A551" i="4"/>
  <c r="B112" i="4"/>
  <c r="C286" i="4"/>
  <c r="D34" i="4"/>
  <c r="F477" i="4"/>
  <c r="B74" i="4"/>
  <c r="C636" i="4"/>
  <c r="F6" i="4"/>
  <c r="D425" i="4"/>
  <c r="B98" i="4"/>
  <c r="B467" i="4"/>
  <c r="B5" i="4"/>
  <c r="F110" i="4"/>
  <c r="B137" i="4"/>
  <c r="B8" i="4"/>
  <c r="A45" i="4"/>
  <c r="C483" i="4"/>
  <c r="F193" i="4"/>
  <c r="C496" i="4"/>
  <c r="A67" i="4"/>
  <c r="D315" i="4"/>
  <c r="C194" i="4"/>
  <c r="D32" i="4"/>
  <c r="F687" i="4"/>
  <c r="A507" i="4"/>
  <c r="B130" i="4"/>
  <c r="F120" i="4"/>
  <c r="D148" i="4"/>
  <c r="D63" i="4"/>
  <c r="F956" i="4"/>
  <c r="F858" i="4"/>
  <c r="F642" i="4"/>
  <c r="D556" i="4"/>
  <c r="A143" i="4"/>
  <c r="F445" i="4"/>
  <c r="B219" i="4"/>
  <c r="D182" i="4"/>
  <c r="A263" i="4"/>
  <c r="A327" i="4"/>
  <c r="A12" i="4"/>
  <c r="F200" i="4"/>
  <c r="A43" i="4"/>
  <c r="D243" i="4"/>
  <c r="B135" i="4"/>
  <c r="D438" i="4"/>
  <c r="D249" i="4"/>
  <c r="A910" i="4"/>
  <c r="A110" i="4"/>
  <c r="D21" i="4"/>
  <c r="D245" i="4"/>
  <c r="F628" i="4"/>
  <c r="B416" i="4"/>
  <c r="D561" i="4"/>
  <c r="C506" i="4"/>
  <c r="A28" i="4"/>
  <c r="A388" i="4"/>
  <c r="A1000" i="4"/>
  <c r="C55" i="4"/>
  <c r="B3" i="4"/>
  <c r="D1038" i="4"/>
  <c r="A672" i="4"/>
  <c r="A455" i="4"/>
  <c r="A518" i="4"/>
  <c r="D686" i="4"/>
  <c r="C639" i="4"/>
  <c r="B178" i="4"/>
  <c r="A88" i="4"/>
  <c r="B61" i="4"/>
  <c r="D4" i="4"/>
  <c r="D103" i="4"/>
  <c r="D49" i="4"/>
  <c r="D321" i="4"/>
  <c r="D287" i="4"/>
  <c r="A231" i="4"/>
  <c r="B295" i="4"/>
  <c r="F74" i="4"/>
  <c r="F48" i="4"/>
  <c r="B226" i="4"/>
  <c r="D161" i="4"/>
  <c r="A470" i="4"/>
  <c r="C317" i="4"/>
  <c r="B741" i="4"/>
  <c r="F117" i="4"/>
  <c r="C410" i="4"/>
  <c r="D694" i="4"/>
  <c r="E395" i="4"/>
  <c r="A307" i="4"/>
  <c r="B934" i="4"/>
  <c r="F633" i="4"/>
  <c r="F188" i="4"/>
  <c r="D177" i="4"/>
  <c r="A62" i="4"/>
  <c r="C346" i="4"/>
  <c r="A229" i="4"/>
  <c r="C180" i="4"/>
  <c r="F112" i="4"/>
  <c r="D564" i="4"/>
  <c r="C173" i="4"/>
  <c r="D384" i="4"/>
  <c r="F323" i="4"/>
  <c r="C76" i="4"/>
  <c r="C149" i="4"/>
  <c r="D500" i="4"/>
  <c r="C122" i="4"/>
  <c r="C220" i="4"/>
  <c r="A16" i="4"/>
  <c r="B292" i="4"/>
  <c r="F222" i="4"/>
  <c r="A344" i="4"/>
  <c r="F164" i="4"/>
  <c r="C759" i="4"/>
  <c r="A369" i="4"/>
  <c r="D709" i="4"/>
  <c r="A97" i="4"/>
  <c r="D363" i="4"/>
  <c r="A311" i="4"/>
  <c r="A253" i="4"/>
  <c r="F97" i="4"/>
  <c r="B268" i="4"/>
  <c r="C418" i="4"/>
  <c r="A96" i="4"/>
  <c r="B631" i="4"/>
  <c r="A123" i="4"/>
  <c r="C209" i="4"/>
  <c r="A24" i="4"/>
  <c r="B225" i="4"/>
  <c r="F340" i="4"/>
  <c r="A210" i="4"/>
  <c r="D76" i="4"/>
  <c r="F99" i="4"/>
  <c r="C48" i="4"/>
  <c r="D235" i="4"/>
  <c r="D414" i="4"/>
  <c r="F789" i="4"/>
  <c r="D197" i="4"/>
  <c r="C91" i="4"/>
  <c r="F759" i="4"/>
  <c r="F146" i="4"/>
  <c r="C73" i="4"/>
  <c r="D20" i="4"/>
  <c r="A175" i="4"/>
  <c r="F347" i="4"/>
  <c r="B760" i="4"/>
  <c r="F217" i="4"/>
  <c r="C106" i="4"/>
  <c r="A281" i="4"/>
  <c r="B633" i="4"/>
  <c r="A582" i="4"/>
  <c r="A267" i="4"/>
  <c r="B418" i="4"/>
  <c r="F404" i="4"/>
  <c r="A355" i="4"/>
  <c r="F202" i="4"/>
  <c r="B405" i="4"/>
  <c r="D169" i="4"/>
  <c r="F105" i="4"/>
  <c r="B570" i="4"/>
  <c r="A138" i="4"/>
  <c r="D429" i="4"/>
  <c r="F426" i="4"/>
  <c r="D1029" i="4"/>
  <c r="B147" i="4"/>
  <c r="A778" i="4"/>
  <c r="A122" i="4"/>
  <c r="F511" i="4"/>
  <c r="A186" i="4"/>
  <c r="C217" i="4"/>
  <c r="C456" i="4"/>
  <c r="B879" i="4"/>
  <c r="F144" i="4"/>
  <c r="D330" i="4"/>
  <c r="F159" i="4"/>
  <c r="C75" i="4"/>
  <c r="B58" i="4"/>
  <c r="B247" i="4"/>
  <c r="A112" i="4"/>
  <c r="F264" i="4"/>
  <c r="F646" i="4"/>
  <c r="A41" i="4"/>
  <c r="B244" i="4"/>
  <c r="A282" i="4"/>
  <c r="C40" i="4"/>
  <c r="F27" i="4"/>
  <c r="C171" i="4"/>
  <c r="B95" i="4"/>
  <c r="F254" i="4"/>
  <c r="D138" i="4"/>
  <c r="C65" i="4"/>
  <c r="A247" i="4"/>
  <c r="F283" i="4"/>
  <c r="C463" i="4"/>
  <c r="B252" i="4"/>
  <c r="C61" i="4"/>
  <c r="A738" i="4"/>
  <c r="C124" i="4"/>
  <c r="A419" i="4"/>
  <c r="B563" i="4"/>
  <c r="B672" i="4"/>
  <c r="D657" i="4"/>
  <c r="B621" i="4"/>
  <c r="C147" i="4"/>
  <c r="B319" i="4"/>
  <c r="B429" i="4"/>
  <c r="B31" i="4"/>
  <c r="D745" i="4"/>
  <c r="F245" i="4"/>
  <c r="A535" i="4"/>
  <c r="D876" i="4"/>
  <c r="B561" i="4"/>
  <c r="B608" i="4"/>
  <c r="F104" i="4"/>
  <c r="D240" i="4"/>
  <c r="C302" i="4"/>
  <c r="B478" i="4"/>
  <c r="E214" i="4"/>
  <c r="A246" i="4"/>
  <c r="C782" i="4"/>
  <c r="C79" i="4"/>
  <c r="C484" i="4"/>
  <c r="C59" i="4"/>
  <c r="A357" i="4"/>
  <c r="B330" i="4"/>
  <c r="F284" i="4"/>
  <c r="B19" i="4"/>
  <c r="C508" i="4"/>
  <c r="C599" i="4"/>
  <c r="A100" i="4"/>
  <c r="D260" i="4"/>
  <c r="E51" i="4"/>
  <c r="C58" i="4"/>
  <c r="B20" i="4"/>
  <c r="B294" i="4"/>
  <c r="D610" i="4"/>
  <c r="D459" i="4"/>
  <c r="C140" i="4"/>
  <c r="F501" i="4"/>
  <c r="A348" i="4"/>
  <c r="A583" i="4"/>
  <c r="A543" i="4"/>
  <c r="D466" i="4"/>
  <c r="D534" i="4"/>
  <c r="B311" i="4"/>
  <c r="C260" i="4"/>
  <c r="E654" i="4"/>
  <c r="B75" i="4"/>
  <c r="B1108" i="4"/>
  <c r="C538" i="4"/>
  <c r="B708" i="4"/>
  <c r="B587" i="4"/>
  <c r="D101" i="4"/>
  <c r="B215" i="4"/>
  <c r="D111" i="4"/>
  <c r="C160" i="4"/>
  <c r="D214" i="4"/>
  <c r="A477" i="4"/>
  <c r="B450" i="4"/>
  <c r="A209" i="4"/>
  <c r="B461" i="4"/>
  <c r="B179" i="4"/>
  <c r="F24" i="4"/>
  <c r="C186" i="4"/>
  <c r="D524" i="4"/>
  <c r="C230" i="4"/>
  <c r="D484" i="4"/>
  <c r="D316" i="4"/>
  <c r="D372" i="4"/>
  <c r="B171" i="4"/>
  <c r="C528" i="4"/>
  <c r="A60" i="4"/>
  <c r="B131" i="4"/>
  <c r="C185" i="4"/>
  <c r="A9" i="4"/>
  <c r="D783" i="4"/>
  <c r="C135" i="4"/>
  <c r="B376" i="4"/>
  <c r="F216" i="4"/>
  <c r="D519" i="4"/>
  <c r="D334" i="4"/>
  <c r="F326" i="4"/>
  <c r="C101" i="4"/>
  <c r="C622" i="4"/>
  <c r="D151" i="4"/>
  <c r="C158" i="4"/>
  <c r="F418" i="4"/>
  <c r="C878" i="4"/>
  <c r="F1000" i="4"/>
  <c r="A1177" i="4"/>
  <c r="D1062" i="4"/>
  <c r="F1017" i="4"/>
  <c r="C188" i="4"/>
  <c r="A90" i="4"/>
  <c r="B840" i="4"/>
  <c r="F905" i="4"/>
  <c r="C499" i="4"/>
  <c r="E601" i="4"/>
  <c r="A741" i="4"/>
  <c r="F769" i="4"/>
  <c r="B550" i="4"/>
  <c r="A159" i="4"/>
  <c r="C1025" i="4"/>
  <c r="B86" i="4"/>
  <c r="F1098" i="4"/>
  <c r="F86" i="4"/>
  <c r="F119" i="4"/>
  <c r="F132" i="4"/>
  <c r="F133" i="4"/>
  <c r="F271" i="4"/>
  <c r="F708" i="4"/>
  <c r="A86" i="4"/>
  <c r="C373" i="4"/>
  <c r="C200" i="4"/>
  <c r="D506" i="4"/>
  <c r="C62" i="4"/>
  <c r="A730" i="4"/>
  <c r="D73" i="4"/>
  <c r="B208" i="4"/>
  <c r="E701" i="4"/>
  <c r="F273" i="4"/>
  <c r="B953" i="4"/>
  <c r="D380" i="4"/>
  <c r="C443" i="4"/>
  <c r="C77" i="4"/>
  <c r="D954" i="4"/>
  <c r="A254" i="4"/>
  <c r="A190" i="4"/>
  <c r="A423" i="4"/>
  <c r="C11" i="4"/>
  <c r="A203" i="4"/>
  <c r="F372" i="4"/>
  <c r="A57" i="4"/>
  <c r="F199" i="4"/>
  <c r="F205" i="4"/>
  <c r="F47" i="4"/>
  <c r="D313" i="4"/>
  <c r="C664" i="4"/>
  <c r="F375" i="4"/>
  <c r="C401" i="4"/>
  <c r="A145" i="4"/>
  <c r="F774" i="4"/>
  <c r="D6" i="4"/>
  <c r="C339" i="4"/>
  <c r="F187" i="4"/>
  <c r="F788" i="4"/>
  <c r="F535" i="4"/>
  <c r="F518" i="4"/>
  <c r="D91" i="4"/>
  <c r="A596" i="4"/>
  <c r="D58" i="4"/>
  <c r="F458" i="4"/>
  <c r="C335" i="4"/>
  <c r="C276" i="4"/>
  <c r="A1161" i="4"/>
  <c r="F949" i="4"/>
  <c r="B481" i="4"/>
  <c r="F908" i="4"/>
  <c r="D995" i="4"/>
  <c r="C853" i="4"/>
  <c r="F676" i="4"/>
  <c r="B534" i="4"/>
  <c r="C396" i="4"/>
  <c r="F693" i="4"/>
  <c r="E129" i="4"/>
  <c r="C684" i="4"/>
  <c r="F755" i="4"/>
  <c r="B304" i="4"/>
  <c r="D271" i="4"/>
  <c r="C214" i="4"/>
  <c r="C25" i="4"/>
  <c r="B283" i="4"/>
  <c r="D113" i="4"/>
  <c r="B303" i="4"/>
  <c r="B293" i="4"/>
  <c r="F398" i="4"/>
  <c r="F69" i="4"/>
  <c r="F128" i="4"/>
  <c r="D112" i="4"/>
  <c r="A297" i="4"/>
  <c r="B193" i="4"/>
  <c r="F161" i="4"/>
  <c r="D135" i="4"/>
  <c r="C575" i="4"/>
  <c r="B109" i="4"/>
  <c r="B678" i="4"/>
  <c r="B603" i="4"/>
  <c r="B647" i="4"/>
  <c r="C711" i="4"/>
  <c r="C352" i="4"/>
  <c r="D436" i="4"/>
  <c r="C738" i="4"/>
  <c r="F1057" i="4"/>
  <c r="C914" i="4"/>
  <c r="C1020" i="4"/>
  <c r="D814" i="4"/>
  <c r="A573" i="4"/>
  <c r="E297" i="4"/>
  <c r="B527" i="4"/>
  <c r="B313" i="4"/>
  <c r="D281" i="4"/>
  <c r="F55" i="4"/>
  <c r="B174" i="4"/>
  <c r="B270" i="4"/>
  <c r="F201" i="4"/>
  <c r="B312" i="4"/>
  <c r="D536" i="4"/>
  <c r="A679" i="4"/>
  <c r="F650" i="4"/>
  <c r="B679" i="4"/>
  <c r="D692" i="4"/>
  <c r="A139" i="4"/>
  <c r="C72" i="4"/>
  <c r="B17" i="4"/>
  <c r="F248" i="4"/>
  <c r="F77" i="4"/>
  <c r="D454" i="4"/>
  <c r="A374" i="4"/>
  <c r="A363" i="4"/>
  <c r="B778" i="4"/>
  <c r="B261" i="4"/>
  <c r="F731" i="4"/>
  <c r="B768" i="4"/>
  <c r="D674" i="4"/>
  <c r="A380" i="4"/>
  <c r="A731" i="4"/>
  <c r="B531" i="4"/>
  <c r="C448" i="4"/>
  <c r="A135" i="4"/>
  <c r="A296" i="4"/>
  <c r="F95" i="4"/>
  <c r="F37" i="4"/>
  <c r="C224" i="4"/>
  <c r="A640" i="4"/>
  <c r="F640" i="4"/>
  <c r="B327" i="4"/>
  <c r="B7" i="4"/>
  <c r="A37" i="4"/>
  <c r="B99" i="4"/>
  <c r="F387" i="4"/>
  <c r="A213" i="4"/>
  <c r="A409" i="4"/>
  <c r="A256" i="4"/>
  <c r="A22" i="4"/>
  <c r="B562" i="4"/>
  <c r="D19" i="4"/>
  <c r="B92" i="4"/>
  <c r="C177" i="4"/>
  <c r="F1053" i="4"/>
  <c r="B227" i="4"/>
  <c r="A793" i="4"/>
  <c r="C877" i="4"/>
  <c r="B1173" i="4"/>
  <c r="B310" i="4"/>
  <c r="A83" i="4"/>
  <c r="C785" i="4"/>
  <c r="A94" i="4"/>
  <c r="B13" i="4"/>
  <c r="F38" i="4"/>
  <c r="D92" i="4"/>
  <c r="B258" i="4"/>
  <c r="F63" i="4"/>
  <c r="B1078" i="4"/>
  <c r="C42" i="4"/>
  <c r="C296" i="4"/>
  <c r="F181" i="4"/>
  <c r="D252" i="4"/>
  <c r="B220" i="4"/>
  <c r="B553" i="4"/>
  <c r="B192" i="4"/>
  <c r="C467" i="4"/>
  <c r="D291" i="4"/>
  <c r="A250" i="4"/>
  <c r="D29" i="4"/>
  <c r="B236" i="4"/>
  <c r="B134" i="4"/>
  <c r="A326" i="4"/>
  <c r="A783" i="4"/>
  <c r="B629" i="4"/>
  <c r="C269" i="4"/>
  <c r="C51" i="4"/>
  <c r="A7" i="4"/>
  <c r="A442" i="4"/>
  <c r="C298" i="4"/>
  <c r="F230" i="4"/>
  <c r="A520" i="4"/>
  <c r="A150" i="4"/>
  <c r="D104" i="4"/>
  <c r="C306" i="4"/>
  <c r="A310" i="4"/>
  <c r="F207" i="4"/>
  <c r="A601" i="4"/>
  <c r="F566" i="4"/>
  <c r="A612" i="4"/>
  <c r="F84" i="4"/>
  <c r="F184" i="4"/>
  <c r="B25" i="4"/>
  <c r="B1183" i="4"/>
  <c r="B350" i="4"/>
  <c r="D295" i="4"/>
  <c r="A61" i="4"/>
  <c r="A207" i="4"/>
  <c r="B255" i="4"/>
  <c r="A171" i="4"/>
  <c r="B78" i="4"/>
  <c r="D216" i="4"/>
  <c r="C17" i="4"/>
  <c r="D560" i="4"/>
  <c r="D206" i="4"/>
  <c r="B155" i="4"/>
  <c r="C331" i="4"/>
  <c r="A294" i="4"/>
  <c r="A15" i="4"/>
  <c r="C69" i="4"/>
  <c r="C314" i="4"/>
  <c r="F116" i="4"/>
  <c r="C527" i="4"/>
  <c r="F415" i="4"/>
  <c r="D134" i="4"/>
  <c r="A166" i="4"/>
  <c r="F170" i="4"/>
  <c r="B714" i="4"/>
  <c r="F150" i="4"/>
  <c r="D469" i="4"/>
  <c r="A36" i="4"/>
  <c r="F66" i="4"/>
  <c r="F496" i="4"/>
  <c r="D116" i="4"/>
  <c r="D663" i="4"/>
  <c r="B712" i="4"/>
  <c r="C793" i="4"/>
  <c r="A397" i="4"/>
  <c r="F593" i="4"/>
  <c r="B121" i="4"/>
  <c r="B35" i="4"/>
  <c r="B41" i="4"/>
  <c r="D501" i="4"/>
  <c r="D391" i="4"/>
  <c r="A183" i="4"/>
  <c r="F196" i="4"/>
  <c r="F468" i="4"/>
  <c r="A433" i="4"/>
  <c r="B207" i="4"/>
  <c r="D266" i="4"/>
  <c r="A134" i="4"/>
  <c r="C265" i="4"/>
  <c r="D636" i="4"/>
  <c r="A11" i="4"/>
  <c r="A17" i="4"/>
  <c r="A8" i="4"/>
  <c r="C81" i="4"/>
  <c r="C277" i="4"/>
  <c r="A361" i="4"/>
  <c r="D314" i="4"/>
  <c r="B770" i="4"/>
  <c r="A617" i="4"/>
  <c r="B559" i="4"/>
  <c r="B458" i="4"/>
  <c r="B1105" i="4"/>
  <c r="A602" i="4"/>
  <c r="C182" i="4"/>
  <c r="C272" i="4"/>
  <c r="D59" i="4"/>
  <c r="F138" i="4"/>
  <c r="D665" i="4"/>
  <c r="C181" i="4"/>
  <c r="A412" i="4"/>
  <c r="B235" i="4"/>
  <c r="C521" i="4"/>
  <c r="B22" i="4"/>
  <c r="D563" i="4"/>
  <c r="C219" i="4"/>
  <c r="B571" i="4"/>
  <c r="C720" i="4"/>
  <c r="F332" i="4"/>
  <c r="F376" i="4"/>
  <c r="D666" i="4"/>
  <c r="B581" i="4"/>
  <c r="A915" i="4"/>
  <c r="F504" i="4"/>
  <c r="C310" i="4"/>
  <c r="F721" i="4"/>
  <c r="B757" i="4"/>
  <c r="C666" i="4"/>
  <c r="B601" i="4"/>
  <c r="F515" i="4"/>
  <c r="B316" i="4"/>
  <c r="D230" i="4"/>
  <c r="B54" i="4"/>
  <c r="A341" i="4"/>
  <c r="C12" i="4"/>
  <c r="A779" i="4"/>
  <c r="B53" i="4"/>
  <c r="C86" i="4"/>
  <c r="A202" i="4"/>
  <c r="A298" i="4"/>
  <c r="B158" i="4"/>
  <c r="F343" i="4"/>
  <c r="A148" i="4"/>
  <c r="B232" i="4"/>
  <c r="C27" i="4"/>
  <c r="F96" i="4"/>
  <c r="A320" i="4"/>
  <c r="C236" i="4"/>
  <c r="C134" i="4"/>
  <c r="F225" i="4"/>
  <c r="C278" i="4"/>
  <c r="A319" i="4"/>
  <c r="F8" i="4"/>
  <c r="D584" i="4"/>
  <c r="C656" i="4"/>
  <c r="A674" i="4"/>
  <c r="C367" i="4"/>
  <c r="A814" i="4"/>
  <c r="F111" i="4"/>
  <c r="B546" i="4"/>
  <c r="D392" i="4"/>
  <c r="D173" i="4"/>
  <c r="A625" i="4"/>
  <c r="C714" i="4"/>
  <c r="A698" i="4"/>
  <c r="C256" i="4"/>
  <c r="A268" i="4"/>
  <c r="A295" i="4"/>
  <c r="F182" i="4"/>
  <c r="B39" i="4"/>
  <c r="F166" i="4"/>
  <c r="A21" i="4"/>
  <c r="C43" i="4"/>
  <c r="F101" i="4"/>
  <c r="A293" i="4"/>
  <c r="A192" i="4"/>
  <c r="C289" i="4"/>
  <c r="B368" i="4"/>
  <c r="A236" i="4"/>
  <c r="A170" i="4"/>
  <c r="C388" i="4"/>
  <c r="F312" i="4"/>
  <c r="C151" i="4"/>
  <c r="F263" i="4"/>
  <c r="B138" i="4"/>
  <c r="A445" i="4"/>
  <c r="F1020" i="4"/>
  <c r="B165" i="4"/>
  <c r="F464" i="4"/>
  <c r="A646" i="4"/>
  <c r="B731" i="4"/>
  <c r="B588" i="4"/>
  <c r="F454" i="4"/>
  <c r="B776" i="4"/>
  <c r="C623" i="4"/>
  <c r="F481" i="4"/>
  <c r="B374" i="4"/>
  <c r="B63" i="4"/>
  <c r="C252" i="4"/>
  <c r="F469" i="4"/>
  <c r="F259" i="4"/>
  <c r="D282" i="4"/>
  <c r="D499" i="4"/>
  <c r="B298" i="4"/>
  <c r="D712" i="4"/>
  <c r="F243" i="4"/>
  <c r="B528" i="4"/>
  <c r="B643" i="4"/>
  <c r="C270" i="4"/>
  <c r="F269" i="4"/>
  <c r="C783" i="4"/>
  <c r="F1163" i="4"/>
  <c r="B491" i="4"/>
  <c r="D246" i="4"/>
  <c r="D705" i="4"/>
  <c r="B792" i="4"/>
  <c r="F438" i="4"/>
  <c r="B50" i="4"/>
  <c r="B938" i="4"/>
  <c r="C486" i="4"/>
  <c r="D150" i="4"/>
  <c r="A786" i="4"/>
  <c r="F149" i="4"/>
  <c r="B108" i="4"/>
  <c r="A174" i="4"/>
  <c r="F60" i="4"/>
  <c r="D460" i="4"/>
  <c r="B425" i="4"/>
  <c r="D268" i="4"/>
  <c r="F322" i="4"/>
  <c r="F370" i="4"/>
  <c r="F134" i="4"/>
  <c r="F311" i="4"/>
  <c r="E418" i="4"/>
  <c r="C234" i="4"/>
</calcChain>
</file>

<file path=xl/sharedStrings.xml><?xml version="1.0" encoding="utf-8"?>
<sst xmlns="http://schemas.openxmlformats.org/spreadsheetml/2006/main" count="28236" uniqueCount="13849">
  <si>
    <t>Пользователь</t>
  </si>
  <si>
    <t>Email</t>
  </si>
  <si>
    <t>Телефон</t>
  </si>
  <si>
    <t>Страна</t>
  </si>
  <si>
    <t>Телеграм</t>
  </si>
  <si>
    <t>ID пользователя</t>
  </si>
  <si>
    <t>Дата создания</t>
  </si>
  <si>
    <t>Title</t>
  </si>
  <si>
    <t>Теги предложений</t>
  </si>
  <si>
    <t>Line Toft</t>
  </si>
  <si>
    <t>Linetj18@gmail.com</t>
  </si>
  <si>
    <t>2021-12-01 00:00:12</t>
  </si>
  <si>
    <t>КОНСПЕКТИРОВАНИЕ лекций ГЕНАДИЯ - December "21</t>
  </si>
  <si>
    <t>2021|Eng|Декабрь|Лекции</t>
  </si>
  <si>
    <t>Ильдар Булатов</t>
  </si>
  <si>
    <t>bulatov@givinschool.org</t>
  </si>
  <si>
    <t>2021-12-01 00:00:15</t>
  </si>
  <si>
    <t>КОНСПЕКТИРОВАНИЕ лекций ГЕНАДИЯ - Декабрь "21</t>
  </si>
  <si>
    <t>2021|Декабрь|Лекции</t>
  </si>
  <si>
    <t>Niklas Milling</t>
  </si>
  <si>
    <t>Niklas.m.nielsen@gmail.com</t>
  </si>
  <si>
    <t>004551894087</t>
  </si>
  <si>
    <t>2021-12-01 00:00:19</t>
  </si>
  <si>
    <t>Елена Рождественская</t>
  </si>
  <si>
    <t>elena@panasolar.net</t>
  </si>
  <si>
    <t>+50762855485</t>
  </si>
  <si>
    <t>2021-12-01 00:00:22</t>
  </si>
  <si>
    <t>Антон Белобородов</t>
  </si>
  <si>
    <t>anton.a.beloborodov@gmail.com</t>
  </si>
  <si>
    <t>2021-12-01 00:00:30</t>
  </si>
  <si>
    <t>Ярослав Мусланов</t>
  </si>
  <si>
    <t>muslanov@givinschool.org</t>
  </si>
  <si>
    <t>2021-12-01 00:00:31</t>
  </si>
  <si>
    <t>ДАРЬЯ ФУРСЕНКО</t>
  </si>
  <si>
    <t>Scarlet_domini@mail.ru</t>
  </si>
  <si>
    <t>2021-12-01 00:00:36</t>
  </si>
  <si>
    <t>Кожевников Андрей</t>
  </si>
  <si>
    <t>sedoy7948@gmail.com</t>
  </si>
  <si>
    <t>+79046816472</t>
  </si>
  <si>
    <t>2021-12-01 00:00:39</t>
  </si>
  <si>
    <t>Ильдар Гибадуллин</t>
  </si>
  <si>
    <t>gibadullin@givinschool.org</t>
  </si>
  <si>
    <t>2021-12-01 00:00:41</t>
  </si>
  <si>
    <t>Алексей Лузганов</t>
  </si>
  <si>
    <t>luzganoff@mail.ru</t>
  </si>
  <si>
    <t>2021-12-01 00:00:42</t>
  </si>
  <si>
    <t>Андрей Мельниченко</t>
  </si>
  <si>
    <t>winstonn@mail.ru</t>
  </si>
  <si>
    <t>2021-12-02 21:41:24</t>
  </si>
  <si>
    <t>Онлайн курс Шаг к Пробуждению №14 4.12 по 14.12</t>
  </si>
  <si>
    <t>2021|Декабрь|онлайн|Шаг к Пробуждению</t>
  </si>
  <si>
    <t>Руслан Заболотец</t>
  </si>
  <si>
    <t>ruslan.zabolotets@yandex.by</t>
  </si>
  <si>
    <t>+375293149947</t>
  </si>
  <si>
    <t>2021-12-02 21:58:55</t>
  </si>
  <si>
    <t>Клуб пробуждения Друзья (2 уровень) - 1 месяц</t>
  </si>
  <si>
    <t>2 уровень|ДШ|онлайн</t>
  </si>
  <si>
    <t>Anja Laugsch</t>
  </si>
  <si>
    <t>anjatanz@aol.com</t>
  </si>
  <si>
    <t>017621469371</t>
  </si>
  <si>
    <t>2021-12-03 00:25:49</t>
  </si>
  <si>
    <t>Онлайн курс Шаг к Пробуждению №14 4-14.12.2021 DEU</t>
  </si>
  <si>
    <t>2021|Deu|Германия|Декабрь|онлайн|Шаг к Пробуждению</t>
  </si>
  <si>
    <t>Анастасия  Доценко</t>
  </si>
  <si>
    <t>Ciaobellaxz@yahoo.com</t>
  </si>
  <si>
    <t>2021-12-04 09:27:55</t>
  </si>
  <si>
    <t>Андрей Соломкин</t>
  </si>
  <si>
    <t>asolomko@bk.ru</t>
  </si>
  <si>
    <t>+79509796909</t>
  </si>
  <si>
    <t>2021-12-04 10:52:37</t>
  </si>
  <si>
    <t>Запись на "Беседу по душам"</t>
  </si>
  <si>
    <t>Беседа</t>
  </si>
  <si>
    <t>Наталья Бабина</t>
  </si>
  <si>
    <t>natasha-n-ba@yandex.ru</t>
  </si>
  <si>
    <t>+79041648182</t>
  </si>
  <si>
    <t>2021-12-05 07:22:08</t>
  </si>
  <si>
    <t>Практика Тишины в Екатеринбурге 8 занятий</t>
  </si>
  <si>
    <t>Екатеринбург|Живое|онлайн|Практика тишины|регулярное</t>
  </si>
  <si>
    <t>Дилорам Гегельман</t>
  </si>
  <si>
    <t>G.diloram@web.de</t>
  </si>
  <si>
    <t>+4917638163077</t>
  </si>
  <si>
    <t>2021-12-05 19:54:19</t>
  </si>
  <si>
    <t>Новогодний фестиваль 29.12.2021-1.01.2022 Бад Майнберг</t>
  </si>
  <si>
    <t>2022|Берлин|Германия|Европа|Живое|Фестиваль|Январь</t>
  </si>
  <si>
    <t>Ольга Дубовик</t>
  </si>
  <si>
    <t>sestra73@mail.ru</t>
  </si>
  <si>
    <t>+375296874555</t>
  </si>
  <si>
    <t>2021-12-06 08:09:35</t>
  </si>
  <si>
    <t>Чайная встреча Разговор по душам Минск 11.12.2021</t>
  </si>
  <si>
    <t>2021|Декабрь|Живое|Минск|чайная встреча</t>
  </si>
  <si>
    <t>2021-12-06 22:12:38</t>
  </si>
  <si>
    <t>Заявка на СЪЕЗД+ФЕСТИВАЛЬ "Мы вместе" 3-8.01.22</t>
  </si>
  <si>
    <t>2022|ДШ|Заявка|онлайн|Съезд|Фестиваль|Январь</t>
  </si>
  <si>
    <t>Александр Морозов</t>
  </si>
  <si>
    <t>yozoff1985@gmail.com</t>
  </si>
  <si>
    <t>+79109648891</t>
  </si>
  <si>
    <t>2021-12-07 11:38:07</t>
  </si>
  <si>
    <t>Заявка на звонок для курса "Парадентальная медитация"</t>
  </si>
  <si>
    <t>Заявка|Парадентальная медитация</t>
  </si>
  <si>
    <t>2021-12-07 11:41:37</t>
  </si>
  <si>
    <t>2021-12-07 12:43:15</t>
  </si>
  <si>
    <t>Антон Голубев</t>
  </si>
  <si>
    <t>anton.m.golubev@gmail.com</t>
  </si>
  <si>
    <t>+79111260887</t>
  </si>
  <si>
    <t>2021-12-07 12:45:00</t>
  </si>
  <si>
    <t>Татьяна Вилькицкая</t>
  </si>
  <si>
    <t>tvilkitskaia@hotmail.com</t>
  </si>
  <si>
    <t>0032498124828</t>
  </si>
  <si>
    <t>2021-12-07 15:43:29</t>
  </si>
  <si>
    <t>ВАСИЛИЙ КАРАЖЕЛЯСКОВ</t>
  </si>
  <si>
    <t>karazhelyaskov1980@mail.ru</t>
  </si>
  <si>
    <t>2021-12-08 10:43:00</t>
  </si>
  <si>
    <t>Daiga Дайга Узбека</t>
  </si>
  <si>
    <t>daigauzbeka@inbox.lv</t>
  </si>
  <si>
    <t>2021-12-08 18:16:05</t>
  </si>
  <si>
    <t xml:space="preserve">Шаг к Пробуждению №5 на латышском Латвия LV 11-18 декабря 2021 года </t>
  </si>
  <si>
    <t>2021|LAT|LV|Декабрь|Латвия|онлайн|Шаг к Пробуждению</t>
  </si>
  <si>
    <t>Дарья Дубовская</t>
  </si>
  <si>
    <t>Dubovskaya-1985@mail.ru</t>
  </si>
  <si>
    <t>2021-12-09 12:09:39</t>
  </si>
  <si>
    <t>НАТАЛИ САРТС</t>
  </si>
  <si>
    <t>wendy99@inbox.lv</t>
  </si>
  <si>
    <t>+353863622432</t>
  </si>
  <si>
    <t>2021-12-09 13:39:33</t>
  </si>
  <si>
    <t>Оксана Самарская</t>
  </si>
  <si>
    <t>O.samarskaya73@gmail.com</t>
  </si>
  <si>
    <t>2021-12-09 16:52:27</t>
  </si>
  <si>
    <t>Клуб пробуждения Друзья (2 уровень) - 2 месяца</t>
  </si>
  <si>
    <t>GUNTA POŠEIKO</t>
  </si>
  <si>
    <t>guntapos@inbox.lv</t>
  </si>
  <si>
    <t>+447452930309</t>
  </si>
  <si>
    <t>2021-12-09 18:11:50</t>
  </si>
  <si>
    <t>2021-12-10 14:46:05</t>
  </si>
  <si>
    <t>Елена Квасова</t>
  </si>
  <si>
    <t>Dolen.100@mail.ru</t>
  </si>
  <si>
    <t>+79005973405</t>
  </si>
  <si>
    <t>2021-12-10 22:08:20</t>
  </si>
  <si>
    <t>Сергей Шевчук</t>
  </si>
  <si>
    <t>Specialist_@ukr.net</t>
  </si>
  <si>
    <t>+380982108532</t>
  </si>
  <si>
    <t>2021-12-11 10:35:43</t>
  </si>
  <si>
    <t>Клуб пробуждения Друзья (2 уровень) - 3 месяца - скидка 7%</t>
  </si>
  <si>
    <t>2021-12-11 17:46:06</t>
  </si>
  <si>
    <t>2021-12-11 18:59:43</t>
  </si>
  <si>
    <t>Светлана Водолажская</t>
  </si>
  <si>
    <t>vodolagskaya@rambler.ru</t>
  </si>
  <si>
    <t>+79184719535</t>
  </si>
  <si>
    <t>2021-12-13 04:35:21</t>
  </si>
  <si>
    <t>Практика тишины в Краснодаре 26.12.21</t>
  </si>
  <si>
    <t>2021|Декабрь|Живое|Краснодар|Практика тишины</t>
  </si>
  <si>
    <t>Наталья Polubatonova</t>
  </si>
  <si>
    <t>pbn108@mail.ru</t>
  </si>
  <si>
    <t>+77772727613</t>
  </si>
  <si>
    <t>2021-12-13 19:43:08</t>
  </si>
  <si>
    <t>Ретрит в РЦ Сочи 12-21 января 2022 (Оплата до 22 декабря)</t>
  </si>
  <si>
    <t>2022|7 дней|Живое|Ретрит|Россия|РЦ|Сочи|УЦ|Январь</t>
  </si>
  <si>
    <t>Максим Temnikov</t>
  </si>
  <si>
    <t>freeze91@mail.ru</t>
  </si>
  <si>
    <t>+79090901008</t>
  </si>
  <si>
    <t>2021-12-13 23:35:09</t>
  </si>
  <si>
    <t>Наталья Тарасова</t>
  </si>
  <si>
    <t>nstrokatova@mail.ru</t>
  </si>
  <si>
    <t>+201123582026</t>
  </si>
  <si>
    <t>2021-12-14 21:35:44</t>
  </si>
  <si>
    <t>2021-12-14 21:46:01</t>
  </si>
  <si>
    <t>РИММА ЛАПТЕВА</t>
  </si>
  <si>
    <t>lapteva_rs@mail.ru</t>
  </si>
  <si>
    <t>+79259142346</t>
  </si>
  <si>
    <t>2021-12-15 00:18:57</t>
  </si>
  <si>
    <t>Жанна Мелис</t>
  </si>
  <si>
    <t>kampitony@gmail.com</t>
  </si>
  <si>
    <t>2021-12-15 00:29:32</t>
  </si>
  <si>
    <t>Новогодний Интенсив Алматы-онлайн 17-19.12.2021</t>
  </si>
  <si>
    <t>2021|3 дня|Алматы|Декабрь|Интенсив|онлайн</t>
  </si>
  <si>
    <t>Baxitli Asemetdinova</t>
  </si>
  <si>
    <t>asamatdinovabaxitli@gmail.com</t>
  </si>
  <si>
    <t>+998905944649</t>
  </si>
  <si>
    <t>2021-12-15 15:26:18</t>
  </si>
  <si>
    <t>Марина Сиказан</t>
  </si>
  <si>
    <t>msikazan@gmail.com</t>
  </si>
  <si>
    <t>+972547759594</t>
  </si>
  <si>
    <t>2021-12-15 19:26:05</t>
  </si>
  <si>
    <t>ЕКАТЕРИНА МОКРЕЦОВА</t>
  </si>
  <si>
    <t>mokretsova@mail.ru</t>
  </si>
  <si>
    <t>2021-12-16 20:28:37</t>
  </si>
  <si>
    <t>Галина Войткевич</t>
  </si>
  <si>
    <t>woydi@list.ru</t>
  </si>
  <si>
    <t>+79031170174</t>
  </si>
  <si>
    <t>2021-12-17 09:25:08</t>
  </si>
  <si>
    <t>Александр Каштанов</t>
  </si>
  <si>
    <t>Ok8828@gmail.com</t>
  </si>
  <si>
    <t>+380508424999</t>
  </si>
  <si>
    <t>2021-12-18 10:36:36</t>
  </si>
  <si>
    <t>Международный ретрит 14-21.1.2022 Украина 16350р</t>
  </si>
  <si>
    <t>2022|7 дней|Европа|Живое|Киев|Ретрит|Украина|Январь</t>
  </si>
  <si>
    <t>2021-12-18 14:27:40</t>
  </si>
  <si>
    <t>ретрит ЕВРОПЕЙСКИЙ 14-21.1.2022 Германия (550€)в номере на двоих</t>
  </si>
  <si>
    <t>2022|7 дней|Германия|Европа|Живое|Ретрит|Январь</t>
  </si>
  <si>
    <t>Евгений Голдобин</t>
  </si>
  <si>
    <t>ps100es@gmail.com</t>
  </si>
  <si>
    <t>2021-12-18 21:36:34</t>
  </si>
  <si>
    <t>Lydia Gorstein</t>
  </si>
  <si>
    <t>lydiagorstein@gmail.com</t>
  </si>
  <si>
    <t>2021-12-19 13:55:20</t>
  </si>
  <si>
    <t xml:space="preserve">Друзья. Базовый уровень (ежемесячная платная подписка) </t>
  </si>
  <si>
    <t>1 уровень|Базовый|ДШ|онлайн</t>
  </si>
  <si>
    <t>Катя Белякова</t>
  </si>
  <si>
    <t>katefromrus@gmail.com</t>
  </si>
  <si>
    <t>+79500233955</t>
  </si>
  <si>
    <t>2021-12-21 11:08:13</t>
  </si>
  <si>
    <t>Живая "Практика тишины" г. Санкт-Петербург (регулярные занятия)</t>
  </si>
  <si>
    <t>Живое|Питер|Практика тишины|Регулярные занятия|Санкт-Петербург</t>
  </si>
  <si>
    <t>2021-12-22 00:27:05</t>
  </si>
  <si>
    <t>Чайная встреча Новогодний огонек Минск 25.12.2021</t>
  </si>
  <si>
    <t>2021-12-22 14:52:53</t>
  </si>
  <si>
    <t>ВЯЧЕСЛАВ ПЛЫШЕВСКИЙ</t>
  </si>
  <si>
    <t>Slava.pls@mail.ru</t>
  </si>
  <si>
    <t>2021-12-22 15:45:23</t>
  </si>
  <si>
    <t>Ирина Федосеева</t>
  </si>
  <si>
    <t>irinafeorif@gmail.com</t>
  </si>
  <si>
    <t>2021-12-23 16:43:02</t>
  </si>
  <si>
    <t>Международный ретрит 14-21.1.2022 Украина (6500 Гривен) (оплата до 29.12.2021)</t>
  </si>
  <si>
    <t>2022|7 дней|Европа|Живое|Киев|Ретрит|Украина</t>
  </si>
  <si>
    <t>Даниил Коробов</t>
  </si>
  <si>
    <t>4daniilka87dan@gmail.com</t>
  </si>
  <si>
    <t>+79138049867</t>
  </si>
  <si>
    <t>2021-12-24 09:18:32</t>
  </si>
  <si>
    <t>2021-12-24 21:01:12</t>
  </si>
  <si>
    <t>Новогодний вечер в Givin School Москва 30.12.2021</t>
  </si>
  <si>
    <t>2021|Встреча|Декабрь|Живое|Москва</t>
  </si>
  <si>
    <t>Галина Коровина</t>
  </si>
  <si>
    <t>Korgv49@mail.ru</t>
  </si>
  <si>
    <t>+79049860544</t>
  </si>
  <si>
    <t>2021-12-25 13:02:45</t>
  </si>
  <si>
    <t>2021-12-25 13:18:59</t>
  </si>
  <si>
    <t>2021-12-25 13:25:19</t>
  </si>
  <si>
    <t>Мила грабовская</t>
  </si>
  <si>
    <t>olyromashka@gmail.com</t>
  </si>
  <si>
    <t>0634037853</t>
  </si>
  <si>
    <t>2021-12-25 17:43:19</t>
  </si>
  <si>
    <t>Антуан Дибан</t>
  </si>
  <si>
    <t>wwwantuandiban@gmail.com</t>
  </si>
  <si>
    <t>+79182718827</t>
  </si>
  <si>
    <t>2021-12-26 10:55:05</t>
  </si>
  <si>
    <t>Димитрий Вагнер</t>
  </si>
  <si>
    <t>dimitri_wagner@mail.ru</t>
  </si>
  <si>
    <t>2021-12-26 14:23:41</t>
  </si>
  <si>
    <t>Наталия Кобелева</t>
  </si>
  <si>
    <t>Kobeleva7214@gmail.com</t>
  </si>
  <si>
    <t>2021-12-27 12:43:03</t>
  </si>
  <si>
    <t>Елена Кутусова</t>
  </si>
  <si>
    <t>Ekutusova@bk.ru</t>
  </si>
  <si>
    <t>2021-12-27 13:25:27</t>
  </si>
  <si>
    <t>Чайная встреча Жить сердцем Питер 30.12.2021</t>
  </si>
  <si>
    <t>2021|Живое|Октябрь|Питер|чайная встреча</t>
  </si>
  <si>
    <t>Сайёра Аллаева</t>
  </si>
  <si>
    <t>say1981@bk.ru</t>
  </si>
  <si>
    <t>+998909326040</t>
  </si>
  <si>
    <t>2021-12-27 19:31:37</t>
  </si>
  <si>
    <t>Домашний интенсив "Прорыв в настоящий момент" (ДИ2-12)  декабря 2021</t>
  </si>
  <si>
    <t>2021|Декабрь|ДИ|онлайн|Учебный курс</t>
  </si>
  <si>
    <t>Алексей Диченко</t>
  </si>
  <si>
    <t>evgduna@mail.ru</t>
  </si>
  <si>
    <t>2021-12-28 10:53:19</t>
  </si>
  <si>
    <t>Olga Leis</t>
  </si>
  <si>
    <t>Olja_nt@gmx.de</t>
  </si>
  <si>
    <t>015758311026</t>
  </si>
  <si>
    <t>2021-12-28 12:41:07</t>
  </si>
  <si>
    <t>2022-01-01 10:02:28</t>
  </si>
  <si>
    <t>КОНСПЕКТИРОВАНИЕ лекций ГЕНАДИЯ - Январь"22</t>
  </si>
  <si>
    <t>2022|Лекции|Январь</t>
  </si>
  <si>
    <t>2022-01-01 10:02:29</t>
  </si>
  <si>
    <t>2022-01-01 10:02:36</t>
  </si>
  <si>
    <t>2022-01-01 10:02:43</t>
  </si>
  <si>
    <t>КОНСПЕКТИРОВАНИЕ лекций ГЕНАДИЯ - January"22</t>
  </si>
  <si>
    <t>2022|Eng|Лекции|Январь</t>
  </si>
  <si>
    <t>2022-01-01 10:02:44</t>
  </si>
  <si>
    <t>2022-01-01 10:02:51</t>
  </si>
  <si>
    <t>2022-01-01 10:02:53</t>
  </si>
  <si>
    <t>2022-01-02 21:25:12</t>
  </si>
  <si>
    <t>2022-01-03 16:58:28</t>
  </si>
  <si>
    <t>Ретрит в РЦ Сочи 19-27 марта 2022 (Оплата до 6 марта)</t>
  </si>
  <si>
    <t>2022|7 дней|Живое|Март|Ретрит|Россия|Сочи</t>
  </si>
  <si>
    <t>Татьяна Бразовская</t>
  </si>
  <si>
    <t>brazovskaya@tut.by</t>
  </si>
  <si>
    <t>2022-01-03 17:34:30</t>
  </si>
  <si>
    <t>Валерия Артемьева</t>
  </si>
  <si>
    <t>Valeryartem@gmail.com</t>
  </si>
  <si>
    <t>2022-01-03 19:55:41</t>
  </si>
  <si>
    <t>Iveta Cimiņa</t>
  </si>
  <si>
    <t>ivetacimina@inbox.lv</t>
  </si>
  <si>
    <t>2022-01-04 00:24:32</t>
  </si>
  <si>
    <t xml:space="preserve">ретрит ЕВРОПЕЙСКИЙ 14-21.1.2022 Латвия (цена- 390€) </t>
  </si>
  <si>
    <t>2022|7 дней|Европа|Живое|Латвия|Ретрит|Январь</t>
  </si>
  <si>
    <t>Светлана Павленко</t>
  </si>
  <si>
    <t>s9112151024@icloud.com</t>
  </si>
  <si>
    <t>2022-01-04 01:32:12</t>
  </si>
  <si>
    <t>НАТАЛЬЯ МИРОНЮК</t>
  </si>
  <si>
    <t>mirnatali52@mail.ru</t>
  </si>
  <si>
    <t>2022-01-04 11:18:47</t>
  </si>
  <si>
    <t>Игорь Микич</t>
  </si>
  <si>
    <t>mukuch.ihor@gmail.com</t>
  </si>
  <si>
    <t>2022-01-05 10:36:35</t>
  </si>
  <si>
    <t>Вероника Ворожбит</t>
  </si>
  <si>
    <t>Vvorozhbit@yahoo.com</t>
  </si>
  <si>
    <t>+380503829000</t>
  </si>
  <si>
    <t>2022-01-05 12:22:36</t>
  </si>
  <si>
    <t>Наталия Грэзвик</t>
  </si>
  <si>
    <t>natalia.grasvik@gmail.com</t>
  </si>
  <si>
    <t>2022-01-06 00:36:44</t>
  </si>
  <si>
    <t>Вебинар-батл Я уже все знаю! Мне не нужна Школа 9.01.2022</t>
  </si>
  <si>
    <t>2022|Вебинар|онлайн|Январь</t>
  </si>
  <si>
    <t>Виктория Крылова</t>
  </si>
  <si>
    <t>v-stog@mail.ru</t>
  </si>
  <si>
    <t>2022-01-06 00:57:22</t>
  </si>
  <si>
    <t>Наталья Ульянова</t>
  </si>
  <si>
    <t>nataliaulyanova77@icloud.com</t>
  </si>
  <si>
    <t>+79095810073</t>
  </si>
  <si>
    <t>2022-01-06 20:21:17</t>
  </si>
  <si>
    <t>2022-01-07 00:27:16</t>
  </si>
  <si>
    <t>2022-01-07 01:18:40</t>
  </si>
  <si>
    <t>Юра Гурский</t>
  </si>
  <si>
    <t>uraalhimik888@gmail.com</t>
  </si>
  <si>
    <t>+380668558409</t>
  </si>
  <si>
    <t>2022-01-07 22:59:52</t>
  </si>
  <si>
    <t>Пётр Проц</t>
  </si>
  <si>
    <t>prots_p@hotmail.com</t>
  </si>
  <si>
    <t>2022-01-08 12:05:08</t>
  </si>
  <si>
    <t>2022-01-08 21:34:56</t>
  </si>
  <si>
    <t>Мария Фокина</t>
  </si>
  <si>
    <t>maria.fokina567@gmail.com</t>
  </si>
  <si>
    <t>2022-01-09 13:08:14</t>
  </si>
  <si>
    <t>Ретрит в РЦ Сочи 14-21 января 2022  (Оплата с 5 января по 11 января)</t>
  </si>
  <si>
    <t>Светлана Кононец</t>
  </si>
  <si>
    <t>con1310@yandex.ru</t>
  </si>
  <si>
    <t>+79522124634</t>
  </si>
  <si>
    <t>2022-01-09 16:29:59</t>
  </si>
  <si>
    <t>Антон Анучин</t>
  </si>
  <si>
    <t>a.anton.b@gmail.com</t>
  </si>
  <si>
    <t>+79097979378</t>
  </si>
  <si>
    <t>2022-01-10 21:08:33</t>
  </si>
  <si>
    <t>Денис Кравченко</t>
  </si>
  <si>
    <t>Denisrusos@mail.ru</t>
  </si>
  <si>
    <t>+79323381438</t>
  </si>
  <si>
    <t>2022-01-11 10:46:28</t>
  </si>
  <si>
    <t>чайная встреча регионы Урал 8.1.2022</t>
  </si>
  <si>
    <t>2022|Живое|Урал|чайная встреча|Январь</t>
  </si>
  <si>
    <t>Радик Насыров</t>
  </si>
  <si>
    <t>radik04@gmail.com</t>
  </si>
  <si>
    <t>2022-01-12 11:38:05</t>
  </si>
  <si>
    <t>2022-01-12 22:44:58</t>
  </si>
  <si>
    <t>2022-01-12 23:10:26</t>
  </si>
  <si>
    <t>Leila Letin</t>
  </si>
  <si>
    <t>arekhova@mail.ru</t>
  </si>
  <si>
    <t>+4915788281999</t>
  </si>
  <si>
    <t>2022-01-13 12:36:12</t>
  </si>
  <si>
    <t>Беседа - сатсанг с Екатериной Сосниной: Счастье внутри нас 15.1.22</t>
  </si>
  <si>
    <t>2022|Москва|онлайн|сатсанг|Январь</t>
  </si>
  <si>
    <t>ВЛАДИМИР ЗИНЬКОВСКИЙ</t>
  </si>
  <si>
    <t>Putyvl@mail.ru</t>
  </si>
  <si>
    <t>2022-01-13 20:01:52</t>
  </si>
  <si>
    <t>Екатерина Макеева</t>
  </si>
  <si>
    <t>makeeva.catya2017@yandex.ru</t>
  </si>
  <si>
    <t>+79222242430</t>
  </si>
  <si>
    <t>2022-01-14 06:35:39</t>
  </si>
  <si>
    <t>Жанна Гармаш</t>
  </si>
  <si>
    <t>garmash10@yandex.ru</t>
  </si>
  <si>
    <t>2022-01-14 15:53:37</t>
  </si>
  <si>
    <t>Погружение 2.0 "Пакет Базовый" 15.01 - 06.02.2022 (поток 3)</t>
  </si>
  <si>
    <t>2022|АнтиЭго|онлайн|Погружение|Учебный курс|Февраль</t>
  </si>
  <si>
    <t>роман Белдиман</t>
  </si>
  <si>
    <t>nicolai.roma@mail.ru</t>
  </si>
  <si>
    <t>+37367388333</t>
  </si>
  <si>
    <t>2022-01-14 22:32:26</t>
  </si>
  <si>
    <t>Mirosław Białecki</t>
  </si>
  <si>
    <t>miroslaw.bialecki.mb@gmail.com</t>
  </si>
  <si>
    <t>+48607165777</t>
  </si>
  <si>
    <t>2022-01-15 13:37:34</t>
  </si>
  <si>
    <t>николай звягин</t>
  </si>
  <si>
    <t>tanikozv27@gmail.com</t>
  </si>
  <si>
    <t>2022-01-15 15:23:05</t>
  </si>
  <si>
    <t>2022-01-15 16:58:00</t>
  </si>
  <si>
    <t>2022-01-15 18:45:14</t>
  </si>
  <si>
    <t>ТАТЬЯНА ПУРВИНА</t>
  </si>
  <si>
    <t>t.beni@yandex.ru</t>
  </si>
  <si>
    <t>2022-01-16 18:17:30</t>
  </si>
  <si>
    <t>Ардак Бейсенова</t>
  </si>
  <si>
    <t>beisenovaardak@gmail.com</t>
  </si>
  <si>
    <t>+77006961384</t>
  </si>
  <si>
    <t>2022-01-16 20:05:28</t>
  </si>
  <si>
    <t>Интенсив Дальний Восток 28-30.01.2022</t>
  </si>
  <si>
    <t>2022|Дальний восток|Живое|Интенсив|Россия|Январь</t>
  </si>
  <si>
    <t>Ирина Рудавина</t>
  </si>
  <si>
    <t>6vkusov@gmail.com</t>
  </si>
  <si>
    <t>2022-01-16 20:28:13</t>
  </si>
  <si>
    <t>2022-01-17 14:21:01</t>
  </si>
  <si>
    <t>Ольга Пинчук</t>
  </si>
  <si>
    <t>Vivocom@mail.ru</t>
  </si>
  <si>
    <t>2022-01-17 15:41:04</t>
  </si>
  <si>
    <t>Живая "Практика тишины" Алматы (регулярные занятия)</t>
  </si>
  <si>
    <t>Алматы|Живое|Практика тишины|Регулярные занятия</t>
  </si>
  <si>
    <t>2022-01-17 15:45:27</t>
  </si>
  <si>
    <t>2022-01-17 15:57:17</t>
  </si>
  <si>
    <t>2022-01-17 19:58:35</t>
  </si>
  <si>
    <t>2022-01-18 11:10:19</t>
  </si>
  <si>
    <t>2022-01-18 12:08:26</t>
  </si>
  <si>
    <t>2022-01-18 12:18:40</t>
  </si>
  <si>
    <t>2022-01-18 19:05:39</t>
  </si>
  <si>
    <t>2022-01-20 03:10:05</t>
  </si>
  <si>
    <t>2022-01-20 03:14:52</t>
  </si>
  <si>
    <t>2022-01-20 03:17:17</t>
  </si>
  <si>
    <t>2022-01-20 03:32:25</t>
  </si>
  <si>
    <t>2022-01-20 03:51:41</t>
  </si>
  <si>
    <t>2022-01-20 04:13:36</t>
  </si>
  <si>
    <t>2022-01-20 04:50:57</t>
  </si>
  <si>
    <t>2022-01-20 05:06:39</t>
  </si>
  <si>
    <t>Levan Arsenishvili</t>
  </si>
  <si>
    <t>Levani.arsenishvili@gmail.com</t>
  </si>
  <si>
    <t>+995571230032</t>
  </si>
  <si>
    <t>2022-01-22 03:15:35</t>
  </si>
  <si>
    <t>Онлайн курс Шаг к Пробуждению №15 29.1-8.02.22 Пакет стандартный</t>
  </si>
  <si>
    <t>2022|онлайн|Шаг к Пробуждению|Январь</t>
  </si>
  <si>
    <t>2022-01-22 10:04:15</t>
  </si>
  <si>
    <t>Арина Баранова</t>
  </si>
  <si>
    <t>Arina-baranova@rambler.ru</t>
  </si>
  <si>
    <t>+79043302468</t>
  </si>
  <si>
    <t>2022-01-22 17:11:09</t>
  </si>
  <si>
    <t>2022-01-23 01:33:14</t>
  </si>
  <si>
    <t>Луиза Камалова</t>
  </si>
  <si>
    <t>Luizz55@yandex.ru</t>
  </si>
  <si>
    <t>+79501962256</t>
  </si>
  <si>
    <t>2022-01-23 11:31:53</t>
  </si>
  <si>
    <t>Практика Тишины в Екатеринбурге одно занятие</t>
  </si>
  <si>
    <t>ЯРОСЛАВ КОВАЛЬЧУК</t>
  </si>
  <si>
    <t>iso9100@Mail.ru</t>
  </si>
  <si>
    <t>2022-01-24 00:32:52</t>
  </si>
  <si>
    <t>Клуб пробуждения Друзья (2 уровень) - 6 месяцев - скидка 13%</t>
  </si>
  <si>
    <t>Денис Полозенко</t>
  </si>
  <si>
    <t>Dpolozenko@mail.ru</t>
  </si>
  <si>
    <t>2022-01-24 17:32:19</t>
  </si>
  <si>
    <t>Инга Габ</t>
  </si>
  <si>
    <t>Inga250@yandex.ru</t>
  </si>
  <si>
    <t>+375336958519</t>
  </si>
  <si>
    <t>2022-01-24 18:56:11</t>
  </si>
  <si>
    <t>Практика Тишины общая платная</t>
  </si>
  <si>
    <t>онлайн|Практика тишины</t>
  </si>
  <si>
    <t>2022-01-24 19:40:28</t>
  </si>
  <si>
    <t>2022-01-24 19:52:49</t>
  </si>
  <si>
    <t>Денис Михей</t>
  </si>
  <si>
    <t>Denis.mihey@mail.ru</t>
  </si>
  <si>
    <t>+375296930990</t>
  </si>
  <si>
    <t>2022-01-24 19:53:16</t>
  </si>
  <si>
    <t>2022-01-24 20:04:30</t>
  </si>
  <si>
    <t>2022-01-24 22:14:33</t>
  </si>
  <si>
    <t>Ретрит "Проектная деятельность" для участников ретритов</t>
  </si>
  <si>
    <t>2022|АнтиЭго|онлайн|Погружение|Ретрит|Учебный курс|Январь</t>
  </si>
  <si>
    <t>2022-01-24 22:14:34</t>
  </si>
  <si>
    <t>2022-01-24 22:14:37</t>
  </si>
  <si>
    <t>2022-01-24 22:14:39</t>
  </si>
  <si>
    <t>Жасмин Приступа</t>
  </si>
  <si>
    <t>jasminpristupa@icloud.com</t>
  </si>
  <si>
    <t>+79114231875</t>
  </si>
  <si>
    <t>2022-01-24 22:30:48</t>
  </si>
  <si>
    <t>2022-01-25 07:34:09</t>
  </si>
  <si>
    <t>2022-01-25 07:34:11</t>
  </si>
  <si>
    <t>2022-01-25 07:34:13</t>
  </si>
  <si>
    <t>2022-01-25 07:34:15</t>
  </si>
  <si>
    <t>2022-01-25 07:34:16</t>
  </si>
  <si>
    <t>brazovskaya2013@gmail.com</t>
  </si>
  <si>
    <t>+375296783690</t>
  </si>
  <si>
    <t>2022-01-25 20:01:46</t>
  </si>
  <si>
    <t>2022-01-25 22:34:44</t>
  </si>
  <si>
    <t>2022-01-26 00:19:56</t>
  </si>
  <si>
    <t>Онлайн Интенсив 29-30 января 2022 Европа</t>
  </si>
  <si>
    <t>2022|Европа|Интенсив|онлайн|Январь</t>
  </si>
  <si>
    <t>2022-01-26 09:14:06</t>
  </si>
  <si>
    <t>Елена Синюкова</t>
  </si>
  <si>
    <t>kolchina1610@gmail.com</t>
  </si>
  <si>
    <t>+351932917988</t>
  </si>
  <si>
    <t>2022-01-26 18:26:27</t>
  </si>
  <si>
    <t>2022-01-27 21:14:28</t>
  </si>
  <si>
    <t>Курс подготовки к Парадентальной медитации</t>
  </si>
  <si>
    <t>Парадентальная медитация|Учебный курс</t>
  </si>
  <si>
    <t>2022-01-27 21:33:55</t>
  </si>
  <si>
    <t>Курс подготовки к Парадентальной медитации (доступ к 1 уроку)</t>
  </si>
  <si>
    <t>2022-01-28 19:28:35</t>
  </si>
  <si>
    <t>2022-01-28 19:49:53</t>
  </si>
  <si>
    <t>Александр Кучинский</t>
  </si>
  <si>
    <t>zubrania@gmail.com</t>
  </si>
  <si>
    <t>+7 (918) 996-76-93</t>
  </si>
  <si>
    <t>2022-01-28 23:45:33</t>
  </si>
  <si>
    <t>2022-01-29 01:35:55</t>
  </si>
  <si>
    <t>Елана Полетаева</t>
  </si>
  <si>
    <t>007-072365@mail.ru</t>
  </si>
  <si>
    <t>+79193859496</t>
  </si>
  <si>
    <t>2022-01-29 19:25:10</t>
  </si>
  <si>
    <t>Выездной ретрит Тюмень 11-13 марта 2022 (оплата до 28 февраля)</t>
  </si>
  <si>
    <t>2022|Городской|Живое|Март|Ретрит|Тюмень</t>
  </si>
  <si>
    <t>Артём Бурченко</t>
  </si>
  <si>
    <t>burcenkoartem4@gmail.com</t>
  </si>
  <si>
    <t>0714534093</t>
  </si>
  <si>
    <t>2022-01-29 23:34:02</t>
  </si>
  <si>
    <t>2022-01-30 12:08:20</t>
  </si>
  <si>
    <t>2022-01-30 19:22:14</t>
  </si>
  <si>
    <t>2022-01-31 12:05:47</t>
  </si>
  <si>
    <t>2022-01-31 14:56:56</t>
  </si>
  <si>
    <t>2022-01-31 15:13:07</t>
  </si>
  <si>
    <t>Ирина Мутина</t>
  </si>
  <si>
    <t>dou_83_ku@mail.ru</t>
  </si>
  <si>
    <t>2022-01-31 17:24:25</t>
  </si>
  <si>
    <t>Наталья Кулишова</t>
  </si>
  <si>
    <t>Net-67@mail.ru</t>
  </si>
  <si>
    <t>+79153580960</t>
  </si>
  <si>
    <t>2022-01-31 20:53:42</t>
  </si>
  <si>
    <t>2022-02-01 10:05:08</t>
  </si>
  <si>
    <t>КОНСПЕКТИРОВАНИЕ лекций ГЕНАДИЯ - Февраль "22</t>
  </si>
  <si>
    <t>2022|Лекции|Февраль</t>
  </si>
  <si>
    <t>2022-02-01 10:05:13</t>
  </si>
  <si>
    <t>2022-02-01 10:05:15</t>
  </si>
  <si>
    <t>2022-02-01 10:05:16</t>
  </si>
  <si>
    <t>2022-02-01 10:05:20</t>
  </si>
  <si>
    <t>2022-02-01 10:05:29</t>
  </si>
  <si>
    <t>Владимир Захаров</t>
  </si>
  <si>
    <t>zakhar-54@mail.ru</t>
  </si>
  <si>
    <t>+79237402671</t>
  </si>
  <si>
    <t>2022-02-01 14:33:41</t>
  </si>
  <si>
    <t>Неля Неля Камалова</t>
  </si>
  <si>
    <t>lalitalila.74@gmail.com</t>
  </si>
  <si>
    <t>+79191102020</t>
  </si>
  <si>
    <t>2022-02-02 14:44:57</t>
  </si>
  <si>
    <t>2022-02-02 14:51:17</t>
  </si>
  <si>
    <t>АнтиЭго 2.0 "Пакет Базовый" 12.02 - 06.03.2022 (поток 1)</t>
  </si>
  <si>
    <t>2022-02-02 18:52:24</t>
  </si>
  <si>
    <t>Наталья Малыш</t>
  </si>
  <si>
    <t>nataly.sh8@gmail.com</t>
  </si>
  <si>
    <t>+972504757104</t>
  </si>
  <si>
    <t>2022-02-03 11:08:01</t>
  </si>
  <si>
    <t>Вебинар с Никитой Бородулиным 11.02.2022 часть1</t>
  </si>
  <si>
    <t>2022|Вебинар|онлайн|Февраль</t>
  </si>
  <si>
    <t>2022-02-03 17:59:32</t>
  </si>
  <si>
    <t>2022-02-04 12:30:28</t>
  </si>
  <si>
    <t>2022-02-04 17:21:07</t>
  </si>
  <si>
    <t>2022-02-04 19:44:57</t>
  </si>
  <si>
    <t>Константин Гапеев</t>
  </si>
  <si>
    <t>konstantingapeev@ukr.net</t>
  </si>
  <si>
    <t>+380931916799</t>
  </si>
  <si>
    <t>2022-02-05 09:06:37</t>
  </si>
  <si>
    <t>Марат Брызгин</t>
  </si>
  <si>
    <t>marat.bryzgin@mail.ru</t>
  </si>
  <si>
    <t>+79384405253</t>
  </si>
  <si>
    <t>2022-02-06 00:21:45</t>
  </si>
  <si>
    <t>2022-02-06 12:21:31</t>
  </si>
  <si>
    <t>2022-02-06 17:18:03</t>
  </si>
  <si>
    <t>2022-02-07 11:38:48</t>
  </si>
  <si>
    <t>2022-02-07 13:06:13</t>
  </si>
  <si>
    <t>2022-02-07 14:16:52</t>
  </si>
  <si>
    <t>Алексей Кокин</t>
  </si>
  <si>
    <t>ak37tender@gmail.com</t>
  </si>
  <si>
    <t>2022-02-07 14:18:54</t>
  </si>
  <si>
    <t>2022-02-07 17:08:23</t>
  </si>
  <si>
    <t>2022-02-07 18:34:41</t>
  </si>
  <si>
    <t>Вебинар все о ретрите 12.2.2022</t>
  </si>
  <si>
    <t>Faleeva Karina</t>
  </si>
  <si>
    <t>b.minnie.g@bk.ru</t>
  </si>
  <si>
    <t>+79118381258</t>
  </si>
  <si>
    <t>2022-02-07 18:37:58</t>
  </si>
  <si>
    <t>2022-02-07 19:28:51</t>
  </si>
  <si>
    <t>Онлайн Интенсив Дальний Восток 25-27.02.2022 (80€)</t>
  </si>
  <si>
    <t>2022|Дальний восток|Интенсив|онлайн|Февраль</t>
  </si>
  <si>
    <t>2022-02-08 09:41:08</t>
  </si>
  <si>
    <t>Интенсив онлайн 11-13.02.2022</t>
  </si>
  <si>
    <t>2022|Интенсив|онлайн|Февраль</t>
  </si>
  <si>
    <t>Elena Sedykh</t>
  </si>
  <si>
    <t>feya.ellina@gmail.com</t>
  </si>
  <si>
    <t>2022-02-08 12:11:52</t>
  </si>
  <si>
    <t>Anna Русановская</t>
  </si>
  <si>
    <t>ladyany@mail.ru</t>
  </si>
  <si>
    <t>2022-02-08 14:50:42</t>
  </si>
  <si>
    <t>Лилия Язданова</t>
  </si>
  <si>
    <t>mini-liya@mail.ru</t>
  </si>
  <si>
    <t>+79374988858</t>
  </si>
  <si>
    <t>2022-02-08 18:04:40</t>
  </si>
  <si>
    <t>Валерий Попеску</t>
  </si>
  <si>
    <t>valerii123321popesku@gmail.com</t>
  </si>
  <si>
    <t>+37378217625</t>
  </si>
  <si>
    <t>2022-02-08 18:13:01</t>
  </si>
  <si>
    <t>Наталья Давыдова тест</t>
  </si>
  <si>
    <t>Natalidavydova2013@yandex.ru</t>
  </si>
  <si>
    <t>+79166475291</t>
  </si>
  <si>
    <t>2022-02-08 22:17:10</t>
  </si>
  <si>
    <t>USA Челлендж Тишина</t>
  </si>
  <si>
    <t>2022|USA|онлайн|Февраль|Челлендж</t>
  </si>
  <si>
    <t>Светлана Ткач</t>
  </si>
  <si>
    <t>Fatinia1973@ukr.net</t>
  </si>
  <si>
    <t>2022-02-08 23:46:43</t>
  </si>
  <si>
    <t>Roman Roman</t>
  </si>
  <si>
    <t>blackroman09@gmail.com</t>
  </si>
  <si>
    <t>2022-02-09 00:07:07</t>
  </si>
  <si>
    <t>Вячеслав Тимофеев</t>
  </si>
  <si>
    <t>nsk54tim@gmail.com</t>
  </si>
  <si>
    <t>+79138137334</t>
  </si>
  <si>
    <t>2022-02-09 07:29:34</t>
  </si>
  <si>
    <t>Виталий Ветлугин</t>
  </si>
  <si>
    <t>21e@ukr.net</t>
  </si>
  <si>
    <t>+380984416342</t>
  </si>
  <si>
    <t>2022-02-09 11:36:50</t>
  </si>
  <si>
    <t>2022-02-09 11:43:28</t>
  </si>
  <si>
    <t>Сообщество ДВ внутренний чат</t>
  </si>
  <si>
    <t>2022|Дальний восток|онлайн|регулярно|сообщество</t>
  </si>
  <si>
    <t>2022-02-09 16:13:16</t>
  </si>
  <si>
    <t>Elena -</t>
  </si>
  <si>
    <t>el_sl@mail.ru</t>
  </si>
  <si>
    <t>+79154714919</t>
  </si>
  <si>
    <t>2022-02-09 16:19:58</t>
  </si>
  <si>
    <t>2022-02-09 16:22:18</t>
  </si>
  <si>
    <t>2022-02-09 18:32:34</t>
  </si>
  <si>
    <t>2022-02-09 19:08:18</t>
  </si>
  <si>
    <t xml:space="preserve">Онлайн Интенсив Дальний Восток 25-27.02.2022 </t>
  </si>
  <si>
    <t>2022-02-09 19:11:31</t>
  </si>
  <si>
    <t>Анастасия Белянина</t>
  </si>
  <si>
    <t>Nastena27@yandex.ru</t>
  </si>
  <si>
    <t>2022-02-09 20:56:50</t>
  </si>
  <si>
    <t>2022-02-09 21:33:06</t>
  </si>
  <si>
    <t>Выездной ретрит Воронеж-Липецк 25-27.2.2022</t>
  </si>
  <si>
    <t>2022|воронеж|Живое|Липецк|Ретрит|Февраль</t>
  </si>
  <si>
    <t>2022-02-09 23:29:22</t>
  </si>
  <si>
    <t>2022-02-10 12:17:48</t>
  </si>
  <si>
    <t>2022-02-10 15:55:49</t>
  </si>
  <si>
    <t>Любовь Занова</t>
  </si>
  <si>
    <t>zanovalubov@gmail.com</t>
  </si>
  <si>
    <t>+998971407397</t>
  </si>
  <si>
    <t>2022-02-10 18:27:30</t>
  </si>
  <si>
    <t>2022-02-10 19:20:43</t>
  </si>
  <si>
    <t>2022-02-10 20:28:24</t>
  </si>
  <si>
    <t>2022-02-10 23:06:47</t>
  </si>
  <si>
    <t>Городской ретрит Москва 18-20.02.2022</t>
  </si>
  <si>
    <t>2022|Городской|Живое|Москва|Ретрит|Февраль</t>
  </si>
  <si>
    <t>Александр Мищенко</t>
  </si>
  <si>
    <t>sominion@mail.ru</t>
  </si>
  <si>
    <t>2022-02-10 23:37:33</t>
  </si>
  <si>
    <t>Veronica Druta</t>
  </si>
  <si>
    <t>Veronica.druta@gmail.com</t>
  </si>
  <si>
    <t>0782555302</t>
  </si>
  <si>
    <t>2022-02-11 00:07:20</t>
  </si>
  <si>
    <t>2022-02-11 00:07:21</t>
  </si>
  <si>
    <t>2022-02-11 11:26:43</t>
  </si>
  <si>
    <t>2022-02-11 16:37:42</t>
  </si>
  <si>
    <t>Нафиса Рисбаева</t>
  </si>
  <si>
    <t>nafisarisbaeva369@gmail.com</t>
  </si>
  <si>
    <t>2022-02-11 16:39:26</t>
  </si>
  <si>
    <t>2022-02-11 17:06:52</t>
  </si>
  <si>
    <t>Николай Череасов</t>
  </si>
  <si>
    <t>zvezdolet0@mail.ru</t>
  </si>
  <si>
    <t>2022-02-11 17:44:01</t>
  </si>
  <si>
    <t>валентина Балакина</t>
  </si>
  <si>
    <t>chelmira48@mail.ru</t>
  </si>
  <si>
    <t>+79133986053</t>
  </si>
  <si>
    <t>2022-02-11 18:00:28</t>
  </si>
  <si>
    <t>Юлианна Кучай</t>
  </si>
  <si>
    <t>yulianna.kuchai@gmail.com</t>
  </si>
  <si>
    <t>+34677657468</t>
  </si>
  <si>
    <t>2022-02-11 18:52:34</t>
  </si>
  <si>
    <t>Дина Алфёрова</t>
  </si>
  <si>
    <t>dina802004@mail.ru</t>
  </si>
  <si>
    <t>2022-02-11 19:31:58</t>
  </si>
  <si>
    <t>Ирина Пузравина</t>
  </si>
  <si>
    <t>Puzravina.ira@yandex.ru</t>
  </si>
  <si>
    <t>+37128769265</t>
  </si>
  <si>
    <t>2022-02-11 21:24:30</t>
  </si>
  <si>
    <t>Дима Черногор</t>
  </si>
  <si>
    <t>dmutruk.chernogor@gmail.com</t>
  </si>
  <si>
    <t>+380730840884</t>
  </si>
  <si>
    <t>2022-02-11 23:22:07</t>
  </si>
  <si>
    <t>Metodi Mantchenko</t>
  </si>
  <si>
    <t>mmantchenko@hotmail.com</t>
  </si>
  <si>
    <t>2022-02-12 00:10:04</t>
  </si>
  <si>
    <t>2022-02-12 10:40:03</t>
  </si>
  <si>
    <t>Лилия Сабирова</t>
  </si>
  <si>
    <t>liliya_sabirova_76@mail.ru</t>
  </si>
  <si>
    <t>2022-02-12 12:06:27</t>
  </si>
  <si>
    <t>LaRa Obanina</t>
  </si>
  <si>
    <t>Larissa-67@mail.ru</t>
  </si>
  <si>
    <t>2022-02-12 17:04:03</t>
  </si>
  <si>
    <t>2022-02-12 17:13:33</t>
  </si>
  <si>
    <t>Marina Ruchman</t>
  </si>
  <si>
    <t>ruchmary@gmail.com</t>
  </si>
  <si>
    <t>+972506503511</t>
  </si>
  <si>
    <t>2022-02-12 17:50:40</t>
  </si>
  <si>
    <t>2022-02-12 17:57:48</t>
  </si>
  <si>
    <t>2022-02-12 18:25:36</t>
  </si>
  <si>
    <t>Анастасия  Жиленко</t>
  </si>
  <si>
    <t>Sanatastar@yandex.ru</t>
  </si>
  <si>
    <t>2022-02-12 22:03:04</t>
  </si>
  <si>
    <t>Ирма Нюшкова</t>
  </si>
  <si>
    <t>i.nyushkova@rambler.ru</t>
  </si>
  <si>
    <t>+79106788777</t>
  </si>
  <si>
    <t>2022-02-13 04:22:48</t>
  </si>
  <si>
    <t>Екатерина Балашов</t>
  </si>
  <si>
    <t>nufarm14@gmail.com</t>
  </si>
  <si>
    <t>2022-02-13 12:23:40</t>
  </si>
  <si>
    <t>2022-02-13 19:02:41</t>
  </si>
  <si>
    <t>2022-02-13 21:41:47</t>
  </si>
  <si>
    <t>Evgeny Kuznetsov</t>
  </si>
  <si>
    <t>ykuznetsov1@gmail.com</t>
  </si>
  <si>
    <t>2022-02-14 19:02:37</t>
  </si>
  <si>
    <t>2022-02-14 20:58:24</t>
  </si>
  <si>
    <t>Дарья  Волгина</t>
  </si>
  <si>
    <t>Daratystra@gmail.com</t>
  </si>
  <si>
    <t>2022-02-14 21:17:08</t>
  </si>
  <si>
    <t>Челлендж Тишины</t>
  </si>
  <si>
    <t>2022|Март|онлайн|ПОДПИСКА|Учебный курс|Челлендж</t>
  </si>
  <si>
    <t>2022-02-15 08:44:24</t>
  </si>
  <si>
    <t>Анна Васильева</t>
  </si>
  <si>
    <t>anna777eva@yandex.ru</t>
  </si>
  <si>
    <t>2022-02-15 12:48:07</t>
  </si>
  <si>
    <t>2022-02-15 13:11:50</t>
  </si>
  <si>
    <t>Альберт Цой</t>
  </si>
  <si>
    <t>aliksaent@gmail.com</t>
  </si>
  <si>
    <t>+79119252888</t>
  </si>
  <si>
    <t>2022-02-15 17:41:33</t>
  </si>
  <si>
    <t>Городской ретрит в Санкт-Петербурге 25-27 февраля</t>
  </si>
  <si>
    <t>2022|Живое|Питер|Ретрит|Февраль</t>
  </si>
  <si>
    <t>2022-02-15 23:28:48</t>
  </si>
  <si>
    <t>2022-02-16 12:11:45</t>
  </si>
  <si>
    <t>Сатсанг и чайная встреча Екатеринбург 17.2 2022</t>
  </si>
  <si>
    <t>2022|Екатеринбург|Живое|сатсанг|Февраль|чайная встреча</t>
  </si>
  <si>
    <t>2022-02-16 12:25:45</t>
  </si>
  <si>
    <t>Практика тишины Екатеринбург 18.2 2022</t>
  </si>
  <si>
    <t>2022|Екатеринбург|Живое|Практика тишины|Февраль</t>
  </si>
  <si>
    <t>АЛЕКСАНДР ВЕЛИЧКО</t>
  </si>
  <si>
    <t>Serdce247@mail.ru</t>
  </si>
  <si>
    <t>2022-02-16 15:17:45</t>
  </si>
  <si>
    <t>Ольга Левина</t>
  </si>
  <si>
    <t>olga.levina.fr@yandex.ru</t>
  </si>
  <si>
    <t>+79031150003</t>
  </si>
  <si>
    <t>2022-02-16 19:11:19</t>
  </si>
  <si>
    <t>Сергей Долина</t>
  </si>
  <si>
    <t>serzh.dolina@inbox.ru</t>
  </si>
  <si>
    <t>+79282670980</t>
  </si>
  <si>
    <t>2022-02-16 19:28:36</t>
  </si>
  <si>
    <t>Дмитрий Зерко</t>
  </si>
  <si>
    <t>wingoals@mail.ru</t>
  </si>
  <si>
    <t>+79996453795</t>
  </si>
  <si>
    <t>2022-02-16 22:03:19</t>
  </si>
  <si>
    <t>2022-02-17 08:14:04</t>
  </si>
  <si>
    <t>2022-02-18 12:43:11</t>
  </si>
  <si>
    <t>АнтиЭго 2.0 "Пакет Базовый" 19.02 - 13.03.2022 (поток 1)</t>
  </si>
  <si>
    <t>ТАТЬЯНА ХИЖНЯК</t>
  </si>
  <si>
    <t>khiz-taya@yandex.ru</t>
  </si>
  <si>
    <t>2022-02-18 14:38:44</t>
  </si>
  <si>
    <t>2022-02-18 16:20:25</t>
  </si>
  <si>
    <t>Мария Кравченко</t>
  </si>
  <si>
    <t>kravaski1995@gmail.com</t>
  </si>
  <si>
    <t>2022-02-18 18:30:46</t>
  </si>
  <si>
    <t>2022-02-19 12:31:49</t>
  </si>
  <si>
    <t>Виталий Ситников</t>
  </si>
  <si>
    <t>betatreid@list.ru</t>
  </si>
  <si>
    <t>2022-02-21 09:28:49</t>
  </si>
  <si>
    <t>Irina Аносова</t>
  </si>
  <si>
    <t>anosovairina77@yandex.ru</t>
  </si>
  <si>
    <t>+79042129666</t>
  </si>
  <si>
    <t>2022-02-21 12:09:45</t>
  </si>
  <si>
    <t>evapay05</t>
  </si>
  <si>
    <t>evapay05@gmail.com</t>
  </si>
  <si>
    <t>2022-02-22 22:03:22</t>
  </si>
  <si>
    <t>2022-02-22 23:05:33</t>
  </si>
  <si>
    <t>2022-02-23 12:39:27</t>
  </si>
  <si>
    <t>Клуб пробуждения Друзья (Региональный)</t>
  </si>
  <si>
    <t>ДШ|онлайн|региональный</t>
  </si>
  <si>
    <t>2022-02-23 16:03:20</t>
  </si>
  <si>
    <t>2022-02-28 16:42:17</t>
  </si>
  <si>
    <t>2022-03-01 10:05:56</t>
  </si>
  <si>
    <t>КОНСПЕКТИРОВАНИЕ лекций ГЕНАДИЯ - Март "22</t>
  </si>
  <si>
    <t>2022|Лекции|Март</t>
  </si>
  <si>
    <t>2022-03-01 10:06:02</t>
  </si>
  <si>
    <t>2022-03-01 10:06:18</t>
  </si>
  <si>
    <t>2022-03-01 10:06:19</t>
  </si>
  <si>
    <t>2022-03-01 10:06:23</t>
  </si>
  <si>
    <t>2022-03-01 10:06:26</t>
  </si>
  <si>
    <t>2022-03-02 13:46:17</t>
  </si>
  <si>
    <t>2022-03-04 10:06:58</t>
  </si>
  <si>
    <t>2022-03-04 15:52:08</t>
  </si>
  <si>
    <t>2022-03-04 19:12:07</t>
  </si>
  <si>
    <t>2022-03-06 13:46:14</t>
  </si>
  <si>
    <t>Ретрит в РЦ Сочи май 2022 (Оплата до 17 апреля)</t>
  </si>
  <si>
    <t>2022|7 дней|Живое|май|Ретрит|Россия|Сочи</t>
  </si>
  <si>
    <t>Екатерина Добай</t>
  </si>
  <si>
    <t>katelyn.dobai24@gmail.com</t>
  </si>
  <si>
    <t>+972584930656</t>
  </si>
  <si>
    <t>2022-03-09 21:54:48</t>
  </si>
  <si>
    <t xml:space="preserve"> Ретрит в Латвии 19-27.03.2022</t>
  </si>
  <si>
    <t>2022|7 дней|Европа|Живое|Латвия|Март|Ретрит</t>
  </si>
  <si>
    <t>2022-03-10 19:08:09</t>
  </si>
  <si>
    <t>2022-03-10 19:42:44</t>
  </si>
  <si>
    <t>2022-03-10 21:32:52</t>
  </si>
  <si>
    <t xml:space="preserve">Интенсив онлайн 11-13.03.2022 </t>
  </si>
  <si>
    <t>2022|Интенсив|Март|онлайн</t>
  </si>
  <si>
    <t>2022-03-11 09:36:27</t>
  </si>
  <si>
    <t>ЕЛЕНА ПЕРМИНОВА</t>
  </si>
  <si>
    <t>ye.bogdanova@gmail.com</t>
  </si>
  <si>
    <t>2022-03-11 10:42:01</t>
  </si>
  <si>
    <t>2022-03-12 17:06:05</t>
  </si>
  <si>
    <t>Валентина Овсянникова</t>
  </si>
  <si>
    <t>valentina.1950.ov@gmail.com</t>
  </si>
  <si>
    <t>+79089028744</t>
  </si>
  <si>
    <t>2022-03-13 17:33:53</t>
  </si>
  <si>
    <t>Выездной ретрит Тюмень 18-20 марта 2022 (оплата с 11 по 16 марта)</t>
  </si>
  <si>
    <t>Татьяна Титова</t>
  </si>
  <si>
    <t>Titian@mail.ru</t>
  </si>
  <si>
    <t>2022-03-13 20:18:45</t>
  </si>
  <si>
    <t>Интенсив 8-10 апреля Москва</t>
  </si>
  <si>
    <t>2022|Апрель|Живое|Интенсив|Москва|Ретрит</t>
  </si>
  <si>
    <t>2022-03-13 22:07:11</t>
  </si>
  <si>
    <t>Интенсив 15-17 апреля Москва</t>
  </si>
  <si>
    <t>2022-03-14 09:39:39</t>
  </si>
  <si>
    <t>Мария Бузунова</t>
  </si>
  <si>
    <t>mariaaa07@mail.ru</t>
  </si>
  <si>
    <t>2022-03-14 20:49:33</t>
  </si>
  <si>
    <t>Ольга Черноскутова</t>
  </si>
  <si>
    <t>4op.1962@mail.ru</t>
  </si>
  <si>
    <t>+79226060370</t>
  </si>
  <si>
    <t>2022-03-14 21:05:29</t>
  </si>
  <si>
    <t>2022-03-16 09:46:23</t>
  </si>
  <si>
    <t>Ретрит в РЦ Сочи 19-27 марта 2022  (Оплата с 7 марта до 16 марта)</t>
  </si>
  <si>
    <t>2022-03-17 21:17:14</t>
  </si>
  <si>
    <t>2022-03-18 09:59:54</t>
  </si>
  <si>
    <t>Сообщество «Дальний Восток»</t>
  </si>
  <si>
    <t>2022-03-18 10:02:12</t>
  </si>
  <si>
    <t>2022-03-20 09:18:04</t>
  </si>
  <si>
    <t xml:space="preserve">Онлайн Интенсив Дальний Восток 25-27.03.2022 </t>
  </si>
  <si>
    <t>2022-03-20 18:24:19</t>
  </si>
  <si>
    <t>Ольга Ушакова</t>
  </si>
  <si>
    <t>olgauchakova19702247@gmail.com</t>
  </si>
  <si>
    <t>+7998909507386</t>
  </si>
  <si>
    <t>2022-03-20 21:33:39</t>
  </si>
  <si>
    <t>2022-03-21 17:10:42</t>
  </si>
  <si>
    <t>2022-03-21 19:18:49</t>
  </si>
  <si>
    <t>Андрей  Ан</t>
  </si>
  <si>
    <t>alznnerbiz@gmail.com</t>
  </si>
  <si>
    <t>2022-03-22 20:48:47</t>
  </si>
  <si>
    <t>Онлайн Интенсив Дальний Восток 25-27.03.2022 Оплата в Евро €</t>
  </si>
  <si>
    <t>2022|Дальний восток|Евро|Живое|Интенсив|Февраль</t>
  </si>
  <si>
    <t>Юлия Гоз</t>
  </si>
  <si>
    <t>yulia.goz@gmail.com</t>
  </si>
  <si>
    <t>+972545681656</t>
  </si>
  <si>
    <t>2022-03-23 16:04:57</t>
  </si>
  <si>
    <t>Роман Пак</t>
  </si>
  <si>
    <t>dedgena5@yandex.ru</t>
  </si>
  <si>
    <t>2022-03-24 07:15:33</t>
  </si>
  <si>
    <t>Онлайн Интенсив Дальний Восток 25-27.03.2022 Оплата в рублях</t>
  </si>
  <si>
    <t>2022-03-24 08:40:09</t>
  </si>
  <si>
    <t>Надежда Яблонская</t>
  </si>
  <si>
    <t>nimphy@mail.ru</t>
  </si>
  <si>
    <t>2022-03-25 00:47:23</t>
  </si>
  <si>
    <t xml:space="preserve">Регулярная практика тишины в Москве </t>
  </si>
  <si>
    <t>Живое|Москва|Практика тишины</t>
  </si>
  <si>
    <t>2022-03-26 14:22:22</t>
  </si>
  <si>
    <t>Влад Плотников</t>
  </si>
  <si>
    <t>89618829454@mail.ru</t>
  </si>
  <si>
    <t>+79136495842</t>
  </si>
  <si>
    <t>2022-03-27 23:44:18</t>
  </si>
  <si>
    <t>2022-03-28 21:09:59</t>
  </si>
  <si>
    <t>2022-03-29 10:27:53</t>
  </si>
  <si>
    <t>Практика тишины онлайн 3.03.2022</t>
  </si>
  <si>
    <t>2022|Март|онлайн|Практика тишины</t>
  </si>
  <si>
    <t>2022-03-29 14:57:37</t>
  </si>
  <si>
    <t>ТАТЬЯНА БЕЛОУС</t>
  </si>
  <si>
    <t>tatyana.belous.1965@gmail.com</t>
  </si>
  <si>
    <t>2022-03-29 19:23:17</t>
  </si>
  <si>
    <t>2022-04-01 16:15:33</t>
  </si>
  <si>
    <t>Онлайн курс Шаг к Пробуждению №17 2-19.4.22 Пакет индивидуальный</t>
  </si>
  <si>
    <t>2022|Апрель|онлайн|Учебный курс|Шаг к Пробуждению</t>
  </si>
  <si>
    <t>2022-03-30 10:38:34</t>
  </si>
  <si>
    <t>2022-03-30 12:23:59</t>
  </si>
  <si>
    <t xml:space="preserve">АнтиЭго 2.0 29.3 - 12.04.2022 (поток 2) </t>
  </si>
  <si>
    <t>2022|АнтиЭго|Апрель|онлайн|Погружение|Учебный курс</t>
  </si>
  <si>
    <t>2022-03-31 00:16:25</t>
  </si>
  <si>
    <t>2022-03-31 10:49:55</t>
  </si>
  <si>
    <t>Практика Тишины общая регулярная</t>
  </si>
  <si>
    <t>2022-04-03 15:56:52</t>
  </si>
  <si>
    <t>2022|Живое|май|Ретрит|Сочи|УЦ|Учебный курс</t>
  </si>
  <si>
    <t>2022-04-02 15:14:53</t>
  </si>
  <si>
    <t>2022-04-01 09:21:43</t>
  </si>
  <si>
    <t>2022-04-01 09:24:59</t>
  </si>
  <si>
    <t>2022-04-01 10:02:47</t>
  </si>
  <si>
    <t>КОНСПЕКТИРОВАНИЕ лекций ГЕНАДИЯ - Апрель "22</t>
  </si>
  <si>
    <t>2022|Апрель|Лекции</t>
  </si>
  <si>
    <t>2022-04-01 10:02:49</t>
  </si>
  <si>
    <t>2022-04-01 10:03:29</t>
  </si>
  <si>
    <t>2022-04-01 10:03:34</t>
  </si>
  <si>
    <t>2022-04-01 10:03:38</t>
  </si>
  <si>
    <t>2022-04-01 17:57:59</t>
  </si>
  <si>
    <t>2022-04-02 00:19:07</t>
  </si>
  <si>
    <t>Клуб пробуждения Друзья (2 уровень) - 1 месяц (евро)</t>
  </si>
  <si>
    <t>2022-04-02 10:26:57</t>
  </si>
  <si>
    <t>2022-04-05 12:55:15</t>
  </si>
  <si>
    <t>Viktorija Ginko</t>
  </si>
  <si>
    <t>aromaoil@mail.ru</t>
  </si>
  <si>
    <t>+37126061852</t>
  </si>
  <si>
    <t>2022-04-06 20:20:23</t>
  </si>
  <si>
    <t>Ретрит в Германии 30 апреля-7 мая 2022 (590€)</t>
  </si>
  <si>
    <t>2022|7 дней|Германия|Европа|Живое|май|Ретрит</t>
  </si>
  <si>
    <t>2022-04-07 14:02:19</t>
  </si>
  <si>
    <t>Наталья Моджиевская</t>
  </si>
  <si>
    <t>Natali.modzhievskaya@gmail.com</t>
  </si>
  <si>
    <t>+79161790603</t>
  </si>
  <si>
    <t>2022-04-07 17:04:33</t>
  </si>
  <si>
    <t>2022-04-09 15:49:23</t>
  </si>
  <si>
    <t>Александр Родевич</t>
  </si>
  <si>
    <t>Radevich.sasha@mail.ru</t>
  </si>
  <si>
    <t>+375333412244</t>
  </si>
  <si>
    <t>2022-04-09 18:49:11</t>
  </si>
  <si>
    <t>Йога тишины 28 марта 2022 Минск</t>
  </si>
  <si>
    <t>2022|Живое|Март|Минск|Практика</t>
  </si>
  <si>
    <t>2022-04-09 21:51:00</t>
  </si>
  <si>
    <t>2022-04-10 06:58:34</t>
  </si>
  <si>
    <t>2022-04-10 11:36:59</t>
  </si>
  <si>
    <t>2022-04-10 13:21:15</t>
  </si>
  <si>
    <t>Михаил Лебедев</t>
  </si>
  <si>
    <t>mihey_lebedev@icloud.com</t>
  </si>
  <si>
    <t>2022-04-10 15:51:23</t>
  </si>
  <si>
    <t>2022-04-12 11:45:05</t>
  </si>
  <si>
    <t>2022-04-12 15:46:32</t>
  </si>
  <si>
    <t>2022-04-13 19:47:28</t>
  </si>
  <si>
    <t>Интенсив онлайн 14-17.04.2022</t>
  </si>
  <si>
    <t>2022|Апрель|Интенсив|онлайн</t>
  </si>
  <si>
    <t>2022-04-14 10:34:33</t>
  </si>
  <si>
    <t>ТАТЬЯНА ХРЕНОВА</t>
  </si>
  <si>
    <t>threnova@mail.ru</t>
  </si>
  <si>
    <t>2022-04-15 12:50:25</t>
  </si>
  <si>
    <t>2022-04-16 21:48:45</t>
  </si>
  <si>
    <t>2022-04-17 05:33:26</t>
  </si>
  <si>
    <t>Дима Несмелов</t>
  </si>
  <si>
    <t>dmitriinesmelov9@gmail.com</t>
  </si>
  <si>
    <t>+79822027642</t>
  </si>
  <si>
    <t>2022-04-17 14:44:11</t>
  </si>
  <si>
    <t>Партнерская программа</t>
  </si>
  <si>
    <t>онлайн|Партнерка|Партнерская программа</t>
  </si>
  <si>
    <t>2022-04-18 15:02:53</t>
  </si>
  <si>
    <t>Ретрит Дальний Восток Хабаровск 30.4-7.5.2022</t>
  </si>
  <si>
    <t>2022|7 дней|Дальний восток|Живое|май|Ретрит|Россия</t>
  </si>
  <si>
    <t>2022-04-18 20:59:17</t>
  </si>
  <si>
    <t>Онлайн Интенсив Дальний Восток 22-24.04.2022 Оплата в рублях</t>
  </si>
  <si>
    <t>2022|Апрель|Дальний восток|Интенсив|онлайн</t>
  </si>
  <si>
    <t>2022-04-21 06:33:25</t>
  </si>
  <si>
    <t>2022-04-21 12:12:01</t>
  </si>
  <si>
    <t>Наталья Боровикова</t>
  </si>
  <si>
    <t>natapolo7_05@mail.ru</t>
  </si>
  <si>
    <t>2022-04-21 20:28:34</t>
  </si>
  <si>
    <t>Марафон Тишины - Тишина челлендж: Урал, Казахстан, Узбекистан 25-29.04.2022</t>
  </si>
  <si>
    <t>2022|Апрель|Казахстан|онлайн|Узбекистан|Урал|Челлендж</t>
  </si>
  <si>
    <t>2022-04-22 19:06:39</t>
  </si>
  <si>
    <t>Nelli Taylor</t>
  </si>
  <si>
    <t>n.voehringer@gmx.de</t>
  </si>
  <si>
    <t>+491737637432</t>
  </si>
  <si>
    <t>2022-04-22 21:59:25</t>
  </si>
  <si>
    <t>Ретрит в Германии 30 апреля-7 мая 2022</t>
  </si>
  <si>
    <t>Ольга  Дущенко</t>
  </si>
  <si>
    <t>o.duschenko@yandex.ru</t>
  </si>
  <si>
    <t>2022-04-23 11:41:52</t>
  </si>
  <si>
    <t>Тишина Челлендж (бесплатная часть)</t>
  </si>
  <si>
    <t>2022|Июль|онлайн|Учебный курс|Челлендж</t>
  </si>
  <si>
    <t>Юлия Matys</t>
  </si>
  <si>
    <t>Yuliya.matys@mail.ru</t>
  </si>
  <si>
    <t>2022-04-23 19:23:11</t>
  </si>
  <si>
    <t>Владимир Ващенко</t>
  </si>
  <si>
    <t>doctorz83@mail.ru</t>
  </si>
  <si>
    <t>2022-04-24 06:07:59</t>
  </si>
  <si>
    <t>2022-04-24 10:04:39</t>
  </si>
  <si>
    <t>Однодневный онлайн ретрит 14 мая 2022 (6€)</t>
  </si>
  <si>
    <t>1день ретрит|2022|Живое|Интенсив|май|онлайн|Ретрит</t>
  </si>
  <si>
    <t>Динара Рахимова</t>
  </si>
  <si>
    <t>di_17_83@mail.ru</t>
  </si>
  <si>
    <t>2022-04-24 10:28:07</t>
  </si>
  <si>
    <t>Гульнара Дали</t>
  </si>
  <si>
    <t>magic_7@mail.ru</t>
  </si>
  <si>
    <t>+77472385837</t>
  </si>
  <si>
    <t>2022-04-24 10:32:10</t>
  </si>
  <si>
    <t>Арслан А</t>
  </si>
  <si>
    <t>arser.kz@mail.ru</t>
  </si>
  <si>
    <t>2022-04-24 13:48:36</t>
  </si>
  <si>
    <t>Перизат Отеп</t>
  </si>
  <si>
    <t>pepemmm@inbox.ru</t>
  </si>
  <si>
    <t>+77012031771</t>
  </si>
  <si>
    <t>2022-04-24 15:22:16</t>
  </si>
  <si>
    <t>Екатерина Басуева</t>
  </si>
  <si>
    <t>bigbos07@inbox.ru</t>
  </si>
  <si>
    <t>2022-04-24 16:22:22</t>
  </si>
  <si>
    <t>Ирина Ч</t>
  </si>
  <si>
    <t>Iren_ira90@mail.ru</t>
  </si>
  <si>
    <t>+998909864969</t>
  </si>
  <si>
    <t>2022-04-24 20:12:17</t>
  </si>
  <si>
    <t>Светлана Латыпова</t>
  </si>
  <si>
    <t>svetlanalatypova88@gmail.com</t>
  </si>
  <si>
    <t>2022-04-24 21:49:18</t>
  </si>
  <si>
    <t>Yona Yokay</t>
  </si>
  <si>
    <t>annakaipova@mail.ru</t>
  </si>
  <si>
    <t>2022-04-24 22:50:11</t>
  </si>
  <si>
    <t>2022-04-25 04:10:25</t>
  </si>
  <si>
    <t>Феруза Нормамедова</t>
  </si>
  <si>
    <t>fnormamedova@mail.ru</t>
  </si>
  <si>
    <t>2022-04-25 06:33:03</t>
  </si>
  <si>
    <t>Оля Федотова</t>
  </si>
  <si>
    <t>fedotovaolga@inbox.lv</t>
  </si>
  <si>
    <t>+37256817468</t>
  </si>
  <si>
    <t>2022-04-25 09:47:48</t>
  </si>
  <si>
    <t>Павел Безименный</t>
  </si>
  <si>
    <t>pavelbezimenij1990@gmail.com</t>
  </si>
  <si>
    <t>+380991147176</t>
  </si>
  <si>
    <t>2022-04-25 17:26:56</t>
  </si>
  <si>
    <t>Кристина Врещ</t>
  </si>
  <si>
    <t>Selleniya@mail.ru</t>
  </si>
  <si>
    <t>2022-04-25 18:58:29</t>
  </si>
  <si>
    <t>Василий Капустин</t>
  </si>
  <si>
    <t>89533520267@mail.ru</t>
  </si>
  <si>
    <t>2022-04-25 19:02:08</t>
  </si>
  <si>
    <t>Мила Прилепина</t>
  </si>
  <si>
    <t>Ludadaluda@mail.ru</t>
  </si>
  <si>
    <t>+7968203292</t>
  </si>
  <si>
    <t>2022-04-25 19:19:02</t>
  </si>
  <si>
    <t>Александр Козлов</t>
  </si>
  <si>
    <t>9250659075@mail.ru</t>
  </si>
  <si>
    <t>2022-04-25 19:28:10</t>
  </si>
  <si>
    <t>2022-04-25 20:38:32</t>
  </si>
  <si>
    <t>Валентина Мещанова</t>
  </si>
  <si>
    <t>meshchanova.1963@mail.ru</t>
  </si>
  <si>
    <t>2022-04-25 21:21:03</t>
  </si>
  <si>
    <t>Ирина Парфенова</t>
  </si>
  <si>
    <t>irina_parf@mail.ru</t>
  </si>
  <si>
    <t>2022-04-25 23:17:59</t>
  </si>
  <si>
    <t>Олег Каблучный</t>
  </si>
  <si>
    <t>kablu-oleg@yandex.ru</t>
  </si>
  <si>
    <t>2022-04-26 05:24:51</t>
  </si>
  <si>
    <t>Оксана Петрова</t>
  </si>
  <si>
    <t>oks020619772008@yandex.ru</t>
  </si>
  <si>
    <t>2022-04-26 07:33:33</t>
  </si>
  <si>
    <t>нина Яковлева</t>
  </si>
  <si>
    <t>wryipadgjl2019@mail.ru</t>
  </si>
  <si>
    <t>2022-04-26 10:11:25</t>
  </si>
  <si>
    <t>Елена Ефимова</t>
  </si>
  <si>
    <t>efimovaelena_pskov@mail.ru</t>
  </si>
  <si>
    <t>2022-04-26 13:30:04</t>
  </si>
  <si>
    <t>Татьяна Проскурина</t>
  </si>
  <si>
    <t>T89205744200@gmail.com</t>
  </si>
  <si>
    <t>+89155661819</t>
  </si>
  <si>
    <t>2022-04-26 16:25:18</t>
  </si>
  <si>
    <t>2022-04-26 17:24:56</t>
  </si>
  <si>
    <t>Однодневный онлайн ретрит (в зале) 14 мая 2022</t>
  </si>
  <si>
    <t>2022|Живое|Интенсив|май|мини|онлайн|Ретрит</t>
  </si>
  <si>
    <t>Юлиана Кемичиджиева</t>
  </si>
  <si>
    <t>london-151@yandex.ru</t>
  </si>
  <si>
    <t>2022-04-26 22:12:55</t>
  </si>
  <si>
    <t>2022-04-27 12:25:05</t>
  </si>
  <si>
    <t>2022-04-27 17:49:12</t>
  </si>
  <si>
    <t>Наталья Кооль</t>
  </si>
  <si>
    <t>avarija02@mail.ru</t>
  </si>
  <si>
    <t>2022-04-27 21:51:11</t>
  </si>
  <si>
    <t>2022-04-27 22:11:23</t>
  </si>
  <si>
    <t>Оксана Гулидова</t>
  </si>
  <si>
    <t>Gulidova.ok@gmail.com</t>
  </si>
  <si>
    <t>2022-04-28 20:23:54</t>
  </si>
  <si>
    <t>Однодневный онлайн ретрит 14 мая 2022</t>
  </si>
  <si>
    <t>2022-04-29 15:28:11</t>
  </si>
  <si>
    <t>Сергей Коршунов</t>
  </si>
  <si>
    <t>skorsunov90@gmail.com</t>
  </si>
  <si>
    <t>+358449367436</t>
  </si>
  <si>
    <t>2022-04-29 16:35:47</t>
  </si>
  <si>
    <t>Онлайн курс Шаг к Шаг к Пробуждению №18 7-24 мая 2022</t>
  </si>
  <si>
    <t>2022|май|онлайн|Учебный курс|Шаг к Пробуждению</t>
  </si>
  <si>
    <t>Павел Лукашевич</t>
  </si>
  <si>
    <t>pavellukasevic56@gmail.com</t>
  </si>
  <si>
    <t>+48660316165</t>
  </si>
  <si>
    <t>2022-04-30 00:11:18</t>
  </si>
  <si>
    <t>2022-04-30 12:06:08</t>
  </si>
  <si>
    <t>Артём Ершов</t>
  </si>
  <si>
    <t>Ssvvjj87@gmail.com</t>
  </si>
  <si>
    <t>+79286651765</t>
  </si>
  <si>
    <t>2022-04-30 20:46:56</t>
  </si>
  <si>
    <t>2022-04-30 22:13:48</t>
  </si>
  <si>
    <t>Надежда Шеломанова</t>
  </si>
  <si>
    <t>selomanovanadezda@gmail.com</t>
  </si>
  <si>
    <t>+79156617903</t>
  </si>
  <si>
    <t>2022-05-01 07:43:12</t>
  </si>
  <si>
    <t>Иван Дрёмин Дремин</t>
  </si>
  <si>
    <t>riverbreeze.ivan@gmail.com</t>
  </si>
  <si>
    <t>+79265205689</t>
  </si>
  <si>
    <t>2022-05-01 20:59:36</t>
  </si>
  <si>
    <t>Кира Лыхман</t>
  </si>
  <si>
    <t>KiraArch@bk.ru</t>
  </si>
  <si>
    <t>+79513048171</t>
  </si>
  <si>
    <t>2022-05-01 22:29:30</t>
  </si>
  <si>
    <t>Александр Шаталов</t>
  </si>
  <si>
    <t>alxshatalov@yandex.ru</t>
  </si>
  <si>
    <t>+37258589928</t>
  </si>
  <si>
    <t>2022-05-02 08:11:08</t>
  </si>
  <si>
    <t>2022-05-02 23:28:10</t>
  </si>
  <si>
    <t>Вводный вебинар 3.5.22 на Шаг к Пробуждению</t>
  </si>
  <si>
    <t>2022|Вебинар|май|онлайн|Шаг к Пробуждению</t>
  </si>
  <si>
    <t>Юлия Волкова</t>
  </si>
  <si>
    <t>juliawolfkova@mail.ru</t>
  </si>
  <si>
    <t>+79186675652</t>
  </si>
  <si>
    <t>2022-05-02 23:39:37</t>
  </si>
  <si>
    <t>Александр Малашевский</t>
  </si>
  <si>
    <t>stihi.ya@list.ru</t>
  </si>
  <si>
    <t>2022-05-03 09:35:34</t>
  </si>
  <si>
    <t>2022-05-03 10:46:56</t>
  </si>
  <si>
    <t>Ольга Мануйлова</t>
  </si>
  <si>
    <t>olgaman3006@mail.ru</t>
  </si>
  <si>
    <t>2022-05-03 13:13:56</t>
  </si>
  <si>
    <t>Анастасия Соколянская</t>
  </si>
  <si>
    <t>sas_0211@mail.ru</t>
  </si>
  <si>
    <t>+79283311682</t>
  </si>
  <si>
    <t>2022-05-03 15:20:50</t>
  </si>
  <si>
    <t>Однодневный ретрит (в зале) 14 мая 2022</t>
  </si>
  <si>
    <t>2022-05-03 19:43:48</t>
  </si>
  <si>
    <t>2022-05-04 09:50:35</t>
  </si>
  <si>
    <t>Ксения Булдакова</t>
  </si>
  <si>
    <t>Ksenka-fomin@yandex.ru</t>
  </si>
  <si>
    <t>+79229255011</t>
  </si>
  <si>
    <t>2022-05-04 22:01:34</t>
  </si>
  <si>
    <t>Онлайн-курс "Антистресс"</t>
  </si>
  <si>
    <t>2022|Антистресс|Аня Сокол|Апрель|онлайн|Учебный курс</t>
  </si>
  <si>
    <t>2022-05-05 09:37:26</t>
  </si>
  <si>
    <t>2022-05-06 07:15:05</t>
  </si>
  <si>
    <t>Однодневный ретрит Россия 14 мая 2022</t>
  </si>
  <si>
    <t>2022-05-06 13:13:29</t>
  </si>
  <si>
    <t>Сатсанг с Валентиной Пулло в Питере 7.5.2022</t>
  </si>
  <si>
    <t>2022|Живое|май|Питер|сатсанг</t>
  </si>
  <si>
    <t>Константин Дубовцев</t>
  </si>
  <si>
    <t>alon3430@mail.ru</t>
  </si>
  <si>
    <t>+79064061670</t>
  </si>
  <si>
    <t>2022-05-07 09:56:21</t>
  </si>
  <si>
    <t>Однодневный онлайн ретрит Россия 14 мая 2022</t>
  </si>
  <si>
    <t>2022-05-08 11:14:03</t>
  </si>
  <si>
    <t>Сергей Денисенко</t>
  </si>
  <si>
    <t>petryan@yandex.ru</t>
  </si>
  <si>
    <t>2022-05-08 15:16:43</t>
  </si>
  <si>
    <t>2022|Антистресс|Аня Сокол|Апрель|онлайн|полная цена|Учебный курс</t>
  </si>
  <si>
    <t>2022-05-09 07:05:40</t>
  </si>
  <si>
    <t>Алексей Воробьев</t>
  </si>
  <si>
    <t>al200977@mail.ru</t>
  </si>
  <si>
    <t>+79084494194</t>
  </si>
  <si>
    <t>2022-05-09 16:49:57</t>
  </si>
  <si>
    <t>2022-05-09 16:51:30</t>
  </si>
  <si>
    <t>Анастасия Тете</t>
  </si>
  <si>
    <t>6755599@mail.ru</t>
  </si>
  <si>
    <t>2022-05-10 10:54:57</t>
  </si>
  <si>
    <t>ДЕНИС МОРГУНОВ</t>
  </si>
  <si>
    <t>deniss_morgunov@mail.ru</t>
  </si>
  <si>
    <t>2022-05-10 19:03:26</t>
  </si>
  <si>
    <t xml:space="preserve">Однодневный ретрит Европа 14 мая 2022 </t>
  </si>
  <si>
    <t>Андрей Батарин</t>
  </si>
  <si>
    <t>batarin.a@yandex.ru</t>
  </si>
  <si>
    <t>+79161469274</t>
  </si>
  <si>
    <t>2022-05-10 19:52:16</t>
  </si>
  <si>
    <t>2022-05-10 19:57:41</t>
  </si>
  <si>
    <t>2022-05-10 19:57:47</t>
  </si>
  <si>
    <t>2022-05-11 09:55:49</t>
  </si>
  <si>
    <t>Алла Мастафанова</t>
  </si>
  <si>
    <t>amastafanova@bk.ru</t>
  </si>
  <si>
    <t>2022-05-11 12:22:52</t>
  </si>
  <si>
    <t>2022-05-11 15:44:15</t>
  </si>
  <si>
    <t>2022-05-11 16:39:05</t>
  </si>
  <si>
    <t>Сергей Грачёв</t>
  </si>
  <si>
    <t>serega_4ever17@mail.ru</t>
  </si>
  <si>
    <t>2022-05-11 17:54:39</t>
  </si>
  <si>
    <t>Базовая бесплатная часть</t>
  </si>
  <si>
    <t>2022|Апрель|онлайн</t>
  </si>
  <si>
    <t>Наталья Китасова</t>
  </si>
  <si>
    <t>baraeva.natalya@mail.ru</t>
  </si>
  <si>
    <t>2022-05-11 22:28:54</t>
  </si>
  <si>
    <t>2022-05-11 22:30:15</t>
  </si>
  <si>
    <t>2022-05-11 22:32:12</t>
  </si>
  <si>
    <t>2022-05-12 11:00:54</t>
  </si>
  <si>
    <t>Николай Пахомов</t>
  </si>
  <si>
    <t>dnxqhv@hi2.in</t>
  </si>
  <si>
    <t>2022-05-12 19:58:11</t>
  </si>
  <si>
    <t>2022-05-12 22:02:04</t>
  </si>
  <si>
    <t>Татьяна Эрдлей</t>
  </si>
  <si>
    <t>gts.05@mail.ru</t>
  </si>
  <si>
    <t>+79259161402</t>
  </si>
  <si>
    <t>2022-05-13 10:11:11</t>
  </si>
  <si>
    <t>2022-05-13 10:20:55</t>
  </si>
  <si>
    <t>2022-05-13 10:39:32</t>
  </si>
  <si>
    <t>2022-05-13 11:30:29</t>
  </si>
  <si>
    <t>Таисия Солодкая</t>
  </si>
  <si>
    <t>TaisiaSolodkya@gmail.com</t>
  </si>
  <si>
    <t>+79282047193</t>
  </si>
  <si>
    <t>2022-05-13 13:07:49</t>
  </si>
  <si>
    <t>2022-05-13 13:25:31</t>
  </si>
  <si>
    <t>2022-05-13 18:02:26</t>
  </si>
  <si>
    <t>СЕРГЕЙ ВАСИЛЬЕВ</t>
  </si>
  <si>
    <t>sergei.ds74301@mail.ru</t>
  </si>
  <si>
    <t>+79003320509</t>
  </si>
  <si>
    <t>2022-05-13 19:35:02</t>
  </si>
  <si>
    <t>2022-05-13 20:20:04</t>
  </si>
  <si>
    <t>2022-05-15 17:53:21</t>
  </si>
  <si>
    <t>Курс подготовки к Парадентальной медитации (доступ ко всему тренингу)</t>
  </si>
  <si>
    <t>2022-05-16 17:42:57</t>
  </si>
  <si>
    <t>Дмитрий Морданов</t>
  </si>
  <si>
    <t>modest55@mail.ru</t>
  </si>
  <si>
    <t>+79384883641</t>
  </si>
  <si>
    <t>2022-05-16 18:54:49</t>
  </si>
  <si>
    <t>Anna Akopyan</t>
  </si>
  <si>
    <t>hahakob@yandex.ru</t>
  </si>
  <si>
    <t>+375296707786</t>
  </si>
  <si>
    <t>2022-05-17 16:14:26</t>
  </si>
  <si>
    <t>Чайная встреча в Минске</t>
  </si>
  <si>
    <t>2022|Живое|Минск|регулярно|чайная встреча</t>
  </si>
  <si>
    <t>Тест Тест</t>
  </si>
  <si>
    <t>veronika_sm@list.ru</t>
  </si>
  <si>
    <t>2022-05-17 18:55:45</t>
  </si>
  <si>
    <t>2022-05-17 22:17:01</t>
  </si>
  <si>
    <t>2022-05-19 13:36:19</t>
  </si>
  <si>
    <t>2022-05-19 15:29:07</t>
  </si>
  <si>
    <t>Городской интенсив Санкт-Петербург 27-29.05.2022</t>
  </si>
  <si>
    <t>2022|Живое|Интенсив|май|Санкт-Петербург</t>
  </si>
  <si>
    <t>Мечислав Романовски</t>
  </si>
  <si>
    <t>romicius@yandex.com</t>
  </si>
  <si>
    <t>2022-05-19 18:00:12</t>
  </si>
  <si>
    <t>Интенсив онлайн 21-22.05.2022</t>
  </si>
  <si>
    <t>2022|Интенсив|май|онлайн</t>
  </si>
  <si>
    <t>Валентина Валентина Пулло</t>
  </si>
  <si>
    <t>lifeinreal.ru@gmail.com</t>
  </si>
  <si>
    <t>+79265599910</t>
  </si>
  <si>
    <t>2022-05-19 18:09:43</t>
  </si>
  <si>
    <t>2022-05-20 13:13:26</t>
  </si>
  <si>
    <t>Интенсив Дальний Восток онлайн 10-12.06.2022</t>
  </si>
  <si>
    <t>2022|Дальний восток|Интенсив|Июнь|онлайн</t>
  </si>
  <si>
    <t>Walerij Walerij Poleonow</t>
  </si>
  <si>
    <t>wampol379@gmail.com</t>
  </si>
  <si>
    <t>+70133556799</t>
  </si>
  <si>
    <t>2022-05-21 15:31:26</t>
  </si>
  <si>
    <t>2022-05-22 11:53:32</t>
  </si>
  <si>
    <t>Курс Парадентальной медитации в Сочи 11 июня - 8 июля 2022 года</t>
  </si>
  <si>
    <t>2022|Живое|Июнь|Парадентальная медитация|РЦ|Сочи|УЦ|Учебный курс</t>
  </si>
  <si>
    <t>2022-05-23 13:59:40</t>
  </si>
  <si>
    <t>2022-05-23 19:51:15</t>
  </si>
  <si>
    <t>2022-05-23 20:04:38</t>
  </si>
  <si>
    <t>Лена Казакова</t>
  </si>
  <si>
    <t>Bluesea@list.ru</t>
  </si>
  <si>
    <t>+79031497021</t>
  </si>
  <si>
    <t>2022-05-23 20:06:11</t>
  </si>
  <si>
    <t>Мастер-класс "Скульптура и Керамика"</t>
  </si>
  <si>
    <t>2022|Антошина|Июнь|Коммерческий проект|Курс</t>
  </si>
  <si>
    <t>sveta-zlat777@mail.ru</t>
  </si>
  <si>
    <t>+79517978177</t>
  </si>
  <si>
    <t>2022-05-23 21:48:50</t>
  </si>
  <si>
    <t>ДАНИЛ БОЧКАРЁВ</t>
  </si>
  <si>
    <t>bim@gmx.info</t>
  </si>
  <si>
    <t>2022-05-24 00:59:53</t>
  </si>
  <si>
    <t>2022-05-24 10:20:48</t>
  </si>
  <si>
    <t>Гульнара  Нигматуллина</t>
  </si>
  <si>
    <t>gulnara_nig@mail.ru</t>
  </si>
  <si>
    <t>2022-05-24 23:15:30</t>
  </si>
  <si>
    <t>Юлия Афанасенкова</t>
  </si>
  <si>
    <t>afanasenkova20@mail.ru</t>
  </si>
  <si>
    <t>+79219669995</t>
  </si>
  <si>
    <t>2022-05-25 10:39:53</t>
  </si>
  <si>
    <t>2022-05-25 12:18:00</t>
  </si>
  <si>
    <t>Ираида Юдичева</t>
  </si>
  <si>
    <t>iraida_berchik@mail.ru</t>
  </si>
  <si>
    <t>2022-05-25 12:46:04</t>
  </si>
  <si>
    <t>2022-05-25 14:32:42</t>
  </si>
  <si>
    <t>Практический семинар в Минске 28 мая 2022</t>
  </si>
  <si>
    <t>2022|Живое|май|Минск|практический семинар</t>
  </si>
  <si>
    <t>2022-05-25 19:28:07</t>
  </si>
  <si>
    <t>Ирина Шарая</t>
  </si>
  <si>
    <t>Sharayairinatver@mail.ru</t>
  </si>
  <si>
    <t>+79157483990</t>
  </si>
  <si>
    <t>2022-05-26 17:24:33</t>
  </si>
  <si>
    <t>2022-05-26 18:52:25</t>
  </si>
  <si>
    <t>Тишина Челлендж для Украины (рус)</t>
  </si>
  <si>
    <t>2022|онлайн|Украина|Учебный курс|Челлендж</t>
  </si>
  <si>
    <t>2022-05-26 21:51:38</t>
  </si>
  <si>
    <t>Marina Barabanova</t>
  </si>
  <si>
    <t>barabanovamarina@mail.ru</t>
  </si>
  <si>
    <t>+37060464667</t>
  </si>
  <si>
    <t>2022-05-27 00:25:32</t>
  </si>
  <si>
    <t>Кристина Demir</t>
  </si>
  <si>
    <t>Kgamyryak@gmail.com</t>
  </si>
  <si>
    <t>+77087027666</t>
  </si>
  <si>
    <t>2022-05-27 06:50:28</t>
  </si>
  <si>
    <t>2022-05-27 13:52:54</t>
  </si>
  <si>
    <t>Asel Алиахмеь</t>
  </si>
  <si>
    <t>aselek_42@mail.ru</t>
  </si>
  <si>
    <t>2022-05-27 21:01:00</t>
  </si>
  <si>
    <t>Рина Лисица</t>
  </si>
  <si>
    <t>naru_rus.frv@bk.ru</t>
  </si>
  <si>
    <t>2022-05-28 16:11:21</t>
  </si>
  <si>
    <t>Анна Ростовцева</t>
  </si>
  <si>
    <t>Ahyuchoik@mail.ru</t>
  </si>
  <si>
    <t>+79991652736</t>
  </si>
  <si>
    <t>2022-05-28 17:41:50</t>
  </si>
  <si>
    <t>Елена Фунтова</t>
  </si>
  <si>
    <t>mongoraea@mail.ru</t>
  </si>
  <si>
    <t>2022-05-28 22:26:14</t>
  </si>
  <si>
    <t>Гузель Шарипова</t>
  </si>
  <si>
    <t>guzel-121288@mail.ru</t>
  </si>
  <si>
    <t>2022-05-30 09:20:28</t>
  </si>
  <si>
    <t>Ксения Франтова</t>
  </si>
  <si>
    <t>Frantova-k@mail.ru</t>
  </si>
  <si>
    <t>2022-05-30 19:38:56</t>
  </si>
  <si>
    <t>2022-05-30 19:48:31</t>
  </si>
  <si>
    <t>2022-05-30 20:24:40</t>
  </si>
  <si>
    <t>2022-05-31 12:55:03</t>
  </si>
  <si>
    <t>2022-05-31 13:46:21</t>
  </si>
  <si>
    <t>2022-05-31 21:53:33</t>
  </si>
  <si>
    <t>Celina Vesely</t>
  </si>
  <si>
    <t>Celina.vesely@chello.at</t>
  </si>
  <si>
    <t>2021-12-01 23:56:29</t>
  </si>
  <si>
    <t>Снежана Костюк</t>
  </si>
  <si>
    <t>V_ryabov78@list.ru</t>
  </si>
  <si>
    <t>2021-12-02 04:59:07</t>
  </si>
  <si>
    <t>Олег Федосеев</t>
  </si>
  <si>
    <t>oleg.fedoseev1965@gmail.com</t>
  </si>
  <si>
    <t>+380996472203</t>
  </si>
  <si>
    <t>2021-12-02 12:01:15</t>
  </si>
  <si>
    <t>Janine Reimann</t>
  </si>
  <si>
    <t>janine.reimann@gmx.de</t>
  </si>
  <si>
    <t>+4915735241204</t>
  </si>
  <si>
    <t>2021-12-02 16:42:15</t>
  </si>
  <si>
    <t>Светлана Поспелова</t>
  </si>
  <si>
    <t>S_p2020@mail.ru</t>
  </si>
  <si>
    <t>2021-12-02 19:35:33</t>
  </si>
  <si>
    <t>Татьяна Косачева</t>
  </si>
  <si>
    <t>kosacevatatana11@gmail.com</t>
  </si>
  <si>
    <t>+375447021622</t>
  </si>
  <si>
    <t>2021-12-02 21:43:19</t>
  </si>
  <si>
    <t>Николай Фотеев</t>
  </si>
  <si>
    <t>foteev-nb@ya.ru</t>
  </si>
  <si>
    <t>2021-12-02 23:52:35</t>
  </si>
  <si>
    <t>Ruzica Marinkovic</t>
  </si>
  <si>
    <t>ruzica.marinkivic@cloud.com</t>
  </si>
  <si>
    <t>2021-12-03 11:14:46</t>
  </si>
  <si>
    <t>Manuela Rüfner</t>
  </si>
  <si>
    <t>manuelaruefner@web.de</t>
  </si>
  <si>
    <t>+4917696902671</t>
  </si>
  <si>
    <t>2021-12-03 14:08:01</t>
  </si>
  <si>
    <t>Diana Nikitina</t>
  </si>
  <si>
    <t>Diaana.nikitina@icloud.com</t>
  </si>
  <si>
    <t>2021-12-04 16:25:47</t>
  </si>
  <si>
    <t>Анжелика Евгенова</t>
  </si>
  <si>
    <t>angela.evgenova@gmail.com</t>
  </si>
  <si>
    <t>2021-12-05 14:44:09</t>
  </si>
  <si>
    <t>Осознанная суббота Сочи регулярное</t>
  </si>
  <si>
    <t>2021|ВМП|Екатеринбург|Живое|Ноябрь</t>
  </si>
  <si>
    <t>Светлана Жарких</t>
  </si>
  <si>
    <t>star.svetlana.ss55@gmail.com</t>
  </si>
  <si>
    <t>+79924275161</t>
  </si>
  <si>
    <t>2021-12-05 16:28:36</t>
  </si>
  <si>
    <t>Ниссо Мамадасанова</t>
  </si>
  <si>
    <t>Gulniso0692@mail.ru</t>
  </si>
  <si>
    <t>2021-12-05 18:34:33</t>
  </si>
  <si>
    <t>Marianna Berina</t>
  </si>
  <si>
    <t>berina.m.v@gmail.com</t>
  </si>
  <si>
    <t>+375297376657</t>
  </si>
  <si>
    <t>2021-12-05 18:39:23</t>
  </si>
  <si>
    <t>Марина Белозёрова</t>
  </si>
  <si>
    <t>marinamontessorischool@gmail.com</t>
  </si>
  <si>
    <t>2021-12-05 19:40:15</t>
  </si>
  <si>
    <t>Виктория Лойко</t>
  </si>
  <si>
    <t>vlojko@mail.ru</t>
  </si>
  <si>
    <t>+375299155985</t>
  </si>
  <si>
    <t>2021-12-05 21:07:07</t>
  </si>
  <si>
    <t>Лиза Голенок</t>
  </si>
  <si>
    <t>lizkin96@gmail.com</t>
  </si>
  <si>
    <t>2021-12-05 23:26:40</t>
  </si>
  <si>
    <t>Анджела Линкевич</t>
  </si>
  <si>
    <t>sunny_lol@inbox.ru</t>
  </si>
  <si>
    <t>+375292541347</t>
  </si>
  <si>
    <t>2021-12-06 09:11:27</t>
  </si>
  <si>
    <t>Ирина Чернышова</t>
  </si>
  <si>
    <t>valerian99@mail.ru</t>
  </si>
  <si>
    <t>2021-12-06 10:58:53</t>
  </si>
  <si>
    <t>Елена Соболева</t>
  </si>
  <si>
    <t>soboleva137627@yandex.ru</t>
  </si>
  <si>
    <t>2021-12-06 18:19:29</t>
  </si>
  <si>
    <t>Alena Krasnopolsky</t>
  </si>
  <si>
    <t>alenakrasnopolsky4@gmail.com</t>
  </si>
  <si>
    <t>+972546288884</t>
  </si>
  <si>
    <t>2021-12-07 09:30:57</t>
  </si>
  <si>
    <t>2021-12-07 09:32:16</t>
  </si>
  <si>
    <t>Ника Пекарская</t>
  </si>
  <si>
    <t>Zlaya.Kotka@mail.ru</t>
  </si>
  <si>
    <t>+375255241338</t>
  </si>
  <si>
    <t>2021-12-07 10:29:52</t>
  </si>
  <si>
    <t>Christiane Ch</t>
  </si>
  <si>
    <t>donner-christiane@web.de</t>
  </si>
  <si>
    <t>2021-12-07 12:38:48</t>
  </si>
  <si>
    <t>What hides behind anxiety? The quantum leap [EU]</t>
  </si>
  <si>
    <t>2021|Eng|Автовебинар|Октябрь|онлайн</t>
  </si>
  <si>
    <t>Evangelos Karopoulos</t>
  </si>
  <si>
    <t>evan281993@gmail.com</t>
  </si>
  <si>
    <t>2021-12-07 16:56:46</t>
  </si>
  <si>
    <t>Test Test</t>
  </si>
  <si>
    <t>romualdas@givinschool.org</t>
  </si>
  <si>
    <t>+79384940883</t>
  </si>
  <si>
    <t>2021-12-07 19:10:43</t>
  </si>
  <si>
    <t>Renee Meijer</t>
  </si>
  <si>
    <t>reneemeij@gmail.com</t>
  </si>
  <si>
    <t>2021-12-07 21:02:13</t>
  </si>
  <si>
    <t>Eleni Papadopoulou</t>
  </si>
  <si>
    <t>ele27pap@yahoo.gr</t>
  </si>
  <si>
    <t>2021-12-07 22:00:32</t>
  </si>
  <si>
    <t>Gunjan Lal</t>
  </si>
  <si>
    <t>gunjan18glal@gmail.com</t>
  </si>
  <si>
    <t>2021-12-08 00:15:33</t>
  </si>
  <si>
    <t>Joana Joana</t>
  </si>
  <si>
    <t>joanamviegas@gmail.com</t>
  </si>
  <si>
    <t>2021-12-08 03:24:14</t>
  </si>
  <si>
    <t>2021-12-08 03:31:16</t>
  </si>
  <si>
    <t>2021-12-08 03:31:30</t>
  </si>
  <si>
    <t>Eleni Papa</t>
  </si>
  <si>
    <t>melangebg@gmail.com</t>
  </si>
  <si>
    <t>2021-12-08 05:46:38</t>
  </si>
  <si>
    <t>2021-12-08 05:46:42</t>
  </si>
  <si>
    <t>Sacha Haas</t>
  </si>
  <si>
    <t>sachahaas66@gmail.com</t>
  </si>
  <si>
    <t>2021-12-08 08:49:58</t>
  </si>
  <si>
    <t>2021-12-08 08:50:35</t>
  </si>
  <si>
    <t>Susanne VISSER</t>
  </si>
  <si>
    <t>susannevisser7@hotmail.com</t>
  </si>
  <si>
    <t>2021-12-08 11:14:46</t>
  </si>
  <si>
    <t>Marjolie Verbraak</t>
  </si>
  <si>
    <t>marjolielouise@hotmail.com</t>
  </si>
  <si>
    <t>2021-12-08 12:45:38</t>
  </si>
  <si>
    <t>2021-12-08 12:46:06</t>
  </si>
  <si>
    <t>Agnese P?ra</t>
  </si>
  <si>
    <t>agnese_pavlova@inbox.lv</t>
  </si>
  <si>
    <t>+37126160695</t>
  </si>
  <si>
    <t>2021-12-08 13:17:52</t>
  </si>
  <si>
    <t>Ieva Mikijanska</t>
  </si>
  <si>
    <t>ieva.mikijanska@gmail.com</t>
  </si>
  <si>
    <t>2021-12-08 13:43:15</t>
  </si>
  <si>
    <t>Inga Kozaka</t>
  </si>
  <si>
    <t>inga.kozaka@gmail.com</t>
  </si>
  <si>
    <t>+37129197225</t>
  </si>
  <si>
    <t>2021-12-08 14:45:31</t>
  </si>
  <si>
    <t>Ilze Brauna</t>
  </si>
  <si>
    <t>pucpuc@inbox.lv</t>
  </si>
  <si>
    <t>+37129213099</t>
  </si>
  <si>
    <t>2021-12-08 15:02:19</t>
  </si>
  <si>
    <t>Vija Ūdre</t>
  </si>
  <si>
    <t>vijaudre@gmail.com</t>
  </si>
  <si>
    <t>2021-12-08 15:29:10</t>
  </si>
  <si>
    <t>Ana Vieira</t>
  </si>
  <si>
    <t>analerenovieira@gmail.com</t>
  </si>
  <si>
    <t>2021-12-08 15:31:02</t>
  </si>
  <si>
    <t>2021-12-08 15:31:25</t>
  </si>
  <si>
    <t>Beāte Sila</t>
  </si>
  <si>
    <t>beate_z@inbox.lv</t>
  </si>
  <si>
    <t>2021-12-08 16:07:47</t>
  </si>
  <si>
    <t>Anna Drevinska</t>
  </si>
  <si>
    <t>kastanse@inbox.lv</t>
  </si>
  <si>
    <t>00353868666112</t>
  </si>
  <si>
    <t>2021-12-08 16:37:50</t>
  </si>
  <si>
    <t>Bárbara Costa</t>
  </si>
  <si>
    <t>barbarafiuza68@gmail.com</t>
  </si>
  <si>
    <t>2021-12-08 16:58:35</t>
  </si>
  <si>
    <t>Ольга Григорьева</t>
  </si>
  <si>
    <t>goa@list.ru</t>
  </si>
  <si>
    <t>+79213388408</t>
  </si>
  <si>
    <t>2021-12-08 17:58:36</t>
  </si>
  <si>
    <t>2021-12-08 18:10:47</t>
  </si>
  <si>
    <t>Kristiāna Sokova</t>
  </si>
  <si>
    <t>kristiana1sokova@gmail.com</t>
  </si>
  <si>
    <t>2021-12-08 19:28:56</t>
  </si>
  <si>
    <t>Наталья Абакумова</t>
  </si>
  <si>
    <t>shantal1309@gmail.com</t>
  </si>
  <si>
    <t>+375296091307</t>
  </si>
  <si>
    <t>2021-12-08 20:32:00</t>
  </si>
  <si>
    <t>Vita Ormane</t>
  </si>
  <si>
    <t>Vitacevere@inbox.lv</t>
  </si>
  <si>
    <t>+37128682870</t>
  </si>
  <si>
    <t>2021-12-08 21:24:23</t>
  </si>
  <si>
    <t>Vineta Riekstiņa</t>
  </si>
  <si>
    <t>vineta@m2m.lv</t>
  </si>
  <si>
    <t>+37126489299</t>
  </si>
  <si>
    <t>2021-12-08 22:16:43</t>
  </si>
  <si>
    <t>Елена Галимова</t>
  </si>
  <si>
    <t>marta581@yandex.ru</t>
  </si>
  <si>
    <t>+79613680141</t>
  </si>
  <si>
    <t>2021-12-08 22:30:59</t>
  </si>
  <si>
    <t>Медитация без стереотипов</t>
  </si>
  <si>
    <t>МБС|Медитация без стереотипов|Ноябрь|онлайн</t>
  </si>
  <si>
    <t>Sandra Sarmiņa</t>
  </si>
  <si>
    <t>sandra.kaspars@gmail.com</t>
  </si>
  <si>
    <t>+37126812993</t>
  </si>
  <si>
    <t>2021-12-08 23:34:03</t>
  </si>
  <si>
    <t>Falkou Elena</t>
  </si>
  <si>
    <t>ellenaflk@gmail.com</t>
  </si>
  <si>
    <t>2021-12-09 00:27:53</t>
  </si>
  <si>
    <t>Marion Spintzou</t>
  </si>
  <si>
    <t>marionspintzou@gmail.com</t>
  </si>
  <si>
    <t>2021-12-09 00:38:32</t>
  </si>
  <si>
    <t>Ina Tīdemane</t>
  </si>
  <si>
    <t>saulesauto@inbox.lv</t>
  </si>
  <si>
    <t>+371 26423269</t>
  </si>
  <si>
    <t>2021-12-09 01:40:39</t>
  </si>
  <si>
    <t>test test</t>
  </si>
  <si>
    <t>kryziaus@gmail.com</t>
  </si>
  <si>
    <t>2021-12-09 12:40:49</t>
  </si>
  <si>
    <t>Julie Rogers</t>
  </si>
  <si>
    <t>julierogers@alpine-massage.com</t>
  </si>
  <si>
    <t>2021-12-09 13:26:10</t>
  </si>
  <si>
    <t>Rita Reiha</t>
  </si>
  <si>
    <t>ritta.reiha@gmail.com</t>
  </si>
  <si>
    <t>2021-12-09 14:50:07</t>
  </si>
  <si>
    <t>Михаил Шавлюк</t>
  </si>
  <si>
    <t>Ineyqq@gmail.com</t>
  </si>
  <si>
    <t>+375291328065</t>
  </si>
  <si>
    <t>2021-12-09 15:00:37</t>
  </si>
  <si>
    <t>Зульфия Иззетова</t>
  </si>
  <si>
    <t>professor-69@mail.ru</t>
  </si>
  <si>
    <t>+79052642924</t>
  </si>
  <si>
    <t>2021-12-09 15:15:53</t>
  </si>
  <si>
    <t>Маргарита Левшукова</t>
  </si>
  <si>
    <t>mlevshukova@gmail.com</t>
  </si>
  <si>
    <t>+375445319102</t>
  </si>
  <si>
    <t>2021-12-09 17:17:16</t>
  </si>
  <si>
    <t>Evaghelia Charizani</t>
  </si>
  <si>
    <t>vagie7@yahoo.gr</t>
  </si>
  <si>
    <t>2021-12-09 18:23:21</t>
  </si>
  <si>
    <t>Inese Kanska-Gelo</t>
  </si>
  <si>
    <t>inese.kanska@gmail.com</t>
  </si>
  <si>
    <t>2021-12-09 18:53:22</t>
  </si>
  <si>
    <t>Δημητρης ΛΑΙΟΣ</t>
  </si>
  <si>
    <t>Jim_laios@yahoo.gr</t>
  </si>
  <si>
    <t>2021-12-09 19:10:34</t>
  </si>
  <si>
    <t>Saskia Drenth</t>
  </si>
  <si>
    <t>anasaxya@gmail.com</t>
  </si>
  <si>
    <t>2021-12-09 21:00:31</t>
  </si>
  <si>
    <t>2021-12-09 21:23:40</t>
  </si>
  <si>
    <t>Eirini Karagiannidou</t>
  </si>
  <si>
    <t>Karrenia94@gmail.com</t>
  </si>
  <si>
    <t>2021-12-10 00:00:58</t>
  </si>
  <si>
    <t>2021-12-10 00:01:26</t>
  </si>
  <si>
    <t>Mona Stancu</t>
  </si>
  <si>
    <t>monastancu5@gmail.com</t>
  </si>
  <si>
    <t>2021-12-10 02:33:47</t>
  </si>
  <si>
    <t>2021-12-10 02:33:57</t>
  </si>
  <si>
    <t>Ilona Jansone</t>
  </si>
  <si>
    <t>ilonaijansonei@gmail.com</t>
  </si>
  <si>
    <t>+37129121788</t>
  </si>
  <si>
    <t>2021-12-10 12:58:40</t>
  </si>
  <si>
    <t>Ināra Muižniece</t>
  </si>
  <si>
    <t>muizniece.inara@gmail.com</t>
  </si>
  <si>
    <t>2021-12-10 15:05:18</t>
  </si>
  <si>
    <t>Liga Krastina-Damianaki</t>
  </si>
  <si>
    <t>ligakrasti@hotmail.com</t>
  </si>
  <si>
    <t>00352691230674</t>
  </si>
  <si>
    <t>2021-12-10 16:52:51</t>
  </si>
  <si>
    <t>Ева Мухамад</t>
  </si>
  <si>
    <t>e634472@gmail.com</t>
  </si>
  <si>
    <t>+375336053219</t>
  </si>
  <si>
    <t>2021-12-10 18:08:10</t>
  </si>
  <si>
    <t>Андрей Попович</t>
  </si>
  <si>
    <t>andrewjr@mail.ru</t>
  </si>
  <si>
    <t>+375259141368</t>
  </si>
  <si>
    <t>2021-12-10 22:15:51</t>
  </si>
  <si>
    <t>Мария Архипова</t>
  </si>
  <si>
    <t>nawemarusa@gmail.com</t>
  </si>
  <si>
    <t>+79046899319</t>
  </si>
  <si>
    <t>2021-12-10 22:16:02</t>
  </si>
  <si>
    <t>Иван Попеня</t>
  </si>
  <si>
    <t>375292234514@yandex.by</t>
  </si>
  <si>
    <t>+375292234514</t>
  </si>
  <si>
    <t>2021-12-10 22:20:00</t>
  </si>
  <si>
    <t>Yulii Glow</t>
  </si>
  <si>
    <t>yuliiwhite2@gmail.com</t>
  </si>
  <si>
    <t>+375293148258</t>
  </si>
  <si>
    <t>2021-12-10 22:30:38</t>
  </si>
  <si>
    <t>Elena Harke</t>
  </si>
  <si>
    <t>lenaharke@gmx.de</t>
  </si>
  <si>
    <t>017621041945</t>
  </si>
  <si>
    <t>2021-12-11 22:30:03</t>
  </si>
  <si>
    <t>Ryskul Abduvalieva</t>
  </si>
  <si>
    <t>Ryskul72@mail.ru</t>
  </si>
  <si>
    <t>+996777951058</t>
  </si>
  <si>
    <t>2021-12-12 18:09:56</t>
  </si>
  <si>
    <t>2021-12-12 18:40:41</t>
  </si>
  <si>
    <t>Полина Лёвина</t>
  </si>
  <si>
    <t>P.levina@internet.ru</t>
  </si>
  <si>
    <t>2021-12-12 19:11:07</t>
  </si>
  <si>
    <t>Вера Булдыгина</t>
  </si>
  <si>
    <t>forma06@yandex.ru</t>
  </si>
  <si>
    <t>+79266924481</t>
  </si>
  <si>
    <t>2021-12-12 19:11:17</t>
  </si>
  <si>
    <t>Александра Степанюк</t>
  </si>
  <si>
    <t>stepanyuk_2020@inbox.ru</t>
  </si>
  <si>
    <t>+375297938190</t>
  </si>
  <si>
    <t>2021-12-12 20:29:00</t>
  </si>
  <si>
    <t>Живая "Практика Тишины" Минск (регулярные занятия)</t>
  </si>
  <si>
    <t>Живое|Минск|Практика тишины|Регулярные занятия</t>
  </si>
  <si>
    <t>Алена Ткаченко</t>
  </si>
  <si>
    <t>alyonadaiva@hotmail.co.uk</t>
  </si>
  <si>
    <t>+447596615590</t>
  </si>
  <si>
    <t>2021-12-12 21:06:27</t>
  </si>
  <si>
    <t>Международный ретрит 14-21.1.2022 Украина (6500 Гривен) (оплата до 26.12.2021)</t>
  </si>
  <si>
    <t>Юлия Ларикова</t>
  </si>
  <si>
    <t>yuliyalarikova@gmail.com</t>
  </si>
  <si>
    <t>2021-12-13 00:11:06</t>
  </si>
  <si>
    <t>Наталья Коробейникова</t>
  </si>
  <si>
    <t>nukorob@yandex.ru</t>
  </si>
  <si>
    <t>2021-12-13 11:34:02</t>
  </si>
  <si>
    <t>Alexander Huschka</t>
  </si>
  <si>
    <t>ankomeva@gmail.com</t>
  </si>
  <si>
    <t>+4915905878416</t>
  </si>
  <si>
    <t>2021-12-13 14:14:53</t>
  </si>
  <si>
    <t>Виктор Фуклев</t>
  </si>
  <si>
    <t>fuklyev@ukr.net</t>
  </si>
  <si>
    <t>+380503309100</t>
  </si>
  <si>
    <t>2021-12-13 14:25:42</t>
  </si>
  <si>
    <t>Мария Лукьянова</t>
  </si>
  <si>
    <t>Lakshmypala1@gmail.com</t>
  </si>
  <si>
    <t>+79645349390</t>
  </si>
  <si>
    <t>2021-12-13 18:23:09</t>
  </si>
  <si>
    <t>Toms Gineitis</t>
  </si>
  <si>
    <t>gineitis.toms@gmail.com</t>
  </si>
  <si>
    <t>2021-12-13 20:18:02</t>
  </si>
  <si>
    <t>София Яковлева</t>
  </si>
  <si>
    <t>remember.your.may@mail.ru</t>
  </si>
  <si>
    <t>+79003067090</t>
  </si>
  <si>
    <t>2021-12-13 22:32:44</t>
  </si>
  <si>
    <t>2021-12-14 13:53:09</t>
  </si>
  <si>
    <t>Маргарита Алфёрова</t>
  </si>
  <si>
    <t>alferova.craft@gmail.com</t>
  </si>
  <si>
    <t>+380977482188</t>
  </si>
  <si>
    <t>2021-12-14 17:51:38</t>
  </si>
  <si>
    <t>Малика Рахимова</t>
  </si>
  <si>
    <t>malikarahimova@gimail.com</t>
  </si>
  <si>
    <t>+998971598883</t>
  </si>
  <si>
    <t>2021-12-14 20:25:05</t>
  </si>
  <si>
    <t>Лана Внукова</t>
  </si>
  <si>
    <t>lanastart77777@gmail.com</t>
  </si>
  <si>
    <t>+380956870187</t>
  </si>
  <si>
    <t>2021-12-15 09:33:05</t>
  </si>
  <si>
    <t>Елена Гусарова</t>
  </si>
  <si>
    <t>len.gusarowa2011@yandex.ru</t>
  </si>
  <si>
    <t>+79995242893</t>
  </si>
  <si>
    <t>2021-12-15 11:12:16</t>
  </si>
  <si>
    <t>Инна Зубченко</t>
  </si>
  <si>
    <t>4114734148@mail.ru</t>
  </si>
  <si>
    <t>2021-12-16 13:24:27</t>
  </si>
  <si>
    <t>Денис Хакимов</t>
  </si>
  <si>
    <t>remontadin82@mail.ru</t>
  </si>
  <si>
    <t>2021-12-16 15:41:16</t>
  </si>
  <si>
    <t>Дарья Дьяченко</t>
  </si>
  <si>
    <t>daryadyachenko12@gmail.com</t>
  </si>
  <si>
    <t>+79261497103</t>
  </si>
  <si>
    <t>2021-12-16 16:07:30</t>
  </si>
  <si>
    <t>Никита Никачев</t>
  </si>
  <si>
    <t>nikita.nikachev@mail.ru</t>
  </si>
  <si>
    <t>+79997883306</t>
  </si>
  <si>
    <t>2021-12-16 16:51:49</t>
  </si>
  <si>
    <t>Алина Лапина</t>
  </si>
  <si>
    <t>alinawtw@gmail.com</t>
  </si>
  <si>
    <t>2021-12-16 18:29:46</t>
  </si>
  <si>
    <t>Иван Вахрушев</t>
  </si>
  <si>
    <t>69kam@ro.ru</t>
  </si>
  <si>
    <t>2021-12-16 20:30:56</t>
  </si>
  <si>
    <t>Елена Кармазина</t>
  </si>
  <si>
    <t>elenakarmazina@yandex.ru</t>
  </si>
  <si>
    <t>+79859647373</t>
  </si>
  <si>
    <t>2021-12-16 23:24:43</t>
  </si>
  <si>
    <t>максим жданов</t>
  </si>
  <si>
    <t>aklipetsk@mail.ru</t>
  </si>
  <si>
    <t>+79192513401</t>
  </si>
  <si>
    <t>2021-12-17 06:55:04</t>
  </si>
  <si>
    <t>Наталья Романова</t>
  </si>
  <si>
    <t>mood.convex01@icloud.com</t>
  </si>
  <si>
    <t>+79859986838</t>
  </si>
  <si>
    <t>2021-12-17 10:00:36</t>
  </si>
  <si>
    <t>Наталия Братская</t>
  </si>
  <si>
    <t>Tasha191212@gmail.com</t>
  </si>
  <si>
    <t>+380973960527</t>
  </si>
  <si>
    <t>2021-12-17 17:25:05</t>
  </si>
  <si>
    <t>Юлия Новожилова</t>
  </si>
  <si>
    <t>y_knopka22@list.ru</t>
  </si>
  <si>
    <t>2021-12-17 18:14:35</t>
  </si>
  <si>
    <t>Natalja Bobõljova</t>
  </si>
  <si>
    <t>vland77@mail.ru</t>
  </si>
  <si>
    <t>+37253311770</t>
  </si>
  <si>
    <t>2021-12-17 19:18:07</t>
  </si>
  <si>
    <t>Константин Никульшин</t>
  </si>
  <si>
    <t>nikson000@yandex.ru</t>
  </si>
  <si>
    <t>+79009041615</t>
  </si>
  <si>
    <t>2021-12-17 19:25:04</t>
  </si>
  <si>
    <t>Aira Cimdina</t>
  </si>
  <si>
    <t>aira.cimdina@gmail.com</t>
  </si>
  <si>
    <t>2021-12-17 21:54:26</t>
  </si>
  <si>
    <t>Владимир Мешечко</t>
  </si>
  <si>
    <t>meshechko.brrb@gmail.com</t>
  </si>
  <si>
    <t>+375296539515</t>
  </si>
  <si>
    <t>2021-12-18 20:52:04</t>
  </si>
  <si>
    <t>Ирина Климачева</t>
  </si>
  <si>
    <t>ira.klimacheva@mail.ru</t>
  </si>
  <si>
    <t>+375297361691</t>
  </si>
  <si>
    <t>2021-12-19 15:25:14</t>
  </si>
  <si>
    <t>Лина Науменко</t>
  </si>
  <si>
    <t>linahohlina@icloud.com</t>
  </si>
  <si>
    <t>+375336258590</t>
  </si>
  <si>
    <t>2021-12-19 15:29:42</t>
  </si>
  <si>
    <t>Диля Болтуева</t>
  </si>
  <si>
    <t>dilyaboltueva@gmail.com</t>
  </si>
  <si>
    <t>+79671125235</t>
  </si>
  <si>
    <t>2021-12-20 03:20:38</t>
  </si>
  <si>
    <t>ГерМан Ман</t>
  </si>
  <si>
    <t>1491000@mail.ru</t>
  </si>
  <si>
    <t>+79672584466</t>
  </si>
  <si>
    <t>2021-12-20 23:00:36</t>
  </si>
  <si>
    <t>Ретрит в РЦ Сочи 14-21 января 2022 (Оплата до 24 декабря)</t>
  </si>
  <si>
    <t>2021-12-21 15:43:26</t>
  </si>
  <si>
    <t>2021-12-22 12:29:06</t>
  </si>
  <si>
    <t xml:space="preserve"> Живая "Практика Тишины" Киев (регулярные занятия)</t>
  </si>
  <si>
    <t>Живое|Киев|Практика тишины|Регулярные занятия</t>
  </si>
  <si>
    <t>Олег Анисимов</t>
  </si>
  <si>
    <t>ing430@mail.ru</t>
  </si>
  <si>
    <t>2021-12-23 06:05:07</t>
  </si>
  <si>
    <t>Вера Олейник</t>
  </si>
  <si>
    <t>Vera.dok@mail.ru</t>
  </si>
  <si>
    <t>+79652178474</t>
  </si>
  <si>
    <t>2021-12-23 10:54:49</t>
  </si>
  <si>
    <t>Лейла Подгорная</t>
  </si>
  <si>
    <t>Podgornayal@gmail.com</t>
  </si>
  <si>
    <t>+79151154097</t>
  </si>
  <si>
    <t>2021-12-23 11:22:17</t>
  </si>
  <si>
    <t>Юлия Светличная</t>
  </si>
  <si>
    <t>zaharova_1988@mail.ru</t>
  </si>
  <si>
    <t>+79855823011</t>
  </si>
  <si>
    <t>2021-12-23 11:22:29</t>
  </si>
  <si>
    <t>Павел Ковальчук</t>
  </si>
  <si>
    <t>pasha_lx1@mail.ru</t>
  </si>
  <si>
    <t>+79242286777</t>
  </si>
  <si>
    <t>2021-12-23 12:42:53</t>
  </si>
  <si>
    <t>Артур Сабитов</t>
  </si>
  <si>
    <t>Sabit5555@gmail.com</t>
  </si>
  <si>
    <t>+79777558830</t>
  </si>
  <si>
    <t>2021-12-23 19:23:08</t>
  </si>
  <si>
    <t>2021-12-23 21:24:23</t>
  </si>
  <si>
    <t>Елена Тищенко</t>
  </si>
  <si>
    <t>pensionka.lena@yandex.ru</t>
  </si>
  <si>
    <t>+79198806679</t>
  </si>
  <si>
    <t>2021-12-23 22:20:03</t>
  </si>
  <si>
    <t>Валентина Валентина Геннадьевна Коржаева</t>
  </si>
  <si>
    <t>korjaevavalentina@yandex.ru</t>
  </si>
  <si>
    <t>+79234534946</t>
  </si>
  <si>
    <t>2021-12-24 17:23:30</t>
  </si>
  <si>
    <t>2021-12-24 18:14:27</t>
  </si>
  <si>
    <t>Друзья. Базовый уровень (ежемесячная платная подписка)  x 5</t>
  </si>
  <si>
    <t>2021-12-24 18:14:32</t>
  </si>
  <si>
    <t>Друзья. Базовый уровень (ежемесячная платная подписка)  x 6</t>
  </si>
  <si>
    <t>2021-12-24 23:08:32</t>
  </si>
  <si>
    <t>Евгений Горюнов</t>
  </si>
  <si>
    <t>evgenistranger89@gmail.com</t>
  </si>
  <si>
    <t>2021-12-25 18:50:50</t>
  </si>
  <si>
    <t>zmey31icq@yandex.ru</t>
  </si>
  <si>
    <t>2021-12-26 16:33:10</t>
  </si>
  <si>
    <t>Ирина Третьякова</t>
  </si>
  <si>
    <t>dorofeeva.1971@mail.ru</t>
  </si>
  <si>
    <t>2021-12-26 23:06:04</t>
  </si>
  <si>
    <t>2021-12-27 14:57:56</t>
  </si>
  <si>
    <t>2021-12-27 23:45:08</t>
  </si>
  <si>
    <t>Евгений Евгений</t>
  </si>
  <si>
    <t>Xooponopono108@gmail.com</t>
  </si>
  <si>
    <t>+380670082774</t>
  </si>
  <si>
    <t>2021-12-28 17:22:42</t>
  </si>
  <si>
    <t>Ilze Jekuma</t>
  </si>
  <si>
    <t>ilze.jekuma@inbox.lv</t>
  </si>
  <si>
    <t>+37129355632</t>
  </si>
  <si>
    <t>2021-12-28 19:30:44</t>
  </si>
  <si>
    <t>Глеб Коробов</t>
  </si>
  <si>
    <t>Glebk@mail.ru</t>
  </si>
  <si>
    <t>+79263382133</t>
  </si>
  <si>
    <t>2021-12-28 21:42:48</t>
  </si>
  <si>
    <t>ГЛЕБ Капустин</t>
  </si>
  <si>
    <t>Kapystin@yandex.ru</t>
  </si>
  <si>
    <t>+79777436387</t>
  </si>
  <si>
    <t>2021-12-28 21:48:24</t>
  </si>
  <si>
    <t>2021-12-29 11:30:33</t>
  </si>
  <si>
    <t>2021-12-29 11:36:47</t>
  </si>
  <si>
    <t>Сергей Васильев</t>
  </si>
  <si>
    <t>demontag-group@mail.ru</t>
  </si>
  <si>
    <t>+79385107007</t>
  </si>
  <si>
    <t>2021-12-29 12:50:13</t>
  </si>
  <si>
    <t>Александр Константинов</t>
  </si>
  <si>
    <t>alexanderkonst@gmail.com</t>
  </si>
  <si>
    <t>+31627390326</t>
  </si>
  <si>
    <t>2021-12-29 19:47:39</t>
  </si>
  <si>
    <t>Ретрит Сочи 14-21 января 2022 (Оплата 25 декабря - 4 января)</t>
  </si>
  <si>
    <t>Елена Пьянкова</t>
  </si>
  <si>
    <t>elenaobuv@rambler.ru</t>
  </si>
  <si>
    <t>2021-12-29 19:56:19</t>
  </si>
  <si>
    <t>Сергей Ушанов</t>
  </si>
  <si>
    <t>sergey.ushanov.1953@gmail.com</t>
  </si>
  <si>
    <t>+79261128921</t>
  </si>
  <si>
    <t>2021-12-30 00:03:12</t>
  </si>
  <si>
    <t>Юлия Пронина</t>
  </si>
  <si>
    <t>pronina.79@mail.ru</t>
  </si>
  <si>
    <t>+79295801303</t>
  </si>
  <si>
    <t>2021-12-30 10:02:03</t>
  </si>
  <si>
    <t>Игорь Lucky Chucky Чекмарев</t>
  </si>
  <si>
    <t>igortchekmarev@mail.ru</t>
  </si>
  <si>
    <t>2021-12-30 14:40:24</t>
  </si>
  <si>
    <t>Алексей Колеров</t>
  </si>
  <si>
    <t>kvalexey@gmail.com</t>
  </si>
  <si>
    <t>+79226490957</t>
  </si>
  <si>
    <t>2021-12-30 16:25:55</t>
  </si>
  <si>
    <t>Мадина Кучменова</t>
  </si>
  <si>
    <t>madlen-2007@mail.ru</t>
  </si>
  <si>
    <t>+79287227997</t>
  </si>
  <si>
    <t>2022-01-02 14:01:41</t>
  </si>
  <si>
    <t>Владимир Литвиненко</t>
  </si>
  <si>
    <t>litv777@yandex.ru</t>
  </si>
  <si>
    <t>2022-01-02 14:04:36</t>
  </si>
  <si>
    <t>Кристина Кособуцкая</t>
  </si>
  <si>
    <t>kosobuckaakristina69@gmail.com</t>
  </si>
  <si>
    <t>2022-01-02 19:24:56</t>
  </si>
  <si>
    <t>Чайная встреча в Минске 8.1.22</t>
  </si>
  <si>
    <t>2022|Живое|Минск|чайная встреча|Январь</t>
  </si>
  <si>
    <t>Надя Микулич</t>
  </si>
  <si>
    <t>Milirizzm@gmail.com</t>
  </si>
  <si>
    <t>+375295231444</t>
  </si>
  <si>
    <t>2022-01-02 21:37:54</t>
  </si>
  <si>
    <t>Ульяна Казановская</t>
  </si>
  <si>
    <t>ulkakazanovskaya@gmail.com</t>
  </si>
  <si>
    <t>+375445550903</t>
  </si>
  <si>
    <t>2022-01-02 23:09:09</t>
  </si>
  <si>
    <t>Лера Кибисова</t>
  </si>
  <si>
    <t>kibisova05@gmail.com</t>
  </si>
  <si>
    <t>+375336200299</t>
  </si>
  <si>
    <t>2022-01-03 10:43:32</t>
  </si>
  <si>
    <t>Полина Кашина</t>
  </si>
  <si>
    <t>polli.sanny@mail.ru</t>
  </si>
  <si>
    <t>2022-01-03 12:03:53</t>
  </si>
  <si>
    <t>2022-01-03 13:11:22</t>
  </si>
  <si>
    <t>Грошева</t>
  </si>
  <si>
    <t>lisenok.1982@mail.ru</t>
  </si>
  <si>
    <t>+79054563468</t>
  </si>
  <si>
    <t>2022-01-03 18:53:37</t>
  </si>
  <si>
    <t>Женский круг</t>
  </si>
  <si>
    <t>Катя Шипулина|онлайн</t>
  </si>
  <si>
    <t>Raimonds Dreijers</t>
  </si>
  <si>
    <t>raudre312@gmail.com</t>
  </si>
  <si>
    <t>+37124973339</t>
  </si>
  <si>
    <t>2022-01-03 20:03:19</t>
  </si>
  <si>
    <t>ретрит ЕВРОПЕЙСКИЙ 14-21.1.2022 Латвия(550€)</t>
  </si>
  <si>
    <t>Domile Semeskeviciute</t>
  </si>
  <si>
    <t>domile99@gmail.com</t>
  </si>
  <si>
    <t>+37061421915</t>
  </si>
  <si>
    <t>2022-01-04 10:02:28</t>
  </si>
  <si>
    <t>Olga Trigubovich</t>
  </si>
  <si>
    <t>lia.trioll@gmail.com</t>
  </si>
  <si>
    <t>+375445835179</t>
  </si>
  <si>
    <t>2022-01-04 14:20:33</t>
  </si>
  <si>
    <t>Margarita JOCHIM</t>
  </si>
  <si>
    <t>Jochimmargarita@gmail.com</t>
  </si>
  <si>
    <t>+4915734100050</t>
  </si>
  <si>
    <t>2022-01-04 16:43:17</t>
  </si>
  <si>
    <t>Дарья Аврамова</t>
  </si>
  <si>
    <t>dashaavramova@gmail.com</t>
  </si>
  <si>
    <t>+375296161482</t>
  </si>
  <si>
    <t>2022-01-04 18:29:01</t>
  </si>
  <si>
    <t>yulia chaikoffskaya</t>
  </si>
  <si>
    <t>chaikoffskaya@gmail.com</t>
  </si>
  <si>
    <t>+375291875979</t>
  </si>
  <si>
    <t>2022-01-05 00:18:42</t>
  </si>
  <si>
    <t>Sabine Krebs</t>
  </si>
  <si>
    <t>reinoldsave@gmx.ch</t>
  </si>
  <si>
    <t>+410788124367</t>
  </si>
  <si>
    <t>2022-01-05 10:42:23</t>
  </si>
  <si>
    <t>Retreat, 14-21 Januar 2022, Bad Meinberg (550€)</t>
  </si>
  <si>
    <t>2022|7 дней|Deu|Германия|Европа|Живое|Ретрит|Январь</t>
  </si>
  <si>
    <t>Нина Демидова</t>
  </si>
  <si>
    <t>ninademidova275@gmail.com</t>
  </si>
  <si>
    <t>+79374267398</t>
  </si>
  <si>
    <t>2022-01-05 13:01:45</t>
  </si>
  <si>
    <t>Анастасія Барабаш</t>
  </si>
  <si>
    <t>an.barabash00@gmail.com</t>
  </si>
  <si>
    <t>+380675543841</t>
  </si>
  <si>
    <t>2022-01-05 14:02:32</t>
  </si>
  <si>
    <t>2022-01-05 15:21:33</t>
  </si>
  <si>
    <t>Елена Медных</t>
  </si>
  <si>
    <t>Leka155@yandex.ru</t>
  </si>
  <si>
    <t>+79222682728</t>
  </si>
  <si>
    <t>2022-01-05 20:19:12</t>
  </si>
  <si>
    <t>Vukoman Varagic</t>
  </si>
  <si>
    <t>vukoman8888@gmail.com</t>
  </si>
  <si>
    <t>015175385568</t>
  </si>
  <si>
    <t>2022-01-05 22:31:31</t>
  </si>
  <si>
    <t>Дмитрий Герасимов</t>
  </si>
  <si>
    <t>imperr91@gmail.com</t>
  </si>
  <si>
    <t>+375298394150</t>
  </si>
  <si>
    <t>2022-01-06 16:02:13</t>
  </si>
  <si>
    <t>Анна Дыбова</t>
  </si>
  <si>
    <t>anna.lipnevich@mail.ru</t>
  </si>
  <si>
    <t>+375293794594</t>
  </si>
  <si>
    <t>2022-01-06 17:28:08</t>
  </si>
  <si>
    <t>Вадим Шакиров</t>
  </si>
  <si>
    <t>vadim22-95@mail.ru</t>
  </si>
  <si>
    <t>2022-01-06 18:23:45</t>
  </si>
  <si>
    <t>Ахметшина Габдулловна</t>
  </si>
  <si>
    <t>madina.trener@mail.ru</t>
  </si>
  <si>
    <t>+79080685678</t>
  </si>
  <si>
    <t>2022-01-06 19:03:53</t>
  </si>
  <si>
    <t>Татьяна Касьяненко</t>
  </si>
  <si>
    <t>pilime6ka@gmail.com</t>
  </si>
  <si>
    <t>+375297029972</t>
  </si>
  <si>
    <t>2022-01-06 21:52:50</t>
  </si>
  <si>
    <t>2022-01-07 09:57:00</t>
  </si>
  <si>
    <t>Иван Николай</t>
  </si>
  <si>
    <t>Sochium@gmail.com</t>
  </si>
  <si>
    <t>2022-01-07 11:16:14</t>
  </si>
  <si>
    <t>2022-01-07 12:11:18</t>
  </si>
  <si>
    <t>Городской ретрит в СПб 14-16.01.2022</t>
  </si>
  <si>
    <t>2022|Городской|Живое|Ретрит|Санкт-Петербург|Январь</t>
  </si>
  <si>
    <t>B B</t>
  </si>
  <si>
    <t>ilyaputilin@ymail.com</t>
  </si>
  <si>
    <t>2022-01-07 12:31:21</t>
  </si>
  <si>
    <t>Ilze Ozoliņa</t>
  </si>
  <si>
    <t>ozoisola@gmail.com</t>
  </si>
  <si>
    <t>+37129361122</t>
  </si>
  <si>
    <t>2022-01-07 12:36:58</t>
  </si>
  <si>
    <t>Николай Андреев</t>
  </si>
  <si>
    <t>Nikolay.vasekin@gmail.com</t>
  </si>
  <si>
    <t>+375297771619</t>
  </si>
  <si>
    <t>2022-01-07 12:43:30</t>
  </si>
  <si>
    <t>Аляксандр Iванавiч Старосценка</t>
  </si>
  <si>
    <t>starost65@gmail.com</t>
  </si>
  <si>
    <t>0296273781</t>
  </si>
  <si>
    <t>2022-01-07 13:35:25</t>
  </si>
  <si>
    <t>Екатерина Соленюк</t>
  </si>
  <si>
    <t>esolenyuk@bk.ru</t>
  </si>
  <si>
    <t>+79683898846</t>
  </si>
  <si>
    <t>2022-01-07 15:31:27</t>
  </si>
  <si>
    <t>2022-01-07 18:22:36</t>
  </si>
  <si>
    <t>marat.bryzgin@gmail.com</t>
  </si>
  <si>
    <t>2022-01-07 18:51:57</t>
  </si>
  <si>
    <t>Елена Шибко</t>
  </si>
  <si>
    <t>elenashybko@gmail.com</t>
  </si>
  <si>
    <t>+375291814521</t>
  </si>
  <si>
    <t>2022-01-07 21:11:49</t>
  </si>
  <si>
    <t>Dace Saulenberga</t>
  </si>
  <si>
    <t>faberlic_oxy@inbox.lv</t>
  </si>
  <si>
    <t>2022-01-07 21:37:41</t>
  </si>
  <si>
    <t>Елизавета Косарева</t>
  </si>
  <si>
    <t>elizavetta.kosareva@yandex.ru</t>
  </si>
  <si>
    <t>+79253451760</t>
  </si>
  <si>
    <t>2022-01-08 13:16:39</t>
  </si>
  <si>
    <t>olga Миронова</t>
  </si>
  <si>
    <t>olga_m.n@mail.ru</t>
  </si>
  <si>
    <t>2022-01-08 23:33:31</t>
  </si>
  <si>
    <t>2022-01-09 15:49:27</t>
  </si>
  <si>
    <t>Ринат Исмагилов</t>
  </si>
  <si>
    <t>Ismagilov@partslin.com</t>
  </si>
  <si>
    <t>+79680851522</t>
  </si>
  <si>
    <t>2022-01-09 17:23:28</t>
  </si>
  <si>
    <t>Ismahilovrw@mail.ru</t>
  </si>
  <si>
    <t>2022-01-09 17:31:12</t>
  </si>
  <si>
    <t>Валерий Трафимович</t>
  </si>
  <si>
    <t>valerijmag@gmail.com</t>
  </si>
  <si>
    <t>+37122551551</t>
  </si>
  <si>
    <t>2022-01-09 22:23:49</t>
  </si>
  <si>
    <t>2022-01-10 15:12:25</t>
  </si>
  <si>
    <t>Виктория Лукошина</t>
  </si>
  <si>
    <t>v.lukoshyna@gmail.com</t>
  </si>
  <si>
    <t>+380986872932</t>
  </si>
  <si>
    <t>2022-01-11 17:46:34</t>
  </si>
  <si>
    <t>Международный ретрит 14-21.1.2022 Украина (7500 Гривен) (оплата с30.12.2021-12.01.2022)</t>
  </si>
  <si>
    <t>2022-01-11 23:19:03</t>
  </si>
  <si>
    <t>2022-01-11 23:26:56</t>
  </si>
  <si>
    <t>Городской интенсив в Минске 26-28.11.2021</t>
  </si>
  <si>
    <t>2021|3 дня|Живое|Интенсив|Минск|Ноябрь</t>
  </si>
  <si>
    <t>Татьяна Громыко</t>
  </si>
  <si>
    <t>irzza@rambler.ru</t>
  </si>
  <si>
    <t>+79036745017</t>
  </si>
  <si>
    <t>2022-01-12 16:41:51</t>
  </si>
  <si>
    <t>2022-01-12 20:47:01</t>
  </si>
  <si>
    <t>Максим Вихров</t>
  </si>
  <si>
    <t>Vikhrov@bk.ru</t>
  </si>
  <si>
    <t>+79680976060</t>
  </si>
  <si>
    <t>2022-01-12 21:10:44</t>
  </si>
  <si>
    <t>2022-01-12 22:33:55</t>
  </si>
  <si>
    <t>2022-01-13 14:18:37</t>
  </si>
  <si>
    <t>Ретрит в Рогово 28.10-3.11.2021 Друзья</t>
  </si>
  <si>
    <t>2021|Живое|Москва|Октябрь|Ретрит|Рогово</t>
  </si>
  <si>
    <t>Евгений Фистикан</t>
  </si>
  <si>
    <t>evgenchumachenko888@gmail.com</t>
  </si>
  <si>
    <t>+380991716071</t>
  </si>
  <si>
    <t>2022-01-13 22:55:28</t>
  </si>
  <si>
    <t>Татьяна Корнева</t>
  </si>
  <si>
    <t>tata-korol@mail.ru</t>
  </si>
  <si>
    <t>2022-01-14 01:10:52</t>
  </si>
  <si>
    <t>Юлия Аппарбекова</t>
  </si>
  <si>
    <t>Lobachka@mail.ru</t>
  </si>
  <si>
    <t>+77051406613</t>
  </si>
  <si>
    <t>2022-01-14 12:14:12</t>
  </si>
  <si>
    <t>Шовкат Ходжаев</t>
  </si>
  <si>
    <t>shovkat.khodjaev@mail.ru</t>
  </si>
  <si>
    <t>+998998198968</t>
  </si>
  <si>
    <t>2022-01-14 13:22:27</t>
  </si>
  <si>
    <t>Михаил Дунаев</t>
  </si>
  <si>
    <t>shaolin@bk.ru</t>
  </si>
  <si>
    <t>+79147072708</t>
  </si>
  <si>
    <t>2022-01-14 15:37:47</t>
  </si>
  <si>
    <t>Юлия Тес</t>
  </si>
  <si>
    <t>Youliates@gmail.com</t>
  </si>
  <si>
    <t>+38067345754</t>
  </si>
  <si>
    <t>2022-01-14 19:44:31</t>
  </si>
  <si>
    <t>Наталья Мокроусова</t>
  </si>
  <si>
    <t>mokrousova.natasha@inbox.ru</t>
  </si>
  <si>
    <t>+79137992747</t>
  </si>
  <si>
    <t>2022-01-15 17:36:46</t>
  </si>
  <si>
    <t>Оксана Радченко</t>
  </si>
  <si>
    <t>oxanaradchenko@mail.ru</t>
  </si>
  <si>
    <t>2022-01-15 18:48:44</t>
  </si>
  <si>
    <t>Ольга Алавердова (Макарова)</t>
  </si>
  <si>
    <t>olenkamak2018@mail.ru</t>
  </si>
  <si>
    <t>+79241197488</t>
  </si>
  <si>
    <t>2022-01-16 03:27:43</t>
  </si>
  <si>
    <t>2022-01-16 08:41:54</t>
  </si>
  <si>
    <t>Shoxista Sadullayeva</t>
  </si>
  <si>
    <t>shoxistasadullayeva19@gmail.com</t>
  </si>
  <si>
    <t>2022-01-16 10:15:31</t>
  </si>
  <si>
    <t>Ольга Васильева</t>
  </si>
  <si>
    <t>vasoli2907@gmail.com</t>
  </si>
  <si>
    <t>2022-01-16 10:36:56</t>
  </si>
  <si>
    <t>Olga Vasileva</t>
  </si>
  <si>
    <t>Marianikvasileva@gmail.com</t>
  </si>
  <si>
    <t>2022-01-16 12:01:56</t>
  </si>
  <si>
    <t>Анастасия Дербенёва</t>
  </si>
  <si>
    <t>nice.nastenych@mail.ru</t>
  </si>
  <si>
    <t>+79525000549</t>
  </si>
  <si>
    <t>2022-01-16 15:21:49</t>
  </si>
  <si>
    <t>Даниил Шевченко</t>
  </si>
  <si>
    <t>daniel.sccch@gmail.com</t>
  </si>
  <si>
    <t>+375333934647</t>
  </si>
  <si>
    <t>2022-01-16 21:01:29</t>
  </si>
  <si>
    <t>Чайная встреча в Минске 22.1.22</t>
  </si>
  <si>
    <t>Роман Шупенко</t>
  </si>
  <si>
    <t>Shupenkoroman@gmail.com</t>
  </si>
  <si>
    <t>+995591961825</t>
  </si>
  <si>
    <t>2022-01-20 22:07:50</t>
  </si>
  <si>
    <t>Анна Федорук</t>
  </si>
  <si>
    <t>fedoruk.anna@gmail.com</t>
  </si>
  <si>
    <t>2022-01-21 13:06:36</t>
  </si>
  <si>
    <t>2022-01-21 22:37:43</t>
  </si>
  <si>
    <t>Рамиля Сатаева</t>
  </si>
  <si>
    <t>sataeva.r91@gmail.com</t>
  </si>
  <si>
    <t>2022-01-22 01:11:23</t>
  </si>
  <si>
    <t>Андрей Закревский</t>
  </si>
  <si>
    <t>sidnei777.2011@mail.ru</t>
  </si>
  <si>
    <t>+375256849309</t>
  </si>
  <si>
    <t>2022-01-22 01:11:34</t>
  </si>
  <si>
    <t>Оксана Оксана</t>
  </si>
  <si>
    <t>rainbow192009@rambler.ru</t>
  </si>
  <si>
    <t>+375256528202</t>
  </si>
  <si>
    <t>2022-01-22 11:14:40</t>
  </si>
  <si>
    <t>Наталья Прокудина</t>
  </si>
  <si>
    <t>natali0921@rambler.ru</t>
  </si>
  <si>
    <t>+79181051592</t>
  </si>
  <si>
    <t>2022-01-22 11:43:36</t>
  </si>
  <si>
    <t>larisaedreai</t>
  </si>
  <si>
    <t>larisaedreai@gmail.com</t>
  </si>
  <si>
    <t>2022-01-22 19:34:50</t>
  </si>
  <si>
    <t>Артем Летин</t>
  </si>
  <si>
    <t>aletin@yandex.ru</t>
  </si>
  <si>
    <t>2022-01-23 01:30:36</t>
  </si>
  <si>
    <t>tom Бабкина</t>
  </si>
  <si>
    <t>negus65@yandex.ru</t>
  </si>
  <si>
    <t>+79882456057</t>
  </si>
  <si>
    <t>2022-01-23 14:44:28</t>
  </si>
  <si>
    <t>Olga Sokolova</t>
  </si>
  <si>
    <t>gavroshinka1@gmail.com</t>
  </si>
  <si>
    <t>+79128025810</t>
  </si>
  <si>
    <t>2022-01-23 16:20:38</t>
  </si>
  <si>
    <t>Ирина Самусенко</t>
  </si>
  <si>
    <t>Samysenkoirina@yandex.ru</t>
  </si>
  <si>
    <t>+79106820656</t>
  </si>
  <si>
    <t>2022-01-23 17:20:19</t>
  </si>
  <si>
    <t>Янис Легздиншь</t>
  </si>
  <si>
    <t>legzdins.janis@inbox.lv</t>
  </si>
  <si>
    <t>+37126569795</t>
  </si>
  <si>
    <t>2022-01-23 19:12:48</t>
  </si>
  <si>
    <t>Ева Ласточкина</t>
  </si>
  <si>
    <t>nikakun181@gmail.com</t>
  </si>
  <si>
    <t>+37291621001</t>
  </si>
  <si>
    <t>2022-01-24 03:43:41</t>
  </si>
  <si>
    <t>2022-01-24 10:14:55</t>
  </si>
  <si>
    <t>Дмитрий Донченко</t>
  </si>
  <si>
    <t>rs-7ngc@yandex.ru</t>
  </si>
  <si>
    <t>2022-01-24 14:31:25</t>
  </si>
  <si>
    <t>Мария Романенко</t>
  </si>
  <si>
    <t>mashysia-93@mail.ru</t>
  </si>
  <si>
    <t>+375293156728</t>
  </si>
  <si>
    <t>2022-01-24 15:32:20</t>
  </si>
  <si>
    <t>Екатерина Кулдыркаева</t>
  </si>
  <si>
    <t>kriatif@mail.ru</t>
  </si>
  <si>
    <t>2022-01-24 15:43:41</t>
  </si>
  <si>
    <t>Марина Шарабакина</t>
  </si>
  <si>
    <t>89522012429@mail.ru</t>
  </si>
  <si>
    <t>+79522012429</t>
  </si>
  <si>
    <t>2022-01-24 19:10:44</t>
  </si>
  <si>
    <t>Екатерина Кобец</t>
  </si>
  <si>
    <t>kobets.katsyaryna@gmail.com</t>
  </si>
  <si>
    <t>+375298128917</t>
  </si>
  <si>
    <t>2022-01-24 19:59:32</t>
  </si>
  <si>
    <t>Lolita Liepa</t>
  </si>
  <si>
    <t>lolitaliepa@inbox.lv</t>
  </si>
  <si>
    <t>+37122148805</t>
  </si>
  <si>
    <t>2022-01-24 20:42:46</t>
  </si>
  <si>
    <t>Евгений Пименов</t>
  </si>
  <si>
    <t>hondalion@mail.ru</t>
  </si>
  <si>
    <t>2022-01-24 22:12:31</t>
  </si>
  <si>
    <t>2022-01-24 22:14:40</t>
  </si>
  <si>
    <t>2022-01-24 22:14:41</t>
  </si>
  <si>
    <t>2022-01-24 22:14:42</t>
  </si>
  <si>
    <t>2022-01-24 22:14:44</t>
  </si>
  <si>
    <t>2022-01-24 22:14:45</t>
  </si>
  <si>
    <t>2022-01-25 00:17:16</t>
  </si>
  <si>
    <t>2022-01-25 07:34:17</t>
  </si>
  <si>
    <t>2022-01-25 07:34:18</t>
  </si>
  <si>
    <t>2022-01-25 07:34:19</t>
  </si>
  <si>
    <t>2022-01-25 07:34:21</t>
  </si>
  <si>
    <t>2022-01-25 07:34:22</t>
  </si>
  <si>
    <t>2022-01-25 07:34:23</t>
  </si>
  <si>
    <t>2022-01-25 07:34:24</t>
  </si>
  <si>
    <t>2022-01-25 07:34:25</t>
  </si>
  <si>
    <t>Lidija Trusele</t>
  </si>
  <si>
    <t>circeni@inbox.lv</t>
  </si>
  <si>
    <t>+37129461575</t>
  </si>
  <si>
    <t>2022-01-25 11:48:01</t>
  </si>
  <si>
    <t>Jānis Albrekts</t>
  </si>
  <si>
    <t>rumuli28@inbox.lv</t>
  </si>
  <si>
    <t>2022-01-25 14:32:53</t>
  </si>
  <si>
    <t>Evita Tidmane</t>
  </si>
  <si>
    <t>evita.tidmane@gmail.com</t>
  </si>
  <si>
    <t>+37129488824</t>
  </si>
  <si>
    <t>2022-01-25 19:44:22</t>
  </si>
  <si>
    <t>Dace Ursula Akmentina</t>
  </si>
  <si>
    <t>dakmentina@inbox.lv</t>
  </si>
  <si>
    <t>2022-01-25 22:07:33</t>
  </si>
  <si>
    <t>Владислав Андрушкевич</t>
  </si>
  <si>
    <t>andrushkevych2424@gmail.com</t>
  </si>
  <si>
    <t>+380988622406</t>
  </si>
  <si>
    <t>2022-01-25 23:13:05</t>
  </si>
  <si>
    <t>Iveta Ķimse</t>
  </si>
  <si>
    <t>ivetaki@inbox.lv</t>
  </si>
  <si>
    <t>2022-01-26 10:22:42</t>
  </si>
  <si>
    <t>Мудите Русакова</t>
  </si>
  <si>
    <t>muditeru@inbox.lv</t>
  </si>
  <si>
    <t>+37128330108</t>
  </si>
  <si>
    <t>2022-01-26 19:32:28</t>
  </si>
  <si>
    <t>Gundega Kronberga</t>
  </si>
  <si>
    <t>gundega67@inbox.lv</t>
  </si>
  <si>
    <t>+37126593787</t>
  </si>
  <si>
    <t>2022-01-26 19:55:07</t>
  </si>
  <si>
    <t>Павел Беляев</t>
  </si>
  <si>
    <t>4101111@gmail.com</t>
  </si>
  <si>
    <t>+79244101111</t>
  </si>
  <si>
    <t>2022-01-27 06:26:40</t>
  </si>
  <si>
    <t>2022-01-27 11:10:06</t>
  </si>
  <si>
    <t>Амалия Азатян</t>
  </si>
  <si>
    <t>Amalia-rescuer@yandex.by</t>
  </si>
  <si>
    <t>+79256297551</t>
  </si>
  <si>
    <t>2022-01-27 12:08:45</t>
  </si>
  <si>
    <t>2022-01-27 16:03:53</t>
  </si>
  <si>
    <t>Светлана Юшманова</t>
  </si>
  <si>
    <t>antey-2015@mail.ru</t>
  </si>
  <si>
    <t>+79807099933</t>
  </si>
  <si>
    <t>2022-01-27 22:34:16</t>
  </si>
  <si>
    <t>janis sedjukevics</t>
  </si>
  <si>
    <t>poncis@inbox.lv</t>
  </si>
  <si>
    <t>+37120191229</t>
  </si>
  <si>
    <t>2022-01-28 12:44:12</t>
  </si>
  <si>
    <t xml:space="preserve"> Ретрит в Латвии 6-13.02.2022</t>
  </si>
  <si>
    <t>Maija Horste</t>
  </si>
  <si>
    <t>mhorste@inbox.lv</t>
  </si>
  <si>
    <t>+37120225857</t>
  </si>
  <si>
    <t>2022-01-28 13:36:03</t>
  </si>
  <si>
    <t>Elke Bäumges</t>
  </si>
  <si>
    <t>00elke0@web.de</t>
  </si>
  <si>
    <t>015753344815</t>
  </si>
  <si>
    <t>2022-01-28 21:59:02</t>
  </si>
  <si>
    <t>Ретрит в Латвии 6-13.02.2022 DEU</t>
  </si>
  <si>
    <t>2022|7 дней|Deu|Европа|Живое|Латвия|Март|Ретрит</t>
  </si>
  <si>
    <t>Игорь Иванов</t>
  </si>
  <si>
    <t>aristotelevich@mail.ru</t>
  </si>
  <si>
    <t>+79104642417</t>
  </si>
  <si>
    <t>2022-01-28 23:34:35</t>
  </si>
  <si>
    <t>2022-01-29 11:24:07</t>
  </si>
  <si>
    <t>Davit Simonyan</t>
  </si>
  <si>
    <t>davit.simonyan8@gmail.com</t>
  </si>
  <si>
    <t>+37455624464</t>
  </si>
  <si>
    <t>2022-01-29 22:14:18</t>
  </si>
  <si>
    <t>Ретрит в РЦ Сочи 5-13 марта 2022 (Оплата до 28 февраля)</t>
  </si>
  <si>
    <t>Яна Штевская</t>
  </si>
  <si>
    <t>prosto.yana.95@mail.ru</t>
  </si>
  <si>
    <t>+375291283186</t>
  </si>
  <si>
    <t>2022-01-30 20:03:28</t>
  </si>
  <si>
    <t>Чайная встреча Минск 5.2 2022</t>
  </si>
  <si>
    <t>2022|Живое|Минск|Февраль|чайная встреча</t>
  </si>
  <si>
    <t>Андрей Ростов</t>
  </si>
  <si>
    <t>andris2001@rambler.ru</t>
  </si>
  <si>
    <t>2022-01-31 13:47:34</t>
  </si>
  <si>
    <t>2022-02-01 12:15:42</t>
  </si>
  <si>
    <t>Ольга Елизарова</t>
  </si>
  <si>
    <t>Olga.workis.2000@gmail.com</t>
  </si>
  <si>
    <t>+79152127228</t>
  </si>
  <si>
    <t>2022-02-01 17:40:30</t>
  </si>
  <si>
    <t>2022-02-01 19:15:38</t>
  </si>
  <si>
    <t>Ник Т</t>
  </si>
  <si>
    <t>nikniknik1358@gmail.com</t>
  </si>
  <si>
    <t>+77055585333</t>
  </si>
  <si>
    <t>2022-02-01 19:49:57</t>
  </si>
  <si>
    <t>Юлия Климова</t>
  </si>
  <si>
    <t>yuliya1605@yandex.ru</t>
  </si>
  <si>
    <t>2022-02-01 23:20:24</t>
  </si>
  <si>
    <t>TATYANA EVDOKIMOVA</t>
  </si>
  <si>
    <t>19fdnj.ec67@gmail.com</t>
  </si>
  <si>
    <t>2022-02-02 12:33:55</t>
  </si>
  <si>
    <t>Владислав Киселев</t>
  </si>
  <si>
    <t>prcenterkv@mail.ru</t>
  </si>
  <si>
    <t>+79005375735</t>
  </si>
  <si>
    <t>2022-02-02 13:25:17</t>
  </si>
  <si>
    <t>Ангелина Костадинова</t>
  </si>
  <si>
    <t>angelinakostadinova0703@gmail.com</t>
  </si>
  <si>
    <t>+359887995750</t>
  </si>
  <si>
    <t>2022-02-02 19:12:11</t>
  </si>
  <si>
    <t>2022-02-02 22:17:32</t>
  </si>
  <si>
    <t>2022-02-02 23:00:44</t>
  </si>
  <si>
    <t>Шаг к Пробуждению №6 на латышском Латвия LV 19-26 февраля 2022 г.</t>
  </si>
  <si>
    <t>2022|LAT|LV|Латвия|онлайн|Февраль|Шаг к Пробуждению</t>
  </si>
  <si>
    <t>Николай Пономарёв</t>
  </si>
  <si>
    <t>ponomarev-nikola@rambler.ru</t>
  </si>
  <si>
    <t>+79320944606</t>
  </si>
  <si>
    <t>2022-02-03 08:03:47</t>
  </si>
  <si>
    <t>2022-02-03 10:59:20</t>
  </si>
  <si>
    <t>Ирина Полетаева</t>
  </si>
  <si>
    <t>ipol3taeva@yandex.ru</t>
  </si>
  <si>
    <t>+79922825047</t>
  </si>
  <si>
    <t>2022-02-03 11:19:52</t>
  </si>
  <si>
    <t>Елена Ермолова</t>
  </si>
  <si>
    <t>spd83@yandex.ru</t>
  </si>
  <si>
    <t>2022-02-03 11:42:36</t>
  </si>
  <si>
    <t>2022-02-03 11:47:09</t>
  </si>
  <si>
    <t>Александр Александров</t>
  </si>
  <si>
    <t>aleksstudio@mail.ru</t>
  </si>
  <si>
    <t>+998977076286</t>
  </si>
  <si>
    <t>2022-02-03 11:48:01</t>
  </si>
  <si>
    <t>2022-02-03 11:59:24</t>
  </si>
  <si>
    <t>2022-02-03 12:10:56</t>
  </si>
  <si>
    <t>Любовь Шер</t>
  </si>
  <si>
    <t>sher.luba@gmail.com</t>
  </si>
  <si>
    <t>+972504773309</t>
  </si>
  <si>
    <t>2022-02-03 12:32:18</t>
  </si>
  <si>
    <t>Ася Даневич</t>
  </si>
  <si>
    <t>Asia_1984@mail.ru</t>
  </si>
  <si>
    <t>+972546849232</t>
  </si>
  <si>
    <t>2022-02-03 12:58:47</t>
  </si>
  <si>
    <t>2022-02-03 13:47:44</t>
  </si>
  <si>
    <t>2022-02-03 14:27:41</t>
  </si>
  <si>
    <t>Алексей Саевич</t>
  </si>
  <si>
    <t>saevicalekcej2@gmail.com</t>
  </si>
  <si>
    <t>+79996373502</t>
  </si>
  <si>
    <t>2022-02-03 15:45:06</t>
  </si>
  <si>
    <t>Елена Малащенко</t>
  </si>
  <si>
    <t>malashchenkol646@gmail.com</t>
  </si>
  <si>
    <t>+375292582444</t>
  </si>
  <si>
    <t>2022-02-03 16:34:45</t>
  </si>
  <si>
    <t>2022-02-03 16:36:10</t>
  </si>
  <si>
    <t>Лариса Баранова</t>
  </si>
  <si>
    <t>karaded12@gmail.com</t>
  </si>
  <si>
    <t>+37126841019</t>
  </si>
  <si>
    <t>2022-02-03 18:38:21</t>
  </si>
  <si>
    <t>Нафиса Джафарова</t>
  </si>
  <si>
    <t>nafisa_djafarova@mail.ru</t>
  </si>
  <si>
    <t>+998946577112</t>
  </si>
  <si>
    <t>2022-02-03 18:46:17</t>
  </si>
  <si>
    <t>Maryna Brazinskaya</t>
  </si>
  <si>
    <t>brazinskaya89@mail.ru</t>
  </si>
  <si>
    <t>+375296306450</t>
  </si>
  <si>
    <t>2022-02-03 18:56:00</t>
  </si>
  <si>
    <t>Людмила Трофимова</t>
  </si>
  <si>
    <t>lusik15@mail.ru</t>
  </si>
  <si>
    <t>+33650949381</t>
  </si>
  <si>
    <t>2022-02-03 19:29:24</t>
  </si>
  <si>
    <t>Надежда Довгалева</t>
  </si>
  <si>
    <t>n-dovgaleva@bk.ru</t>
  </si>
  <si>
    <t>2022-02-03 23:00:42</t>
  </si>
  <si>
    <t>tatakorol@mail.ru</t>
  </si>
  <si>
    <t>2022-02-04 00:49:54</t>
  </si>
  <si>
    <t>Юрий Бажуков</t>
  </si>
  <si>
    <t>dark.bazhukoff1@gmail.com</t>
  </si>
  <si>
    <t>+79658651505</t>
  </si>
  <si>
    <t>2022-02-04 08:06:05</t>
  </si>
  <si>
    <t>Татьяна Баранова</t>
  </si>
  <si>
    <t>tatyana-iv.baranova@yandex.ru</t>
  </si>
  <si>
    <t>2022-02-04 11:53:12</t>
  </si>
  <si>
    <t>Марина Подгорная</t>
  </si>
  <si>
    <t>marinamurgina@mail.ru</t>
  </si>
  <si>
    <t>2022-02-04 13:57:22</t>
  </si>
  <si>
    <t>Лев Гордон</t>
  </si>
  <si>
    <t>jayrandom@yahoo.com</t>
  </si>
  <si>
    <t>+447950516269</t>
  </si>
  <si>
    <t>2022-02-04 14:13:11</t>
  </si>
  <si>
    <t>Нина Румянцева</t>
  </si>
  <si>
    <t>Nb-r999@rambler.ru</t>
  </si>
  <si>
    <t>2022-02-04 16:20:11</t>
  </si>
  <si>
    <t>2022-02-04 16:38:59</t>
  </si>
  <si>
    <t>Гульназ Шагеева</t>
  </si>
  <si>
    <t>Gulnazparnas@gmail.com</t>
  </si>
  <si>
    <t>2022-02-04 18:22:29</t>
  </si>
  <si>
    <t>Ирина Катюшина</t>
  </si>
  <si>
    <t>v41113556@yandex.ru</t>
  </si>
  <si>
    <t>+79529608132</t>
  </si>
  <si>
    <t>2022-02-04 19:50:57</t>
  </si>
  <si>
    <t>Svetlana Grant</t>
  </si>
  <si>
    <t>sbertosh@gmail.com</t>
  </si>
  <si>
    <t>+447727683845</t>
  </si>
  <si>
    <t>2022-02-04 20:53:42</t>
  </si>
  <si>
    <t>Елена Ткач</t>
  </si>
  <si>
    <t>lenochka.tkach2285@gmail.com</t>
  </si>
  <si>
    <t>+380983247077</t>
  </si>
  <si>
    <t>2022-02-04 22:27:35</t>
  </si>
  <si>
    <t>2022-02-04 23:07:20</t>
  </si>
  <si>
    <t>2022-02-05 00:00:53</t>
  </si>
  <si>
    <t>Алиса Соловых</t>
  </si>
  <si>
    <t>alis.nazarova@yandex.ru</t>
  </si>
  <si>
    <t>+79841838144</t>
  </si>
  <si>
    <t>2022-02-05 07:51:26</t>
  </si>
  <si>
    <t>Алекс Сандар</t>
  </si>
  <si>
    <t>ind.touragent@gmail.com</t>
  </si>
  <si>
    <t>+380949955001</t>
  </si>
  <si>
    <t>2022-02-05 10:53:42</t>
  </si>
  <si>
    <t>Лика Климова</t>
  </si>
  <si>
    <t>l.klimova2005@gmail.com</t>
  </si>
  <si>
    <t>+79265162766</t>
  </si>
  <si>
    <t>2022-02-05 17:23:49</t>
  </si>
  <si>
    <t>2022-02-05 19:40:36</t>
  </si>
  <si>
    <t>2022-02-05 20:56:52</t>
  </si>
  <si>
    <t>Всемирная Медитация Пробуждения</t>
  </si>
  <si>
    <t>2022|ВМП|онлайн|регулярная</t>
  </si>
  <si>
    <t>2022-02-05 20:58:29</t>
  </si>
  <si>
    <t>marianisutina</t>
  </si>
  <si>
    <t>marianisutina@gmail.com</t>
  </si>
  <si>
    <t>2022-02-05 21:02:09</t>
  </si>
  <si>
    <t>Татьяна Тюлюкина</t>
  </si>
  <si>
    <t>334902@mail.ru</t>
  </si>
  <si>
    <t>+79897575496</t>
  </si>
  <si>
    <t>2022-02-05 22:05:49</t>
  </si>
  <si>
    <t>Галина Комарова</t>
  </si>
  <si>
    <t>galinka5588888@mail.ru</t>
  </si>
  <si>
    <t>+79031060720</t>
  </si>
  <si>
    <t>2022-02-05 22:45:18</t>
  </si>
  <si>
    <t>Элиана Аарон</t>
  </si>
  <si>
    <t>aharon.eliana@gmail.com</t>
  </si>
  <si>
    <t>+972549232423</t>
  </si>
  <si>
    <t>2022-02-05 23:26:18</t>
  </si>
  <si>
    <t>2022-02-06 07:23:38</t>
  </si>
  <si>
    <t>2022-02-06 13:54:36</t>
  </si>
  <si>
    <t>Виктория Алексеева</t>
  </si>
  <si>
    <t>temerso@mail.ru</t>
  </si>
  <si>
    <t>2022-02-06 16:10:41</t>
  </si>
  <si>
    <t>2022-02-07 17:45:20</t>
  </si>
  <si>
    <t>2022-02-07 21:45:50</t>
  </si>
  <si>
    <t>Евгения Зарубина</t>
  </si>
  <si>
    <t>eva.zarubina.1995@gmail.com</t>
  </si>
  <si>
    <t>2022-02-07 22:11:30</t>
  </si>
  <si>
    <t>2022-02-08 13:21:19</t>
  </si>
  <si>
    <t>2022-02-08 15:37:23</t>
  </si>
  <si>
    <t>2022-02-08 15:57:42</t>
  </si>
  <si>
    <t>2022-02-08 18:38:14</t>
  </si>
  <si>
    <t>2022-02-08 19:13:47</t>
  </si>
  <si>
    <t>2022-02-08 20:09:22</t>
  </si>
  <si>
    <t>2022-02-08 22:12:47</t>
  </si>
  <si>
    <t>2022-02-08 23:14:28</t>
  </si>
  <si>
    <t>2022-02-09 02:40:41</t>
  </si>
  <si>
    <t>2022-02-09 06:15:19</t>
  </si>
  <si>
    <t>Клуб пробуждения Друзья (2 уровень) - 4 месяца - скидка 7%</t>
  </si>
  <si>
    <t>2022-02-09 13:11:19</t>
  </si>
  <si>
    <t>Екатерина Ахремчук</t>
  </si>
  <si>
    <t>Ahrecha@mail.ru</t>
  </si>
  <si>
    <t>+79137366176</t>
  </si>
  <si>
    <t>2022-02-09 18:57:12</t>
  </si>
  <si>
    <t>2022-02-09 20:47:41</t>
  </si>
  <si>
    <t>2022-02-09 22:47:22</t>
  </si>
  <si>
    <t>2022-02-10 09:37:46</t>
  </si>
  <si>
    <t>2022-02-10 13:26:43</t>
  </si>
  <si>
    <t>2022-02-10 15:33:23</t>
  </si>
  <si>
    <t>2022-02-10 15:48:57</t>
  </si>
  <si>
    <t>Владимир Пышненко</t>
  </si>
  <si>
    <t>1italyshka@gmail.com</t>
  </si>
  <si>
    <t>2022-02-10 17:01:03</t>
  </si>
  <si>
    <t>2022-02-10 17:35:15</t>
  </si>
  <si>
    <t>2022-02-10 22:12:05</t>
  </si>
  <si>
    <t>2022-02-11 10:58:21</t>
  </si>
  <si>
    <t>2022-02-11 12:19:23</t>
  </si>
  <si>
    <t>2022-02-11 14:23:20</t>
  </si>
  <si>
    <t>2022-02-11 15:15:59</t>
  </si>
  <si>
    <t>2022-02-11 18:47:49</t>
  </si>
  <si>
    <t>2022-02-11 18:54:58</t>
  </si>
  <si>
    <t>2022-02-12 10:04:07</t>
  </si>
  <si>
    <t>2022-02-12 15:07:58</t>
  </si>
  <si>
    <t>2022-02-12 17:38:12</t>
  </si>
  <si>
    <t>2022-02-12 17:58:36</t>
  </si>
  <si>
    <t>2022-02-12 18:04:46</t>
  </si>
  <si>
    <t>2022-02-12 18:08:13</t>
  </si>
  <si>
    <t>2022-02-12 18:12:49</t>
  </si>
  <si>
    <t>2022-02-12 18:23:13</t>
  </si>
  <si>
    <t>Валерий Дубровин</t>
  </si>
  <si>
    <t>dubrovin61@gmail.com</t>
  </si>
  <si>
    <t>+79647665200</t>
  </si>
  <si>
    <t>2022-02-12 19:44:46</t>
  </si>
  <si>
    <t>2022-02-12 20:28:06</t>
  </si>
  <si>
    <t>Инна Орен</t>
  </si>
  <si>
    <t>isinnail@gmail.com</t>
  </si>
  <si>
    <t>+972502511023</t>
  </si>
  <si>
    <t>2022-02-13 09:14:50</t>
  </si>
  <si>
    <t>2022-02-13 22:18:46</t>
  </si>
  <si>
    <t>Европейский Онлайн Интенсив 4-6.03.2022</t>
  </si>
  <si>
    <t>2022|Европа|Интенсив|Март|онлайн</t>
  </si>
  <si>
    <t>2022-02-14 07:18:30</t>
  </si>
  <si>
    <t>2022-02-14 10:00:55</t>
  </si>
  <si>
    <t>Выездной ретрит Тюмень 18-20 марта 2022 (оплата до 22 февраля)</t>
  </si>
  <si>
    <t>2022-02-14 10:05:39</t>
  </si>
  <si>
    <t>2022-02-14 11:51:44</t>
  </si>
  <si>
    <t>Алена Мельник</t>
  </si>
  <si>
    <t>olena_melnyk@hotmail.com</t>
  </si>
  <si>
    <t>+6404601225</t>
  </si>
  <si>
    <t>2022-02-15 05:19:21</t>
  </si>
  <si>
    <t>2022-02-14 18:05:35</t>
  </si>
  <si>
    <t>2022-04-01 07:11:46</t>
  </si>
  <si>
    <t>2022-02-14 21:27:27</t>
  </si>
  <si>
    <t>Антонида</t>
  </si>
  <si>
    <t>AFATKINA2010@LIST.RU</t>
  </si>
  <si>
    <t>2022-02-15 07:20:17</t>
  </si>
  <si>
    <t>2022-02-15 10:11:07</t>
  </si>
  <si>
    <t>2022-02-15 10:38:30</t>
  </si>
  <si>
    <t>2022-02-15 18:32:27</t>
  </si>
  <si>
    <t>2022-02-15 19:07:57</t>
  </si>
  <si>
    <t>2022-02-16 10:49:06</t>
  </si>
  <si>
    <t>2022-02-16 14:56:52</t>
  </si>
  <si>
    <t>2022-02-16 18:06:15</t>
  </si>
  <si>
    <t>Ольга Коннова</t>
  </si>
  <si>
    <t>konnova2020@list.ru</t>
  </si>
  <si>
    <t>2022-02-16 18:09:52</t>
  </si>
  <si>
    <t>Практика тишины Магнитогорск 19.02.2022</t>
  </si>
  <si>
    <t>2022|Живое|Магнитогорск|Практика тишины|Февраль</t>
  </si>
  <si>
    <t>2022-02-16 21:56:38</t>
  </si>
  <si>
    <t>Евгений Землянских</t>
  </si>
  <si>
    <t>Meridian-zev@mail.ru</t>
  </si>
  <si>
    <t>+79085863177</t>
  </si>
  <si>
    <t>2022-02-17 12:20:31</t>
  </si>
  <si>
    <t>2022-02-17 12:21:36</t>
  </si>
  <si>
    <t>Интенсив Магнитогорск 20.02.2022</t>
  </si>
  <si>
    <t>2022|Живое|Интенсив|Магнитогорск|Февраль</t>
  </si>
  <si>
    <t>2022-02-17 12:56:34</t>
  </si>
  <si>
    <t>2022-02-18 19:21:47</t>
  </si>
  <si>
    <t>2022-02-18 21:54:13</t>
  </si>
  <si>
    <t>2022-02-18 22:53:00</t>
  </si>
  <si>
    <t>Онлайн курс Шаг к Пробуждению №16 26.2-5.3.22 Пакет стандартный</t>
  </si>
  <si>
    <t>2022|онлайн|Февраль|Шаг к Пробуждению</t>
  </si>
  <si>
    <t>2022-02-19 13:14:41</t>
  </si>
  <si>
    <t>2022-02-19 18:57:42</t>
  </si>
  <si>
    <t>2022-02-20 18:24:35</t>
  </si>
  <si>
    <t>2022-02-21 12:32:32</t>
  </si>
  <si>
    <t>2022-02-23 05:22:22</t>
  </si>
  <si>
    <t>Татьяна Василенко</t>
  </si>
  <si>
    <t>Tarakanovatu@gmail.com</t>
  </si>
  <si>
    <t>+79200100660</t>
  </si>
  <si>
    <t>2022-02-24 11:31:12</t>
  </si>
  <si>
    <t>2022-02-24 16:27:49</t>
  </si>
  <si>
    <t>2022-02-25 13:42:26</t>
  </si>
  <si>
    <t>2022-02-26 23:34:53</t>
  </si>
  <si>
    <t>2022-02-28 11:08:19</t>
  </si>
  <si>
    <t>2022-02-28 14:22:51</t>
  </si>
  <si>
    <t>2022-02-28 23:46:31</t>
  </si>
  <si>
    <t>2022-03-01 08:22:53</t>
  </si>
  <si>
    <t>2022-03-01 19:28:37</t>
  </si>
  <si>
    <t>2022-03-02 19:19:38</t>
  </si>
  <si>
    <t>2022-03-03 09:24:50</t>
  </si>
  <si>
    <t>2022-03-03 10:40:22</t>
  </si>
  <si>
    <t>2022-03-04 13:45:43</t>
  </si>
  <si>
    <t>2022-03-05 10:46:24</t>
  </si>
  <si>
    <t>2022-03-05 16:48:37</t>
  </si>
  <si>
    <t>2022-03-06 11:40:34</t>
  </si>
  <si>
    <t>2022-03-07 16:04:53</t>
  </si>
  <si>
    <t>2022-03-07 17:52:13</t>
  </si>
  <si>
    <t>2022-03-09 09:32:10</t>
  </si>
  <si>
    <t>Давид Николов</t>
  </si>
  <si>
    <t>davidka24092002@gmail.com</t>
  </si>
  <si>
    <t>+972534641053</t>
  </si>
  <si>
    <t>2022-03-09 18:18:35</t>
  </si>
  <si>
    <t>2022-03-10 12:54:59</t>
  </si>
  <si>
    <t>Наталья Лебедева</t>
  </si>
  <si>
    <t>Milli0502@mail.ru</t>
  </si>
  <si>
    <t>2022-03-10 15:32:55</t>
  </si>
  <si>
    <t>Ewa Pokorny</t>
  </si>
  <si>
    <t>pokornycoach@gmail.com</t>
  </si>
  <si>
    <t>+48502740046</t>
  </si>
  <si>
    <t>2022-03-10 16:01:07</t>
  </si>
  <si>
    <t>2022-03-12 16:21:12</t>
  </si>
  <si>
    <t>Чайная встреча Разговор по душам Минск 12.03.2022</t>
  </si>
  <si>
    <t>2022|Живое|Март|Минск|чайная встреча</t>
  </si>
  <si>
    <t>2022-03-13 13:19:36</t>
  </si>
  <si>
    <t>2022-03-13 13:20:27</t>
  </si>
  <si>
    <t>2022-03-14 08:58:55</t>
  </si>
  <si>
    <t>Интенсив 15-17 апреля Питер</t>
  </si>
  <si>
    <t>2022|Апрель|Живое|Интенсив|Питер|Ретрит</t>
  </si>
  <si>
    <t>2022-03-15 07:02:22</t>
  </si>
  <si>
    <t>2022-03-15 19:58:11</t>
  </si>
  <si>
    <t>2022-03-16 19:49:41</t>
  </si>
  <si>
    <t>Dmitriy Vlasov</t>
  </si>
  <si>
    <t>dimanim@mail.ru</t>
  </si>
  <si>
    <t>+998903462752</t>
  </si>
  <si>
    <t>2022-03-20 17:02:48</t>
  </si>
  <si>
    <t>Тест</t>
  </si>
  <si>
    <t>тест</t>
  </si>
  <si>
    <t>2022-03-20 18:38:51</t>
  </si>
  <si>
    <t>Татьяна Федун</t>
  </si>
  <si>
    <t>feduntana@mail.ru</t>
  </si>
  <si>
    <t>+79097862900</t>
  </si>
  <si>
    <t>2022-03-23 21:20:12</t>
  </si>
  <si>
    <t>Тишина Челлендж</t>
  </si>
  <si>
    <t>2022-03-25 14:20:55</t>
  </si>
  <si>
    <t>Оплата Клуб пробуждения Друзья (1 уровень) (со скидкой)</t>
  </si>
  <si>
    <t>1 уровень|ДШ|онлайн</t>
  </si>
  <si>
    <t>2022-03-26 06:15:31</t>
  </si>
  <si>
    <t>2022-03-31 21:43:22</t>
  </si>
  <si>
    <t>2022-03-26 16:16:07</t>
  </si>
  <si>
    <t>Онлайн курс Шаг к Пробуждению №17 2-19.4.22 Пакет стандартный</t>
  </si>
  <si>
    <t>2022|Апрель|онлайн|Шаг к Пробуждению</t>
  </si>
  <si>
    <t>2022-03-27 09:39:53</t>
  </si>
  <si>
    <t>2022-03-29 16:45:29</t>
  </si>
  <si>
    <t>Элла Киселева</t>
  </si>
  <si>
    <t>centr-2005@list.ru</t>
  </si>
  <si>
    <t>2022-03-30 20:18:10</t>
  </si>
  <si>
    <t>Онлайн курс Шаг к Пробуждению №17 29.03-16.4.22 Пакет "Проводники света"</t>
  </si>
  <si>
    <t>2022|Апрель|онлайн|Украина|Шаг к Пробуждению</t>
  </si>
  <si>
    <t>Светлана Романова</t>
  </si>
  <si>
    <t>s.romanova@bk.ru</t>
  </si>
  <si>
    <t>+79168346467</t>
  </si>
  <si>
    <t>2022-03-29 22:14:54</t>
  </si>
  <si>
    <t>Letinleila@gmail.com</t>
  </si>
  <si>
    <t>2022-03-30 12:17:38</t>
  </si>
  <si>
    <t>2022-03-31 18:03:00</t>
  </si>
  <si>
    <t>Друзья. Базовый уровень (ежемесячная платная подписка) Оплата в EURO (€)</t>
  </si>
  <si>
    <t>2022-04-01 13:12:55</t>
  </si>
  <si>
    <t>Оплата Клуб пробуждения Друзья (2 уровень) (со скидкой) x 1500</t>
  </si>
  <si>
    <t>2022-04-01 15:10:32</t>
  </si>
  <si>
    <t>2022-04-02 13:56:24</t>
  </si>
  <si>
    <t>2022-04-02 18:25:11</t>
  </si>
  <si>
    <t>Софья Корсакова</t>
  </si>
  <si>
    <t>korsakova.sofya@gmail.com</t>
  </si>
  <si>
    <t>+79232770478</t>
  </si>
  <si>
    <t>2022-04-02 22:21:31</t>
  </si>
  <si>
    <t>2022-04-07 10:33:27</t>
  </si>
  <si>
    <t>2022-04-09 18:40:21</t>
  </si>
  <si>
    <t>Интенсив 15-17 апреля Краснодарский край</t>
  </si>
  <si>
    <t>2022|Апрель|Живое|Интенсив|Краснодарский край|Ретрит</t>
  </si>
  <si>
    <t>2022-04-13 01:51:41</t>
  </si>
  <si>
    <t>Оплата Клуб пробуждения Друзья (2 уровень) (со скидкой) x 2000</t>
  </si>
  <si>
    <t>2022-04-15 09:33:51</t>
  </si>
  <si>
    <t>нина мокина</t>
  </si>
  <si>
    <t>ninamokina60@mail.ru</t>
  </si>
  <si>
    <t>+89156467549</t>
  </si>
  <si>
    <t>2022-04-16 17:58:51</t>
  </si>
  <si>
    <t>Денис Архипов</t>
  </si>
  <si>
    <t>sahalindenis@gmail.com</t>
  </si>
  <si>
    <t>2022-04-17 10:49:29</t>
  </si>
  <si>
    <t>2022-04-18 08:43:01</t>
  </si>
  <si>
    <t>2022-04-18 10:03:24</t>
  </si>
  <si>
    <t>2022-04-18 11:39:22</t>
  </si>
  <si>
    <t>2022-04-20 19:31:12</t>
  </si>
  <si>
    <t>2022-04-21 13:30:27</t>
  </si>
  <si>
    <t>2022-04-24 22:33:36</t>
  </si>
  <si>
    <t>2022-04-25 10:11:45</t>
  </si>
  <si>
    <t>2022-04-25 10:11:49</t>
  </si>
  <si>
    <t>2022-04-27 08:19:57</t>
  </si>
  <si>
    <t>2022-04-27 21:40:14</t>
  </si>
  <si>
    <t>Инга Буравлева</t>
  </si>
  <si>
    <t>inmagica@yandex.ru</t>
  </si>
  <si>
    <t>+79884712219</t>
  </si>
  <si>
    <t>2022-04-29 11:24:02</t>
  </si>
  <si>
    <t>2022-05-05 09:29:19</t>
  </si>
  <si>
    <t>2022-05-10 12:25:02</t>
  </si>
  <si>
    <t>2022-05-10 14:58:41</t>
  </si>
  <si>
    <t>Однодневный ретрит Израиль 14 мая 2022</t>
  </si>
  <si>
    <t>2022|Живое|Из|Интенсив|май|мини|онлайн|Ретрит</t>
  </si>
  <si>
    <t>2022-05-10 16:46:43</t>
  </si>
  <si>
    <t>2022-05-11 08:58:56</t>
  </si>
  <si>
    <t>2022-05-12 12:59:08</t>
  </si>
  <si>
    <t>2022-05-12 19:30:03</t>
  </si>
  <si>
    <t>Интенсив  в Каменск-Уральском 27-29.5.2022 (оплата со 16 по 26 мая)</t>
  </si>
  <si>
    <t>2022|Живое|Интенсив|Июнь|Урал</t>
  </si>
  <si>
    <t>2022-05-12 19:42:22</t>
  </si>
  <si>
    <t>Алёна Кокина</t>
  </si>
  <si>
    <t>kokina2000@inbox.ru</t>
  </si>
  <si>
    <t>+79963540028</t>
  </si>
  <si>
    <t>2022-05-12 21:25:53</t>
  </si>
  <si>
    <t>2022-05-12 21:45:26</t>
  </si>
  <si>
    <t>Юлия Галлямова</t>
  </si>
  <si>
    <t>julie-white@inbox.ru</t>
  </si>
  <si>
    <t>+79224425545</t>
  </si>
  <si>
    <t>2022-05-13 12:10:20</t>
  </si>
  <si>
    <t>2022-05-13 13:34:01</t>
  </si>
  <si>
    <t>2022-05-13 23:30:17</t>
  </si>
  <si>
    <t>2022-05-14 00:15:08</t>
  </si>
  <si>
    <t>2022-05-16 08:48:07</t>
  </si>
  <si>
    <t>2022-05-18 18:35:16</t>
  </si>
  <si>
    <t>2022-05-18 20:34:52</t>
  </si>
  <si>
    <t>2022-05-23 13:04:13</t>
  </si>
  <si>
    <t>2022-05-24 13:57:38</t>
  </si>
  <si>
    <t>Екатерина Алексанян</t>
  </si>
  <si>
    <t>roschinakatia@yandex.ru</t>
  </si>
  <si>
    <t>+79057695720</t>
  </si>
  <si>
    <t>2022-05-24 18:26:07</t>
  </si>
  <si>
    <t>Театр трансформаций - Живи сейчас!  (Оплата по сердцу)</t>
  </si>
  <si>
    <t>Живое|звуковая медитация|онлайн|Практика|регулярная</t>
  </si>
  <si>
    <t>Юрий Харчистов</t>
  </si>
  <si>
    <t>yurakhar1608@gmail.com</t>
  </si>
  <si>
    <t>+79211280303</t>
  </si>
  <si>
    <t>2022-05-28 18:28:47</t>
  </si>
  <si>
    <t>2022-05-28 22:42:10</t>
  </si>
  <si>
    <t>Наташа Грицук</t>
  </si>
  <si>
    <t>gricukn806@gmail.com</t>
  </si>
  <si>
    <t>+79181253629</t>
  </si>
  <si>
    <t>2022-02-06 21:49:19</t>
  </si>
  <si>
    <t>maxmaxvl</t>
  </si>
  <si>
    <t>maxmaxvl@gmail.com</t>
  </si>
  <si>
    <t>2022-02-07 13:20:24</t>
  </si>
  <si>
    <t>Анна Мартыненко</t>
  </si>
  <si>
    <t>anndzenn@gmail.com</t>
  </si>
  <si>
    <t>+380953563502</t>
  </si>
  <si>
    <t>2022-02-07 14:50:59</t>
  </si>
  <si>
    <t>Марина Марина</t>
  </si>
  <si>
    <t>forlife2010@gmail.com</t>
  </si>
  <si>
    <t>2022-02-07 21:23:15</t>
  </si>
  <si>
    <t>Владимир Дергунов</t>
  </si>
  <si>
    <t>vladimirdergunov@gmail.com</t>
  </si>
  <si>
    <t>+79013622409</t>
  </si>
  <si>
    <t>2022-02-08 10:45:11</t>
  </si>
  <si>
    <t>Валерия Музыченко</t>
  </si>
  <si>
    <t>Valerik22@mail.ru</t>
  </si>
  <si>
    <t>+79029241902</t>
  </si>
  <si>
    <t>2022-02-08 14:00:13</t>
  </si>
  <si>
    <t>8sonia73</t>
  </si>
  <si>
    <t>8sonia73@gmail.com</t>
  </si>
  <si>
    <t>2022-02-08 15:09:11</t>
  </si>
  <si>
    <t>Мария Зимовская</t>
  </si>
  <si>
    <t>mn_zim@mail.ru</t>
  </si>
  <si>
    <t>+79161150748</t>
  </si>
  <si>
    <t>2022-02-08 15:50:41</t>
  </si>
  <si>
    <t>Наталья Хлопова</t>
  </si>
  <si>
    <t>n.khlopova@yandex.ru</t>
  </si>
  <si>
    <t>2022-02-08 18:30:15</t>
  </si>
  <si>
    <t>khlnata@mail.ru</t>
  </si>
  <si>
    <t>2022-02-08 18:36:31</t>
  </si>
  <si>
    <t>Ретрит в РЦ Сочи 5-13 марта 2022 (Оплата до 22 февраля)</t>
  </si>
  <si>
    <t>Anna Szurlej</t>
  </si>
  <si>
    <t>szania69@wp.pl</t>
  </si>
  <si>
    <t>+48608520250</t>
  </si>
  <si>
    <t>2022-02-08 22:06:35</t>
  </si>
  <si>
    <t>Светлана Карпенко</t>
  </si>
  <si>
    <t>Svalkar71@mail.ru</t>
  </si>
  <si>
    <t>2022-02-09 12:00:28</t>
  </si>
  <si>
    <t>Алена Потанина</t>
  </si>
  <si>
    <t>Alena-potanina@list.ru</t>
  </si>
  <si>
    <t>2022-02-09 12:35:33</t>
  </si>
  <si>
    <t>Таисия Ван</t>
  </si>
  <si>
    <t>Broudi97@mail.ru</t>
  </si>
  <si>
    <t>2022-02-09 12:58:59</t>
  </si>
  <si>
    <t>ТАТЬЯНА ПЕТРОВА</t>
  </si>
  <si>
    <t>tucipo@yandex.ru</t>
  </si>
  <si>
    <t>+79282704773</t>
  </si>
  <si>
    <t>2022-02-09 14:46:49</t>
  </si>
  <si>
    <t>2022-02-09 18:02:55</t>
  </si>
  <si>
    <t>СВЕТЛАНА ПАВЛУХИНА</t>
  </si>
  <si>
    <t>Pavluxinas@mail.ru</t>
  </si>
  <si>
    <t>+79281322037</t>
  </si>
  <si>
    <t>2022-02-09 18:06:12</t>
  </si>
  <si>
    <t>Ольга Ооо</t>
  </si>
  <si>
    <t>oska.l@mail.ru</t>
  </si>
  <si>
    <t>+79054529388</t>
  </si>
  <si>
    <t>2022-02-09 20:20:58</t>
  </si>
  <si>
    <t>Ксеня Ралько</t>
  </si>
  <si>
    <t>ksenia-deko@mail.ru</t>
  </si>
  <si>
    <t>2022-02-09 22:16:07</t>
  </si>
  <si>
    <t>Мария Лебская</t>
  </si>
  <si>
    <t>lebskaya_maria@mail.ru</t>
  </si>
  <si>
    <t>+79889880337</t>
  </si>
  <si>
    <t>2022-02-09 23:59:23</t>
  </si>
  <si>
    <t>vpilin@list.ru</t>
  </si>
  <si>
    <t>2022-02-10 08:16:11</t>
  </si>
  <si>
    <t>Людмила Горбунова</t>
  </si>
  <si>
    <t>Luda.gorbunova1980@mail.ru</t>
  </si>
  <si>
    <t>+79058983366</t>
  </si>
  <si>
    <t>2022-02-10 11:18:19</t>
  </si>
  <si>
    <t>2022-02-10 11:20:11</t>
  </si>
  <si>
    <t>Мария Егорова</t>
  </si>
  <si>
    <t>mashakomi@mail.ru</t>
  </si>
  <si>
    <t>+79251117035</t>
  </si>
  <si>
    <t>2022-02-10 11:24:24</t>
  </si>
  <si>
    <t>Юлия Ильина</t>
  </si>
  <si>
    <t>arsegental@gmail.com</t>
  </si>
  <si>
    <t>+79243035277</t>
  </si>
  <si>
    <t>2022-02-10 11:27:06</t>
  </si>
  <si>
    <t>Ольга Нечаева</t>
  </si>
  <si>
    <t>olga.m.nechaeva@mail.ru</t>
  </si>
  <si>
    <t>2022-02-10 13:00:47</t>
  </si>
  <si>
    <t>Юлия Литвиненко</t>
  </si>
  <si>
    <t>Lici4ka90@mail.ru</t>
  </si>
  <si>
    <t>2022-02-10 15:43:21</t>
  </si>
  <si>
    <t>Irina Stankova</t>
  </si>
  <si>
    <t>irinastankova401@gmail.com</t>
  </si>
  <si>
    <t>+4915735321708</t>
  </si>
  <si>
    <t>2022-02-10 16:03:30</t>
  </si>
  <si>
    <t>Елена Кузьмина</t>
  </si>
  <si>
    <t>Kouzminaev@mail.ru</t>
  </si>
  <si>
    <t>+79874361954</t>
  </si>
  <si>
    <t>2022-02-10 16:37:48</t>
  </si>
  <si>
    <t>2022-02-10 17:15:36</t>
  </si>
  <si>
    <t>Марина Шогенова</t>
  </si>
  <si>
    <t>mari-shogenova@yandex.ru</t>
  </si>
  <si>
    <t>2022-02-10 17:36:24</t>
  </si>
  <si>
    <t>Oksana MaLova</t>
  </si>
  <si>
    <t>oksanamalova@yandex.ru</t>
  </si>
  <si>
    <t>+64212108000</t>
  </si>
  <si>
    <t>2022-02-10 17:56:38</t>
  </si>
  <si>
    <t>Tatiana Denisenko</t>
  </si>
  <si>
    <t>denis-tat@yandex.ru</t>
  </si>
  <si>
    <t>2022-02-10 18:30:29</t>
  </si>
  <si>
    <t>Светлана Крылова</t>
  </si>
  <si>
    <t>89193410564tvoisvet@gmail.com</t>
  </si>
  <si>
    <t>2022-02-10 18:41:38</t>
  </si>
  <si>
    <t>Светлана Савдид</t>
  </si>
  <si>
    <t>smetanka@gmail.com</t>
  </si>
  <si>
    <t>+79165003930</t>
  </si>
  <si>
    <t>2022-02-10 18:43:33</t>
  </si>
  <si>
    <t>Елена Нирав</t>
  </si>
  <si>
    <t>niravelena@gmail.com</t>
  </si>
  <si>
    <t>+380673384321</t>
  </si>
  <si>
    <t>2022-02-10 21:14:16</t>
  </si>
  <si>
    <t>Татьяна Караманян</t>
  </si>
  <si>
    <t>karamanyan70@mail.ru</t>
  </si>
  <si>
    <t>2022-02-10 21:26:06</t>
  </si>
  <si>
    <t>Ольга Никифорова</t>
  </si>
  <si>
    <t>jaolga65@mail.ru</t>
  </si>
  <si>
    <t>+79852318610</t>
  </si>
  <si>
    <t>2022-02-10 22:06:04</t>
  </si>
  <si>
    <t>Рина Джава</t>
  </si>
  <si>
    <t>pisma-k-voronina@mail.ru</t>
  </si>
  <si>
    <t>2022-02-10 23:23:48</t>
  </si>
  <si>
    <t>Egle Petrosiene</t>
  </si>
  <si>
    <t>egpetrosiene@gmail.com</t>
  </si>
  <si>
    <t>+37060663157</t>
  </si>
  <si>
    <t>2022-02-11 00:06:55</t>
  </si>
  <si>
    <t>Rima Cirt</t>
  </si>
  <si>
    <t>veririma@gmail.com</t>
  </si>
  <si>
    <t>+37061269275</t>
  </si>
  <si>
    <t>2022-02-11 00:55:41</t>
  </si>
  <si>
    <t>Елена Фугелова</t>
  </si>
  <si>
    <t>585117@mail.ru</t>
  </si>
  <si>
    <t>2022-02-11 01:59:47</t>
  </si>
  <si>
    <t>Милена Хлопина</t>
  </si>
  <si>
    <t>M.khlopina@inbox.ru</t>
  </si>
  <si>
    <t>+79535067626</t>
  </si>
  <si>
    <t>2022-02-11 05:54:08</t>
  </si>
  <si>
    <t>Daine Noru</t>
  </si>
  <si>
    <t>Info@donaja.eu</t>
  </si>
  <si>
    <t>+37065984725</t>
  </si>
  <si>
    <t>2022-02-11 07:14:13</t>
  </si>
  <si>
    <t>ЛЮБчИк ЖИВчИк</t>
  </si>
  <si>
    <t>lubcikbhagavan@gmail.com</t>
  </si>
  <si>
    <t>0932148218</t>
  </si>
  <si>
    <t>2022-02-11 11:19:38</t>
  </si>
  <si>
    <t>Milda Griezyte</t>
  </si>
  <si>
    <t>m.griezhyte@gmail.com</t>
  </si>
  <si>
    <t>+37061446146</t>
  </si>
  <si>
    <t>2022-02-11 12:00:41</t>
  </si>
  <si>
    <t>Юлия Колесник</t>
  </si>
  <si>
    <t>analitikkjs@gmail.com</t>
  </si>
  <si>
    <t>+380678073304</t>
  </si>
  <si>
    <t>2022-02-11 13:04:47</t>
  </si>
  <si>
    <t>Валентина Рыженкова</t>
  </si>
  <si>
    <t>valentinakhramkova@gmail.com</t>
  </si>
  <si>
    <t>+79064636325</t>
  </si>
  <si>
    <t>2022-02-11 13:27:39</t>
  </si>
  <si>
    <t>Алина Павлова</t>
  </si>
  <si>
    <t>Mylovingheart77alina@yandex.ru</t>
  </si>
  <si>
    <t>2022-02-11 13:39:20</t>
  </si>
  <si>
    <t>Анастасия Григорьева</t>
  </si>
  <si>
    <t>nastysha4ka0207@gmail.com</t>
  </si>
  <si>
    <t>+375297078999</t>
  </si>
  <si>
    <t>2022-02-11 14:34:18</t>
  </si>
  <si>
    <t>Giedrius Dagys</t>
  </si>
  <si>
    <t>giedriusdagys@yahoo.co.uk</t>
  </si>
  <si>
    <t>+447886337194</t>
  </si>
  <si>
    <t>2022-02-11 14:43:42</t>
  </si>
  <si>
    <t>Наташа Мо</t>
  </si>
  <si>
    <t>morozn696@gmail.com</t>
  </si>
  <si>
    <t>0959174817</t>
  </si>
  <si>
    <t>2022-02-11 15:28:27</t>
  </si>
  <si>
    <t>Dalia Vaicenaviciene</t>
  </si>
  <si>
    <t>daluze@gmail.com</t>
  </si>
  <si>
    <t>2022-02-11 15:29:07</t>
  </si>
  <si>
    <t>Aldona Juchnevičienė</t>
  </si>
  <si>
    <t>daktare.aldona@gmail.com</t>
  </si>
  <si>
    <t>2022-02-11 15:33:41</t>
  </si>
  <si>
    <t>Гоша Гоша</t>
  </si>
  <si>
    <t>JORA.JORIK.2020@INBOX.RU</t>
  </si>
  <si>
    <t>+79015162636</t>
  </si>
  <si>
    <t>2022-02-11 15:53:15</t>
  </si>
  <si>
    <t>Ирина Соколова</t>
  </si>
  <si>
    <t>kkkolod@mail.ru</t>
  </si>
  <si>
    <t>2022-02-11 16:06:31</t>
  </si>
  <si>
    <t>Хатира Айметова</t>
  </si>
  <si>
    <t>hatira1888@gmail.com</t>
  </si>
  <si>
    <t>+998909036352</t>
  </si>
  <si>
    <t>2022-02-11 16:35:23</t>
  </si>
  <si>
    <t>Владимир Суворкин</t>
  </si>
  <si>
    <t>Suvorkin2005@gmail.com</t>
  </si>
  <si>
    <t>+4917662254951</t>
  </si>
  <si>
    <t>2022-02-11 16:43:43</t>
  </si>
  <si>
    <t>Елена Каширская</t>
  </si>
  <si>
    <t>lenochkalovd71@gmail.com</t>
  </si>
  <si>
    <t>+79531197742</t>
  </si>
  <si>
    <t>2022-02-11 17:01:58</t>
  </si>
  <si>
    <t>Бакыт Кемелбеков</t>
  </si>
  <si>
    <t>kemelbekov-92@mail.ru</t>
  </si>
  <si>
    <t>+996700767574</t>
  </si>
  <si>
    <t>2022-02-11 18:01:22</t>
  </si>
  <si>
    <t>Полина Казанцева</t>
  </si>
  <si>
    <t>79146935232@yandex.ru</t>
  </si>
  <si>
    <t>+79146935232</t>
  </si>
  <si>
    <t>2022-02-11 19:05:48</t>
  </si>
  <si>
    <t>Галина Железнова</t>
  </si>
  <si>
    <t>Jeleznowag@yandex.ru</t>
  </si>
  <si>
    <t>+79626186138</t>
  </si>
  <si>
    <t>2022-02-11 19:09:26</t>
  </si>
  <si>
    <t>Oksana Nosenko</t>
  </si>
  <si>
    <t>Nosenko0269@mail.ru</t>
  </si>
  <si>
    <t>2022-02-11 19:12:09</t>
  </si>
  <si>
    <t>Evgeniya Frolova</t>
  </si>
  <si>
    <t>jenya.frolova@gmail.com</t>
  </si>
  <si>
    <t>+79164470711</t>
  </si>
  <si>
    <t>2022-02-11 19:34:26</t>
  </si>
  <si>
    <t>Андрей Селиван</t>
  </si>
  <si>
    <t>Selivan_andrei@mail.ru</t>
  </si>
  <si>
    <t>+380713809663</t>
  </si>
  <si>
    <t>2022-02-11 21:15:27</t>
  </si>
  <si>
    <t>Сергей Щетина</t>
  </si>
  <si>
    <t>mega.shchetina@mail.ru</t>
  </si>
  <si>
    <t>+79788570451</t>
  </si>
  <si>
    <t>2022-02-11 21:17:04</t>
  </si>
  <si>
    <t>Мархабо Киргизбаева</t>
  </si>
  <si>
    <t>inomovamohinurhon@gmail.com</t>
  </si>
  <si>
    <t>+998903264015</t>
  </si>
  <si>
    <t>2022-02-11 21:22:51</t>
  </si>
  <si>
    <t>podgornayal@mail.ru</t>
  </si>
  <si>
    <t>2022-02-11 23:05:59</t>
  </si>
  <si>
    <t>Андрей Кунц</t>
  </si>
  <si>
    <t>Robka-kunz@web.de</t>
  </si>
  <si>
    <t>+491732749639</t>
  </si>
  <si>
    <t>2022-02-11 23:08:22</t>
  </si>
  <si>
    <t>евгений Щепара</t>
  </si>
  <si>
    <t>joker.nn@mail.ru</t>
  </si>
  <si>
    <t>+79030442012</t>
  </si>
  <si>
    <t>2022-02-11 23:39:41</t>
  </si>
  <si>
    <t>Мастер-класс Открой космос внутри себя 28.8.21</t>
  </si>
  <si>
    <t>2021|Август|мастер класс|онлайн</t>
  </si>
  <si>
    <t>2022-02-12 04:36:03</t>
  </si>
  <si>
    <t>Валентина Шмелёва</t>
  </si>
  <si>
    <t>valentina_shmeleva@list.ru</t>
  </si>
  <si>
    <t>+79277217568</t>
  </si>
  <si>
    <t>2022-02-12 09:09:03</t>
  </si>
  <si>
    <t>Рен Рен</t>
  </si>
  <si>
    <t>Ren-for_f@mail.ru</t>
  </si>
  <si>
    <t>+79255427689</t>
  </si>
  <si>
    <t>2022-02-12 09:37:28</t>
  </si>
  <si>
    <t>Динара Садыкова</t>
  </si>
  <si>
    <t>da06di71@gmail.com</t>
  </si>
  <si>
    <t>+77072788469</t>
  </si>
  <si>
    <t>2022-02-12 09:43:07</t>
  </si>
  <si>
    <t>Дмитрий НА ВЫСОТЕ</t>
  </si>
  <si>
    <t>dmisharin@yandex.ru</t>
  </si>
  <si>
    <t>2022-02-12 11:00:56</t>
  </si>
  <si>
    <t>Наталья Ерошкина</t>
  </si>
  <si>
    <t>n-eroshkina@mail.ru</t>
  </si>
  <si>
    <t>+79085805263</t>
  </si>
  <si>
    <t>2022-02-12 11:28:58</t>
  </si>
  <si>
    <t>Елена Рявкина</t>
  </si>
  <si>
    <t>V.V.R.89@yandex.ru</t>
  </si>
  <si>
    <t>2022-02-12 11:47:55</t>
  </si>
  <si>
    <t>2022-02-12 12:16:23</t>
  </si>
  <si>
    <t>Евгения Карпова</t>
  </si>
  <si>
    <t>ekabernik@mail.ru</t>
  </si>
  <si>
    <t>+375298525655</t>
  </si>
  <si>
    <t>2022-02-12 13:31:27</t>
  </si>
  <si>
    <t>Наталья Л</t>
  </si>
  <si>
    <t>79534152514@yandex.ru</t>
  </si>
  <si>
    <t>2022-02-12 13:43:42</t>
  </si>
  <si>
    <t>Наталья Курышева</t>
  </si>
  <si>
    <t>mega.nata2005@mail.ru</t>
  </si>
  <si>
    <t>+79645054198</t>
  </si>
  <si>
    <t>2022-02-12 13:58:28</t>
  </si>
  <si>
    <t>Eugenija Sakalauskiene</t>
  </si>
  <si>
    <t>enija8@gmail.com</t>
  </si>
  <si>
    <t>+4552641322</t>
  </si>
  <si>
    <t>2022-02-12 14:33:21</t>
  </si>
  <si>
    <t>Tatiana Kuzmenko</t>
  </si>
  <si>
    <t>Tata.kuzmenko@gmail.com</t>
  </si>
  <si>
    <t>+79057189345</t>
  </si>
  <si>
    <t>2022-02-12 16:43:43</t>
  </si>
  <si>
    <t>Константин Растворов</t>
  </si>
  <si>
    <t>masterstinchik@gmail.com</t>
  </si>
  <si>
    <t>2022-02-12 17:18:50</t>
  </si>
  <si>
    <t>2022-02-12 17:28:27</t>
  </si>
  <si>
    <t>Дина Губайдулина</t>
  </si>
  <si>
    <t>dina.gubajdulina77@gmail.com</t>
  </si>
  <si>
    <t>2022-02-12 18:01:48</t>
  </si>
  <si>
    <t>Наталья Багриева</t>
  </si>
  <si>
    <t>bagrieva73@gmail.com</t>
  </si>
  <si>
    <t>+79183391031</t>
  </si>
  <si>
    <t>2022-02-12 18:06:27</t>
  </si>
  <si>
    <t>Майя Коганова</t>
  </si>
  <si>
    <t>p4elka.69@yandex.ru</t>
  </si>
  <si>
    <t>2022-02-12 18:09:40</t>
  </si>
  <si>
    <t>Анна Филиппова</t>
  </si>
  <si>
    <t>annamour2009@yandex.ru</t>
  </si>
  <si>
    <t>+79037434338</t>
  </si>
  <si>
    <t>2022-02-12 18:49:52</t>
  </si>
  <si>
    <t>Zaneta Petrova</t>
  </si>
  <si>
    <t>Zaneta.zetga@gmail.com</t>
  </si>
  <si>
    <t>+4525596644</t>
  </si>
  <si>
    <t>2022-02-12 19:17:57</t>
  </si>
  <si>
    <t>2022-02-13 03:07:00</t>
  </si>
  <si>
    <t>Екатерина Антонова</t>
  </si>
  <si>
    <t>antonovakatherine@gmail.com</t>
  </si>
  <si>
    <t>+529983459542</t>
  </si>
  <si>
    <t>2022-02-13 07:01:46</t>
  </si>
  <si>
    <t>Онлайн курс Шаг к Пробуждению №16 24.2-5.3.22 Пакет стандартный</t>
  </si>
  <si>
    <t>Наталья Осауленко</t>
  </si>
  <si>
    <t>osaulenko.n@mail.ru</t>
  </si>
  <si>
    <t>+79281099820</t>
  </si>
  <si>
    <t>2022-02-13 07:37:50</t>
  </si>
  <si>
    <t>2022-02-13 07:40:42</t>
  </si>
  <si>
    <t>Марина Кузнецова</t>
  </si>
  <si>
    <t>marinakuznetsova00@gmail.com</t>
  </si>
  <si>
    <t>+79242432112</t>
  </si>
  <si>
    <t>2022-02-13 08:01:15</t>
  </si>
  <si>
    <t>Елена Видеман</t>
  </si>
  <si>
    <t>elenavideman75@mail.ru</t>
  </si>
  <si>
    <t>2022-02-13 16:56:36</t>
  </si>
  <si>
    <t>2022-02-13 18:37:41</t>
  </si>
  <si>
    <t>Вячеслав Люкшин</t>
  </si>
  <si>
    <t>vlukshin@yahoo.com</t>
  </si>
  <si>
    <t>+79641194991</t>
  </si>
  <si>
    <t>2022-02-14 05:16:15</t>
  </si>
  <si>
    <t>tanya.ionova</t>
  </si>
  <si>
    <t>tanya.ionova@gmail.com</t>
  </si>
  <si>
    <t>2022-02-14 08:24:33</t>
  </si>
  <si>
    <t>Иван Митин</t>
  </si>
  <si>
    <t>ivanesis83@yandex.ru</t>
  </si>
  <si>
    <t>+79119596505</t>
  </si>
  <si>
    <t>2022-02-14 12:35:44</t>
  </si>
  <si>
    <t>Шарифа Ашурова</t>
  </si>
  <si>
    <t>Sari.a75@gmail.com</t>
  </si>
  <si>
    <t>+37065277021</t>
  </si>
  <si>
    <t>2022-02-14 14:24:49</t>
  </si>
  <si>
    <t>Андрей Мокров</t>
  </si>
  <si>
    <t>Amokrov@inbox.ru</t>
  </si>
  <si>
    <t>+79197662093</t>
  </si>
  <si>
    <t>2022-02-14 19:13:39</t>
  </si>
  <si>
    <t>Маша Рыбакова</t>
  </si>
  <si>
    <t>maryaribakowa@yandex.ru</t>
  </si>
  <si>
    <t>+79250625565</t>
  </si>
  <si>
    <t>2022-02-14 19:37:07</t>
  </si>
  <si>
    <t>agappe2013</t>
  </si>
  <si>
    <t>agappe2013@gmail.com</t>
  </si>
  <si>
    <t>2022-02-14 21:16:48</t>
  </si>
  <si>
    <t>valeriadzh2000</t>
  </si>
  <si>
    <t>valeriadzh2000@mail.ru</t>
  </si>
  <si>
    <t>2022-02-14 21:19:22</t>
  </si>
  <si>
    <t>Ксения Масалёва</t>
  </si>
  <si>
    <t>ksenia.masaleva@yandex.ru</t>
  </si>
  <si>
    <t>2022-02-14 21:20:07</t>
  </si>
  <si>
    <t>2022-02-14 21:20:28</t>
  </si>
  <si>
    <t>Мария Володина</t>
  </si>
  <si>
    <t>marivolond@gmail.com</t>
  </si>
  <si>
    <t>+79266523155</t>
  </si>
  <si>
    <t>2022-02-14 21:20:33</t>
  </si>
  <si>
    <t>София Шемякина</t>
  </si>
  <si>
    <t>404251079@mail.ru</t>
  </si>
  <si>
    <t>+79184042510</t>
  </si>
  <si>
    <t>2022-02-14 21:21:10</t>
  </si>
  <si>
    <t>Vasif Babaiev</t>
  </si>
  <si>
    <t>vasifbabaev71@gmail.com</t>
  </si>
  <si>
    <t>0673491414</t>
  </si>
  <si>
    <t>2022-02-14 21:23:16</t>
  </si>
  <si>
    <t>Анастасия Раменская</t>
  </si>
  <si>
    <t>A_y_t_A@mail.ru</t>
  </si>
  <si>
    <t>2022-02-14 21:27:07</t>
  </si>
  <si>
    <t>tatiana.vorob</t>
  </si>
  <si>
    <t>tatiana.vorob@mail.ru</t>
  </si>
  <si>
    <t>2022-02-14 21:30:17</t>
  </si>
  <si>
    <t>nikolskaya190470</t>
  </si>
  <si>
    <t>nikolskaya190470@yandex.ru</t>
  </si>
  <si>
    <t>2022-02-14 21:30:48</t>
  </si>
  <si>
    <t>grigorovanata2504</t>
  </si>
  <si>
    <t>grigorovanata2504@icloud.com</t>
  </si>
  <si>
    <t>2022-02-14 21:32:49</t>
  </si>
  <si>
    <t>kryatova.albina</t>
  </si>
  <si>
    <t>kryatova.albina@mail.ru</t>
  </si>
  <si>
    <t>2022-02-14 21:33:14</t>
  </si>
  <si>
    <t>drobinana</t>
  </si>
  <si>
    <t>drobinana@gmail.com</t>
  </si>
  <si>
    <t>2022-02-14 21:58:09</t>
  </si>
  <si>
    <t>Ekaterina0122</t>
  </si>
  <si>
    <t>Ekaterina0122@rambler.ru</t>
  </si>
  <si>
    <t>2022-02-14 22:11:11</t>
  </si>
  <si>
    <t>od122388</t>
  </si>
  <si>
    <t>od122388@gmail.com</t>
  </si>
  <si>
    <t>2022-02-14 22:27:21</t>
  </si>
  <si>
    <t>dalgatova.uma</t>
  </si>
  <si>
    <t>dalgatova.uma@yandex.ru</t>
  </si>
  <si>
    <t>2022-02-14 22:36:06</t>
  </si>
  <si>
    <t>Андрей Кичев</t>
  </si>
  <si>
    <t>andrej-75@mail.ru</t>
  </si>
  <si>
    <t>+79807052010</t>
  </si>
  <si>
    <t>2022-02-14 23:19:07</t>
  </si>
  <si>
    <t>Надежда  Крылова</t>
  </si>
  <si>
    <t>krylowa-nadja@yandex.ru</t>
  </si>
  <si>
    <t>+79250682056</t>
  </si>
  <si>
    <t>2022-02-14 23:49:51</t>
  </si>
  <si>
    <t>2022-02-15 01:53:08</t>
  </si>
  <si>
    <t>2022-02-15 06:10:52</t>
  </si>
  <si>
    <t>oreliya</t>
  </si>
  <si>
    <t>oreliya@mail.ru</t>
  </si>
  <si>
    <t>2022-02-15 07:36:42</t>
  </si>
  <si>
    <t>Ирина Степанова</t>
  </si>
  <si>
    <t>irina_78.1.78@mail.ru</t>
  </si>
  <si>
    <t>2022-02-15 07:59:37</t>
  </si>
  <si>
    <t>Евгений Смазнов</t>
  </si>
  <si>
    <t>jin_8484@mail.ru</t>
  </si>
  <si>
    <t>+79243006100</t>
  </si>
  <si>
    <t>2022-02-15 13:47:58</t>
  </si>
  <si>
    <t>2022-02-15 13:48:33</t>
  </si>
  <si>
    <t>son271177</t>
  </si>
  <si>
    <t>son271177@mail.ru</t>
  </si>
  <si>
    <t>2022-02-15 15:02:31</t>
  </si>
  <si>
    <t>Ольга Михаэлис</t>
  </si>
  <si>
    <t>mihaelf1@yandex.ru</t>
  </si>
  <si>
    <t>+79144741335</t>
  </si>
  <si>
    <t>2022-02-15 17:28:50</t>
  </si>
  <si>
    <t>Екатерина Бойкиня</t>
  </si>
  <si>
    <t>Boykotee@yandex.ru</t>
  </si>
  <si>
    <t>+79199252025</t>
  </si>
  <si>
    <t>2022-02-15 18:15:16</t>
  </si>
  <si>
    <t>levina.test.olga.sg</t>
  </si>
  <si>
    <t>levina.test.olga.sg@mail.ru</t>
  </si>
  <si>
    <t>2022-02-15 18:21:07</t>
  </si>
  <si>
    <t>9944376en</t>
  </si>
  <si>
    <t>9944376en@gmail.com</t>
  </si>
  <si>
    <t>2022-02-15 20:21:59</t>
  </si>
  <si>
    <t>Алина Бутковская</t>
  </si>
  <si>
    <t>alinab1972@mail.ru</t>
  </si>
  <si>
    <t>+79049562845</t>
  </si>
  <si>
    <t>2022-02-15 20:22:58</t>
  </si>
  <si>
    <t>Polina Troshenkova</t>
  </si>
  <si>
    <t>samoylova8@yandex.ru</t>
  </si>
  <si>
    <t>+79661919170</t>
  </si>
  <si>
    <t>2022-02-15 21:04:03</t>
  </si>
  <si>
    <t>Сергей Ишимов</t>
  </si>
  <si>
    <t>ishimka@yandex.ru</t>
  </si>
  <si>
    <t>+79265715170</t>
  </si>
  <si>
    <t>2022-02-15 21:06:51</t>
  </si>
  <si>
    <t>Людмила Медведева</t>
  </si>
  <si>
    <t>zvezdalyuda2020@yandex.ru</t>
  </si>
  <si>
    <t>2022-02-15 21:22:53</t>
  </si>
  <si>
    <t>Никита Харин</t>
  </si>
  <si>
    <t>playert48@gmail.com</t>
  </si>
  <si>
    <t>+79046833844</t>
  </si>
  <si>
    <t>2022-02-15 21:50:54</t>
  </si>
  <si>
    <t>kayrina</t>
  </si>
  <si>
    <t>kayrina@mail.ru</t>
  </si>
  <si>
    <t>2022-02-15 22:04:06</t>
  </si>
  <si>
    <t>semarita2013</t>
  </si>
  <si>
    <t>semarita2013@yandex.ru</t>
  </si>
  <si>
    <t>2022-02-15 22:29:11</t>
  </si>
  <si>
    <t>Lāsma Tūtare</t>
  </si>
  <si>
    <t>lasma_b27@inbox.lv</t>
  </si>
  <si>
    <t>2022-02-16 00:21:09</t>
  </si>
  <si>
    <t>Елена Овчарова</t>
  </si>
  <si>
    <t>elenaandreevna@gmail.com</t>
  </si>
  <si>
    <t>2022-02-16 06:06:35</t>
  </si>
  <si>
    <t>Нина Фалеева</t>
  </si>
  <si>
    <t>n.faleeva@rambler.ru</t>
  </si>
  <si>
    <t>+79145419144</t>
  </si>
  <si>
    <t>2022-02-16 07:26:06</t>
  </si>
  <si>
    <t>Юрий  Юрий</t>
  </si>
  <si>
    <t>gordeevurij522@gmail.com</t>
  </si>
  <si>
    <t>2022-02-16 07:51:45</t>
  </si>
  <si>
    <t>Лада Хричева</t>
  </si>
  <si>
    <t>Lada2011di@mail.ru</t>
  </si>
  <si>
    <t>+79282032602</t>
  </si>
  <si>
    <t>2022-02-16 07:57:51</t>
  </si>
  <si>
    <t>tatusya3108</t>
  </si>
  <si>
    <t>tatusya3108@bk.ru</t>
  </si>
  <si>
    <t>2022-02-16 12:19:02</t>
  </si>
  <si>
    <t>Елена Шевцова</t>
  </si>
  <si>
    <t>shevtsova_e@i.ua</t>
  </si>
  <si>
    <t>+380661754615</t>
  </si>
  <si>
    <t>2022-02-16 17:49:14</t>
  </si>
  <si>
    <t>2022-02-16 17:52:57</t>
  </si>
  <si>
    <t>Ирина Королева</t>
  </si>
  <si>
    <t>irinak170670@gmail.com</t>
  </si>
  <si>
    <t>+79525091677</t>
  </si>
  <si>
    <t>2022-02-16 18:06:26</t>
  </si>
  <si>
    <t>2022-02-16 18:14:31</t>
  </si>
  <si>
    <t>2022-02-16 18:14:55</t>
  </si>
  <si>
    <t>2022-02-16 18:55:20</t>
  </si>
  <si>
    <t>Solvitai Kļaviņa</t>
  </si>
  <si>
    <t>solvitaii@inbox.lv</t>
  </si>
  <si>
    <t>2022-02-16 19:14:58</t>
  </si>
  <si>
    <t>2022-02-16 19:11:40</t>
  </si>
  <si>
    <t>Ксения Губанова</t>
  </si>
  <si>
    <t>melenteva.kseniya@bk.ru</t>
  </si>
  <si>
    <t>+79615759620</t>
  </si>
  <si>
    <t>2022-02-16 19:39:50</t>
  </si>
  <si>
    <t>Наталья Бочкарева</t>
  </si>
  <si>
    <t>Stichmama@rambler.ru</t>
  </si>
  <si>
    <t>+79080635229</t>
  </si>
  <si>
    <t>2022-02-16 19:40:11</t>
  </si>
  <si>
    <t>Татьяна Анциферова</t>
  </si>
  <si>
    <t>Antsiferova81@list.ru</t>
  </si>
  <si>
    <t>+79123221626</t>
  </si>
  <si>
    <t>2022-02-16 19:55:18</t>
  </si>
  <si>
    <t>2022-02-16 19:58:19</t>
  </si>
  <si>
    <t>Никита Кудрявцев</t>
  </si>
  <si>
    <t>Kydryavthev@mail.ru</t>
  </si>
  <si>
    <t>2022-02-16 20:05:11</t>
  </si>
  <si>
    <t>mar.murzina2015</t>
  </si>
  <si>
    <t>mar.murzina2015@yandex.ru</t>
  </si>
  <si>
    <t>2022-02-16 20:38:06</t>
  </si>
  <si>
    <t>lava_25</t>
  </si>
  <si>
    <t>lava_25@mail.ru</t>
  </si>
  <si>
    <t>2022-02-16 21:13:05</t>
  </si>
  <si>
    <t>kamgaz85</t>
  </si>
  <si>
    <t>kamgaz85@mail.ru</t>
  </si>
  <si>
    <t>2022-02-17 03:20:04</t>
  </si>
  <si>
    <t>nikaiv</t>
  </si>
  <si>
    <t>nikaiv@yahoo.com</t>
  </si>
  <si>
    <t>2022-02-17 05:50:41</t>
  </si>
  <si>
    <t>Тина</t>
  </si>
  <si>
    <t>l.obstinee@gmail.com</t>
  </si>
  <si>
    <t>2022-02-17 07:22:49</t>
  </si>
  <si>
    <t>Ирина  Шапорева</t>
  </si>
  <si>
    <t>i_shaporeva@bk.ru</t>
  </si>
  <si>
    <t>2022-02-17 07:29:00</t>
  </si>
  <si>
    <t>Nata K</t>
  </si>
  <si>
    <t>kataichik@gmail.com</t>
  </si>
  <si>
    <t>2022-02-17 07:30:20</t>
  </si>
  <si>
    <t>ketbarn</t>
  </si>
  <si>
    <t>ketbarn@gmail.com</t>
  </si>
  <si>
    <t>2022-02-17 07:53:59</t>
  </si>
  <si>
    <t>zhanna2419</t>
  </si>
  <si>
    <t>zhanna2419@mail.ru</t>
  </si>
  <si>
    <t>2022-02-17 08:35:28</t>
  </si>
  <si>
    <t>vp.public1</t>
  </si>
  <si>
    <t>vp.public1@gmail.com</t>
  </si>
  <si>
    <t>2022-02-17 08:56:43</t>
  </si>
  <si>
    <t>sky-51</t>
  </si>
  <si>
    <t>sky-51@yandex.ru</t>
  </si>
  <si>
    <t>2022-02-17 09:05:18</t>
  </si>
  <si>
    <t>Юля Жданова</t>
  </si>
  <si>
    <t>sunnyfoxsmiles@gmail.com</t>
  </si>
  <si>
    <t>+79022666558</t>
  </si>
  <si>
    <t>2022-02-17 09:07:10</t>
  </si>
  <si>
    <t>Оксана Осауленко</t>
  </si>
  <si>
    <t>Oksanagr1@yandex.ru</t>
  </si>
  <si>
    <t>+79655024422</t>
  </si>
  <si>
    <t>2022-02-17 09:22:31</t>
  </si>
  <si>
    <t>Анастасия Плотникова</t>
  </si>
  <si>
    <t>nastasiaplotnikova@icloud.com</t>
  </si>
  <si>
    <t>+79284174172</t>
  </si>
  <si>
    <t>2022-02-17 14:11:09</t>
  </si>
  <si>
    <t>zavodova.94</t>
  </si>
  <si>
    <t>zavodova.94@mail.ru</t>
  </si>
  <si>
    <t>2022-02-17 14:46:07</t>
  </si>
  <si>
    <t>Алексей Артемьев</t>
  </si>
  <si>
    <t>97279@mail.ru</t>
  </si>
  <si>
    <t>+79221600505</t>
  </si>
  <si>
    <t>2022-02-17 14:59:15</t>
  </si>
  <si>
    <t>Оксана Балшикбаева</t>
  </si>
  <si>
    <t>Balshikbaeva@yandex.ru</t>
  </si>
  <si>
    <t>2022-02-17 15:09:30</t>
  </si>
  <si>
    <t>2022-02-17 15:44:27</t>
  </si>
  <si>
    <t>aureus84</t>
  </si>
  <si>
    <t>aureus84@mail.ru</t>
  </si>
  <si>
    <t>2022-02-17 21:14:33</t>
  </si>
  <si>
    <t>bassilok</t>
  </si>
  <si>
    <t>bassilok@gmail.com</t>
  </si>
  <si>
    <t>2022-02-17 21:28:54</t>
  </si>
  <si>
    <t>madinochkab</t>
  </si>
  <si>
    <t>madinochkab@yahoo.com</t>
  </si>
  <si>
    <t>2022-02-17 21:32:58</t>
  </si>
  <si>
    <t>Toma Ninichuk</t>
  </si>
  <si>
    <t>tninichuk@gmail.com</t>
  </si>
  <si>
    <t>2022-02-17 23:56:37</t>
  </si>
  <si>
    <t>Анна Сизова</t>
  </si>
  <si>
    <t>chutaanchuta@mail.ru</t>
  </si>
  <si>
    <t>+79145417458</t>
  </si>
  <si>
    <t>2022-02-18 01:05:17</t>
  </si>
  <si>
    <t>nomadexpress96</t>
  </si>
  <si>
    <t>nomadexpress96@gmail.com</t>
  </si>
  <si>
    <t>2022-02-18 01:58:19</t>
  </si>
  <si>
    <t>oamf777</t>
  </si>
  <si>
    <t>oamf777@gmail.com</t>
  </si>
  <si>
    <t>2022-02-18 03:31:16</t>
  </si>
  <si>
    <t>Assem Nurlanbekova</t>
  </si>
  <si>
    <t>asem.nurlanbekova@gmail.com</t>
  </si>
  <si>
    <t>+14159303330</t>
  </si>
  <si>
    <t>2022-02-18 07:29:15</t>
  </si>
  <si>
    <t>Наталья Мирзаева</t>
  </si>
  <si>
    <t>89517899501@mail.ru</t>
  </si>
  <si>
    <t>2022-02-18 08:09:54</t>
  </si>
  <si>
    <t>2022-02-18 08:12:02</t>
  </si>
  <si>
    <t>Гайрат Тилляходжаев</t>
  </si>
  <si>
    <t>tillahojaevgayrat0@gmail.com</t>
  </si>
  <si>
    <t>+79384515441</t>
  </si>
  <si>
    <t>2022-02-18 08:24:20</t>
  </si>
  <si>
    <t>2022-02-18 09:44:15</t>
  </si>
  <si>
    <t>milentii86</t>
  </si>
  <si>
    <t>milentii86@yandex.ru</t>
  </si>
  <si>
    <t>2022-02-18 10:24:03</t>
  </si>
  <si>
    <t>Хамдия Исламова</t>
  </si>
  <si>
    <t>islamovahamdiya@gmail.com</t>
  </si>
  <si>
    <t>+79876063756</t>
  </si>
  <si>
    <t>2022-02-18 11:38:04</t>
  </si>
  <si>
    <t>2022-02-18 12:45:55</t>
  </si>
  <si>
    <t>Валентина Нагорская</t>
  </si>
  <si>
    <t>vnagorskaya@gmail.com</t>
  </si>
  <si>
    <t>+79851937819</t>
  </si>
  <si>
    <t>2022-02-18 13:10:55</t>
  </si>
  <si>
    <t>2022-02-18 13:29:51</t>
  </si>
  <si>
    <t>Чайная встреча - Сочи-Хабаровск 19.2.2022</t>
  </si>
  <si>
    <t>2022|онлайн|Февраль|Хабаровск|чайная встреча</t>
  </si>
  <si>
    <t>2022-02-18 14:44:20</t>
  </si>
  <si>
    <t>Екатерина Копенкина</t>
  </si>
  <si>
    <t>Km291188@gmail.com</t>
  </si>
  <si>
    <t>2022-02-18 15:43:00</t>
  </si>
  <si>
    <t>Лариса Симонова</t>
  </si>
  <si>
    <t>Simonova.timeeva76@yandex.ru</t>
  </si>
  <si>
    <t>2022-02-18 19:12:27</t>
  </si>
  <si>
    <t>2022-02-18 20:42:41</t>
  </si>
  <si>
    <t>Наталья Старухина</t>
  </si>
  <si>
    <t>kleopatra030393@mail.ru</t>
  </si>
  <si>
    <t>+79081449122</t>
  </si>
  <si>
    <t>2022-02-18 22:16:17</t>
  </si>
  <si>
    <t>pavelkizhapkin</t>
  </si>
  <si>
    <t>pavelkizhapkin@gmail.com</t>
  </si>
  <si>
    <t>2022-02-18 22:24:30</t>
  </si>
  <si>
    <t>astepenko</t>
  </si>
  <si>
    <t>astepenko@yandex.ru</t>
  </si>
  <si>
    <t>2022-02-18 23:49:11</t>
  </si>
  <si>
    <t>karramba07</t>
  </si>
  <si>
    <t>karramba07@gmail.com</t>
  </si>
  <si>
    <t>2022-02-19 00:41:17</t>
  </si>
  <si>
    <t>ana8luca</t>
  </si>
  <si>
    <t>ana8luca@gmail.com</t>
  </si>
  <si>
    <t>2022-02-19 05:18:05</t>
  </si>
  <si>
    <t>2022-02-19 05:50:26</t>
  </si>
  <si>
    <t>Ольга Продан</t>
  </si>
  <si>
    <t>Oleck72@mail.ru</t>
  </si>
  <si>
    <t>2022-02-19 06:04:03</t>
  </si>
  <si>
    <t>2022-02-19 06:28:11</t>
  </si>
  <si>
    <t>olesya.sprygina</t>
  </si>
  <si>
    <t>olesya.sprygina@yandex.ru</t>
  </si>
  <si>
    <t>2022-02-19 07:04:55</t>
  </si>
  <si>
    <t>Юлия Денисова</t>
  </si>
  <si>
    <t>Yulya-denisova-1994@bk.ru</t>
  </si>
  <si>
    <t>2022-02-19 07:42:16</t>
  </si>
  <si>
    <t>leracoursera</t>
  </si>
  <si>
    <t>leracoursera@gmail.com</t>
  </si>
  <si>
    <t>2022-02-19 08:54:31</t>
  </si>
  <si>
    <t>2022-02-19 09:08:33</t>
  </si>
  <si>
    <t>irina_izma</t>
  </si>
  <si>
    <t>irina_izma@mail.ru</t>
  </si>
  <si>
    <t>2022-02-19 10:28:36</t>
  </si>
  <si>
    <t>2022-02-19 11:45:23</t>
  </si>
  <si>
    <t>2022-02-19 11:53:22</t>
  </si>
  <si>
    <t>Светлана Рощупкина</t>
  </si>
  <si>
    <t>svetik23_2011@mail.ru</t>
  </si>
  <si>
    <t>2022-02-19 12:02:30</t>
  </si>
  <si>
    <t>2022-02-19 12:13:12</t>
  </si>
  <si>
    <t>2022-02-19 12:31:08</t>
  </si>
  <si>
    <t>2022-02-19 13:59:33</t>
  </si>
  <si>
    <t>2022-02-19 15:00:20</t>
  </si>
  <si>
    <t>2022-02-19 15:03:35</t>
  </si>
  <si>
    <t>potulini</t>
  </si>
  <si>
    <t>potulini@gmail.com</t>
  </si>
  <si>
    <t>2022-02-19 17:02:34</t>
  </si>
  <si>
    <t>Ульяна Мулёва</t>
  </si>
  <si>
    <t>uly02102005@gmail.com</t>
  </si>
  <si>
    <t>+375291664361</t>
  </si>
  <si>
    <t>2022-02-19 18:02:29</t>
  </si>
  <si>
    <t>Чайная встреча Разговор по душам 26.2.2022 Минск</t>
  </si>
  <si>
    <t>Гузель Клд</t>
  </si>
  <si>
    <t>kalandarovag@gmail.com</t>
  </si>
  <si>
    <t>+375259638665</t>
  </si>
  <si>
    <t>2022-02-19 18:03:36</t>
  </si>
  <si>
    <t>evgeniyamih01</t>
  </si>
  <si>
    <t>evgeniyamih01@gmail.com</t>
  </si>
  <si>
    <t>2022-02-19 22:31:42</t>
  </si>
  <si>
    <t>Елена Хомич</t>
  </si>
  <si>
    <t>vesnyshka.lena@yandex.by</t>
  </si>
  <si>
    <t>+375298084791</t>
  </si>
  <si>
    <t>2022-02-19 23:04:56</t>
  </si>
  <si>
    <t>louchiadance</t>
  </si>
  <si>
    <t>louchiadance@yahoo.com</t>
  </si>
  <si>
    <t>2022-02-20 02:03:16</t>
  </si>
  <si>
    <t>Надежда  Чунаева</t>
  </si>
  <si>
    <t>nadin_chunaeva@mail.ru</t>
  </si>
  <si>
    <t>2022-02-20 09:18:15</t>
  </si>
  <si>
    <t>sergejcukkata</t>
  </si>
  <si>
    <t>sergejcukkata@gmail.com</t>
  </si>
  <si>
    <t>2022-02-20 11:51:26</t>
  </si>
  <si>
    <t>okeyyy86</t>
  </si>
  <si>
    <t>okeyyy86@gmail.com</t>
  </si>
  <si>
    <t>2022-02-20 11:57:00</t>
  </si>
  <si>
    <t>Oleg Hajcenko</t>
  </si>
  <si>
    <t>o.hajcenko@gmail.com</t>
  </si>
  <si>
    <t>+4915159425011</t>
  </si>
  <si>
    <t>2022-02-20 13:30:57</t>
  </si>
  <si>
    <t>bass.july</t>
  </si>
  <si>
    <t>bass.july@gmail.com</t>
  </si>
  <si>
    <t>2022-02-20 13:47:20</t>
  </si>
  <si>
    <t>Dayana Chernenko</t>
  </si>
  <si>
    <t>drakosha543@gmail.com</t>
  </si>
  <si>
    <t>+972523912203</t>
  </si>
  <si>
    <t>2022-02-20 20:36:32</t>
  </si>
  <si>
    <t>2022|онлайн|Учебный курс|Февраль|Шаг к Пробуждению</t>
  </si>
  <si>
    <t>Виолета Будрикене</t>
  </si>
  <si>
    <t>violeta571110@gmail.com</t>
  </si>
  <si>
    <t>+37060105781</t>
  </si>
  <si>
    <t>2022-02-20 18:56:28</t>
  </si>
  <si>
    <t>2022-02-20 20:12:32</t>
  </si>
  <si>
    <t>2022-02-20 20:44:31</t>
  </si>
  <si>
    <t>Olga Rodionova</t>
  </si>
  <si>
    <t>o.rodionova@me.com</t>
  </si>
  <si>
    <t>+972549308036</t>
  </si>
  <si>
    <t>2022-02-20 22:28:19</t>
  </si>
  <si>
    <t>Павел Лагойко</t>
  </si>
  <si>
    <t>rytppoop@mail.ru</t>
  </si>
  <si>
    <t>2022-02-20 22:55:30</t>
  </si>
  <si>
    <t>taty25092509</t>
  </si>
  <si>
    <t>taty25092509@mail.ru</t>
  </si>
  <si>
    <t>2022-02-21 01:14:15</t>
  </si>
  <si>
    <t>2022-02-21 07:48:19</t>
  </si>
  <si>
    <t>Елена Менделеева</t>
  </si>
  <si>
    <t>artdesign36.ru@yandex.ru</t>
  </si>
  <si>
    <t>+79507519242</t>
  </si>
  <si>
    <t>2022-02-21 09:26:23</t>
  </si>
  <si>
    <t>2022-02-21 13:13:13</t>
  </si>
  <si>
    <t>Антон Карцев</t>
  </si>
  <si>
    <t>tonikartino@gmail.com</t>
  </si>
  <si>
    <t>+79256576267</t>
  </si>
  <si>
    <t>2022-02-21 17:38:07</t>
  </si>
  <si>
    <t>Екатерина Карцева</t>
  </si>
  <si>
    <t>androsenkovakata@gmail.com</t>
  </si>
  <si>
    <t>+79215276794</t>
  </si>
  <si>
    <t>2022-02-21 17:50:35</t>
  </si>
  <si>
    <t>Валерия Лазарева</t>
  </si>
  <si>
    <t>lavaty99@gmail.com</t>
  </si>
  <si>
    <t>2022-02-22 12:22:31</t>
  </si>
  <si>
    <t>Практика Тишины с Ларисой Гурьяновой в Санкт-Петербурге 24.2.2022</t>
  </si>
  <si>
    <t>2022|Живое|Питер|Практика тишины|Февраль</t>
  </si>
  <si>
    <t>Ilia  Zhdanov</t>
  </si>
  <si>
    <t>zchdanov@gmail.com</t>
  </si>
  <si>
    <t>2022-02-22 20:22:46</t>
  </si>
  <si>
    <t>m.shanoza92</t>
  </si>
  <si>
    <t>m.shanoza92@gmail.com</t>
  </si>
  <si>
    <t>2022-02-22 20:33:12</t>
  </si>
  <si>
    <t>lmswtutor</t>
  </si>
  <si>
    <t>lmswtutor@aol.com</t>
  </si>
  <si>
    <t>2022-02-22 20:41:41</t>
  </si>
  <si>
    <t>vikulya1158</t>
  </si>
  <si>
    <t>vikulya1158@yahoo.com</t>
  </si>
  <si>
    <t>2022-02-22 20:53:11</t>
  </si>
  <si>
    <t>Екатерина Тимофеева</t>
  </si>
  <si>
    <t>fag45@inbox.ru</t>
  </si>
  <si>
    <t>2022-02-22 20:55:30</t>
  </si>
  <si>
    <t>kydyralieva092691</t>
  </si>
  <si>
    <t>kydyralieva092691@gmail.com</t>
  </si>
  <si>
    <t>2022-02-22 20:56:31</t>
  </si>
  <si>
    <t>mehrangez.rafieva</t>
  </si>
  <si>
    <t>mehrangez.rafieva@gmail.com</t>
  </si>
  <si>
    <t>2022-02-22 21:20:18</t>
  </si>
  <si>
    <t>valeriya.dudchenko98</t>
  </si>
  <si>
    <t>valeriya.dudchenko98@gmail.com</t>
  </si>
  <si>
    <t>2022-02-22 21:27:07</t>
  </si>
  <si>
    <t>volodon</t>
  </si>
  <si>
    <t>volodon@gmail.com</t>
  </si>
  <si>
    <t>2022-02-22 21:43:43</t>
  </si>
  <si>
    <t>tina.hussein13</t>
  </si>
  <si>
    <t>tina.hussein13@gmail.com</t>
  </si>
  <si>
    <t>2022-02-22 21:45:23</t>
  </si>
  <si>
    <t>alevtina5</t>
  </si>
  <si>
    <t>alevtina5@yahoo.com</t>
  </si>
  <si>
    <t>2022-02-22 22:03:28</t>
  </si>
  <si>
    <t>tanie14</t>
  </si>
  <si>
    <t>tanie14@live.com</t>
  </si>
  <si>
    <t>2022-02-22 22:14:52</t>
  </si>
  <si>
    <t>alenanekipelova</t>
  </si>
  <si>
    <t>alenanekipelova@yahoo.com</t>
  </si>
  <si>
    <t>2022-02-22 22:15:29</t>
  </si>
  <si>
    <t>Jason Kean</t>
  </si>
  <si>
    <t>jason_kean@cable.comcast.com</t>
  </si>
  <si>
    <t>2022-02-22 22:25:28</t>
  </si>
  <si>
    <t>Awakening challenge</t>
  </si>
  <si>
    <t>2022|Eng|онлайн|Челлендж</t>
  </si>
  <si>
    <t>Liliia Rakhmangulova</t>
  </si>
  <si>
    <t>vip.liliia123@mail.ru</t>
  </si>
  <si>
    <t>2022-02-22 22:25:31</t>
  </si>
  <si>
    <t>elisyuk.olga</t>
  </si>
  <si>
    <t>elisyuk.olga@mail.ru</t>
  </si>
  <si>
    <t>2022-02-22 22:35:20</t>
  </si>
  <si>
    <t>svetik2015455</t>
  </si>
  <si>
    <t>svetik2015455@gmail.com</t>
  </si>
  <si>
    <t>2022-02-22 23:00:01</t>
  </si>
  <si>
    <t>olademi4</t>
  </si>
  <si>
    <t>olademi4@gmail.com</t>
  </si>
  <si>
    <t>2022-02-22 23:28:04</t>
  </si>
  <si>
    <t>askergaliyevag</t>
  </si>
  <si>
    <t>askergaliyevag@gmail.com</t>
  </si>
  <si>
    <t>2022-02-22 23:38:13</t>
  </si>
  <si>
    <t>samara8384</t>
  </si>
  <si>
    <t>samara8384@gmail.com</t>
  </si>
  <si>
    <t>2022-02-22 23:40:15</t>
  </si>
  <si>
    <t>fishkin19</t>
  </si>
  <si>
    <t>fishkin19@gmail.com</t>
  </si>
  <si>
    <t>2022-02-22 23:51:40</t>
  </si>
  <si>
    <t>olga.kichygina</t>
  </si>
  <si>
    <t>olga.kichygina@gmail.com</t>
  </si>
  <si>
    <t>2022-02-23 00:27:32</t>
  </si>
  <si>
    <t>lora.dozen</t>
  </si>
  <si>
    <t>lora.dozen@gmail.com</t>
  </si>
  <si>
    <t>2022-02-23 01:44:08</t>
  </si>
  <si>
    <t>alba84</t>
  </si>
  <si>
    <t>alba84@live.ru</t>
  </si>
  <si>
    <t>2022-02-23 02:07:28</t>
  </si>
  <si>
    <t>nadgoet</t>
  </si>
  <si>
    <t>nadgoet@gmail.com</t>
  </si>
  <si>
    <t>2022-02-23 03:23:01</t>
  </si>
  <si>
    <t>cucuuliana</t>
  </si>
  <si>
    <t>cucuuliana@yahoo.com</t>
  </si>
  <si>
    <t>2022-02-23 06:11:05</t>
  </si>
  <si>
    <t>alena.parfenova.1982</t>
  </si>
  <si>
    <t>alena.parfenova.1982@mail.ru</t>
  </si>
  <si>
    <t>2022-02-23 06:36:07</t>
  </si>
  <si>
    <t>Никита Никачёв</t>
  </si>
  <si>
    <t>selilron@yandex.ru</t>
  </si>
  <si>
    <t>2022-02-23 06:58:53</t>
  </si>
  <si>
    <t>sabizahir2019</t>
  </si>
  <si>
    <t>sabizahir2019@gmail.com</t>
  </si>
  <si>
    <t>2022-02-23 07:01:38</t>
  </si>
  <si>
    <t>Aleksei  Rein</t>
  </si>
  <si>
    <t>alekseiz@gmail.com</t>
  </si>
  <si>
    <t>+19298000101</t>
  </si>
  <si>
    <t>2022-02-23 07:14:14</t>
  </si>
  <si>
    <t>icememory</t>
  </si>
  <si>
    <t>icememory@gmail.com</t>
  </si>
  <si>
    <t>2022-02-23 07:14:47</t>
  </si>
  <si>
    <t>govolga</t>
  </si>
  <si>
    <t>govolga@mail.ru</t>
  </si>
  <si>
    <t>2022-02-23 07:17:30</t>
  </si>
  <si>
    <t>Valeriya Fedorova</t>
  </si>
  <si>
    <t>fedorova.valeria@icloud.com</t>
  </si>
  <si>
    <t>2022-02-23 07:23:03</t>
  </si>
  <si>
    <t>susannahveskov</t>
  </si>
  <si>
    <t>susannahveskov@gmail.com</t>
  </si>
  <si>
    <t>2022-02-23 07:30:02</t>
  </si>
  <si>
    <t>lubasik_love</t>
  </si>
  <si>
    <t>lubasik_love@yahoo.com</t>
  </si>
  <si>
    <t>2022-02-23 07:41:19</t>
  </si>
  <si>
    <t>lena121169</t>
  </si>
  <si>
    <t>lena121169@gmail.com</t>
  </si>
  <si>
    <t>2022-02-23 07:43:44</t>
  </si>
  <si>
    <t>Lyailya Kairkanova</t>
  </si>
  <si>
    <t>lyailya.kairkanova@gmail.com</t>
  </si>
  <si>
    <t>2022-02-23 09:03:44</t>
  </si>
  <si>
    <t>Август Якушин</t>
  </si>
  <si>
    <t>august_ru@mail.ru</t>
  </si>
  <si>
    <t>+79653499993</t>
  </si>
  <si>
    <t>2022-02-23 09:47:25</t>
  </si>
  <si>
    <t xml:space="preserve"> встреча Космос внутри Сочи 5.3.2022</t>
  </si>
  <si>
    <t>2022|Встреча|Живое|Март|Сочи</t>
  </si>
  <si>
    <t>ania.m.fischer</t>
  </si>
  <si>
    <t>ania.m.fischer@gmail.com</t>
  </si>
  <si>
    <t>2022-02-23 10:04:39</t>
  </si>
  <si>
    <t>alinacompy</t>
  </si>
  <si>
    <t>alinacompy@gmail.com</t>
  </si>
  <si>
    <t>2022-02-23 10:39:38</t>
  </si>
  <si>
    <t>4527825@mail.ru</t>
  </si>
  <si>
    <t>2022-02-23 10:57:31</t>
  </si>
  <si>
    <t>annagul07</t>
  </si>
  <si>
    <t>annagul07@mail.ru</t>
  </si>
  <si>
    <t>2022-02-23 11:24:39</t>
  </si>
  <si>
    <t>nataliya.banit</t>
  </si>
  <si>
    <t>nataliya.banit@gmail.com</t>
  </si>
  <si>
    <t>2022-02-23 11:59:51</t>
  </si>
  <si>
    <t>anyuta_ussr</t>
  </si>
  <si>
    <t>anyuta_ussr@yahoo.com</t>
  </si>
  <si>
    <t>2022-02-23 17:12:10</t>
  </si>
  <si>
    <t>nadja_kromm</t>
  </si>
  <si>
    <t>nadja_kromm@mail.ru</t>
  </si>
  <si>
    <t>2022-02-23 18:19:05</t>
  </si>
  <si>
    <t>anyvayner1112</t>
  </si>
  <si>
    <t>anyvayner1112@gmail.com</t>
  </si>
  <si>
    <t>2022-02-23 18:30:41</t>
  </si>
  <si>
    <t>dno14061995</t>
  </si>
  <si>
    <t>dno14061995@mail.ru</t>
  </si>
  <si>
    <t>2022-02-23 19:02:46</t>
  </si>
  <si>
    <t>maria_koza1987</t>
  </si>
  <si>
    <t>maria_koza1987@hotmail.com</t>
  </si>
  <si>
    <t>2022-02-23 21:52:22</t>
  </si>
  <si>
    <t>Елена Ямских</t>
  </si>
  <si>
    <t>eyamskih@yandex.ru</t>
  </si>
  <si>
    <t>2022-02-23 22:39:07</t>
  </si>
  <si>
    <t>sk-123</t>
  </si>
  <si>
    <t>sk-123@mail.ru</t>
  </si>
  <si>
    <t>2022-02-23 23:01:57</t>
  </si>
  <si>
    <t>arash_nami</t>
  </si>
  <si>
    <t>arash_nami@yahoo.com</t>
  </si>
  <si>
    <t>2022-02-23 23:14:06</t>
  </si>
  <si>
    <t>t.worobej</t>
  </si>
  <si>
    <t>t.worobej@gmail.com</t>
  </si>
  <si>
    <t>2022-02-23 23:36:21</t>
  </si>
  <si>
    <t>ncskincontrol</t>
  </si>
  <si>
    <t>ncskincontrol@gmail.com</t>
  </si>
  <si>
    <t>2022-02-23 23:58:25</t>
  </si>
  <si>
    <t>Айнабат Халлиева</t>
  </si>
  <si>
    <t>albinnen@mail.ru</t>
  </si>
  <si>
    <t>+375257896508</t>
  </si>
  <si>
    <t>2022-02-24 00:41:17</t>
  </si>
  <si>
    <t>natellasarkisyanmba</t>
  </si>
  <si>
    <t>natellasarkisyanmba@gmail.com</t>
  </si>
  <si>
    <t>2022-02-24 00:42:55</t>
  </si>
  <si>
    <t>sgerasimov99</t>
  </si>
  <si>
    <t>sgerasimov99@gmail.com</t>
  </si>
  <si>
    <t>2022-02-24 00:47:52</t>
  </si>
  <si>
    <t>igortosin</t>
  </si>
  <si>
    <t>igortosin@gmail.com</t>
  </si>
  <si>
    <t>2022-02-24 04:12:10</t>
  </si>
  <si>
    <t>elenarivera</t>
  </si>
  <si>
    <t>elenarivera@mail.ru</t>
  </si>
  <si>
    <t>2022-02-24 04:25:29</t>
  </si>
  <si>
    <t>katesnowberry</t>
  </si>
  <si>
    <t>katesnowberry@gmail.com</t>
  </si>
  <si>
    <t>2022-02-24 04:36:22</t>
  </si>
  <si>
    <t>privetmaria04</t>
  </si>
  <si>
    <t>privetmaria04@gmail.com</t>
  </si>
  <si>
    <t>2022-02-24 04:37:19</t>
  </si>
  <si>
    <t>suyetova.o</t>
  </si>
  <si>
    <t>suyetova.o@gmail.com</t>
  </si>
  <si>
    <t>2022-02-24 04:52:08</t>
  </si>
  <si>
    <t>angelapavlova87</t>
  </si>
  <si>
    <t>angelapavlova87@gmail.com</t>
  </si>
  <si>
    <t>2022-02-24 05:22:55</t>
  </si>
  <si>
    <t>ingakoleda75</t>
  </si>
  <si>
    <t>ingakoleda75@gmail.com</t>
  </si>
  <si>
    <t>2022-02-24 05:54:53</t>
  </si>
  <si>
    <t>Daria  Luna</t>
  </si>
  <si>
    <t>gallardo2511@gmail.com</t>
  </si>
  <si>
    <t>2022-02-24 05:55:14</t>
  </si>
  <si>
    <t>tk_instyle</t>
  </si>
  <si>
    <t>tk_instyle@yahoo.com</t>
  </si>
  <si>
    <t>2022-02-24 06:16:43</t>
  </si>
  <si>
    <t>lenchick72</t>
  </si>
  <si>
    <t>lenchick72@gmail.com</t>
  </si>
  <si>
    <t>2022-02-24 06:33:55</t>
  </si>
  <si>
    <t>zaynab.67</t>
  </si>
  <si>
    <t>zaynab.67@icloud.com</t>
  </si>
  <si>
    <t>2022-02-24 07:32:06</t>
  </si>
  <si>
    <t>np8881</t>
  </si>
  <si>
    <t>np8881@rambler.ru</t>
  </si>
  <si>
    <t>2022-02-24 07:35:16</t>
  </si>
  <si>
    <t>eld123usa</t>
  </si>
  <si>
    <t>eld123usa@yahoo.com</t>
  </si>
  <si>
    <t>2022-02-24 08:24:29</t>
  </si>
  <si>
    <t>sekretik444</t>
  </si>
  <si>
    <t>sekretik444@mail.ru</t>
  </si>
  <si>
    <t>2022-02-24 09:05:59</t>
  </si>
  <si>
    <t>Андрей Климович</t>
  </si>
  <si>
    <t>andrey_klim@bk.ru</t>
  </si>
  <si>
    <t>+375292229971</t>
  </si>
  <si>
    <t>2022-02-24 10:22:31</t>
  </si>
  <si>
    <t>Берсенева Елена</t>
  </si>
  <si>
    <t>Izumrud.lip@mail.ru</t>
  </si>
  <si>
    <t>2022-02-24 10:49:12</t>
  </si>
  <si>
    <t>ANNA NAPRASNIKOVA</t>
  </si>
  <si>
    <t>anna.paralegal@gmail.com</t>
  </si>
  <si>
    <t>2022-02-24 11:01:05</t>
  </si>
  <si>
    <t>Елена Овсянникова</t>
  </si>
  <si>
    <t>Kemgka13@mail.ru</t>
  </si>
  <si>
    <t>+79122533821</t>
  </si>
  <si>
    <t>2022-02-24 12:17:30</t>
  </si>
  <si>
    <t>Выездной ретрит Тюмень 18-20 марта 2022 (оплата с 23.02 до 10.03)</t>
  </si>
  <si>
    <t>2022-02-24 12:35:32</t>
  </si>
  <si>
    <t>npv_mis</t>
  </si>
  <si>
    <t>npv_mis@mail.ru</t>
  </si>
  <si>
    <t>2022-02-24 12:41:51</t>
  </si>
  <si>
    <t>Юлия К</t>
  </si>
  <si>
    <t>koudinov1973@gmail.com</t>
  </si>
  <si>
    <t>2022-02-24 14:28:08</t>
  </si>
  <si>
    <t>o.studneva26</t>
  </si>
  <si>
    <t>o.studneva26@gmail.com</t>
  </si>
  <si>
    <t>2022-02-24 15:57:53</t>
  </si>
  <si>
    <t>kazakd212</t>
  </si>
  <si>
    <t>kazakd212@gmail.com</t>
  </si>
  <si>
    <t>2022-02-24 16:01:07</t>
  </si>
  <si>
    <t>victoria.smart</t>
  </si>
  <si>
    <t>victoria.smart@gmail.com</t>
  </si>
  <si>
    <t>2022-02-24 16:01:50</t>
  </si>
  <si>
    <t>lino4ka33</t>
  </si>
  <si>
    <t>lino4ka33@yahoo.com</t>
  </si>
  <si>
    <t>2022-02-24 16:49:11</t>
  </si>
  <si>
    <t>Elena Cobb</t>
  </si>
  <si>
    <t>lenaress75@gmail.com</t>
  </si>
  <si>
    <t>2022-02-24 16:54:32</t>
  </si>
  <si>
    <t>yakimova_luda</t>
  </si>
  <si>
    <t>yakimova_luda@yahoo.com</t>
  </si>
  <si>
    <t>2022-02-24 18:03:51</t>
  </si>
  <si>
    <t>Валерон Кусь</t>
  </si>
  <si>
    <t>leros.gus@bk.ru</t>
  </si>
  <si>
    <t>2022-02-24 18:54:47</t>
  </si>
  <si>
    <t>innanak1318</t>
  </si>
  <si>
    <t>innanak1318@gmail.com</t>
  </si>
  <si>
    <t>2022-02-24 19:54:07</t>
  </si>
  <si>
    <t>vad3140</t>
  </si>
  <si>
    <t>vad3140@hotmail.com</t>
  </si>
  <si>
    <t>2022-02-24 20:59:56</t>
  </si>
  <si>
    <t>Лариса Новова</t>
  </si>
  <si>
    <t>lora.beerstream@gmail.com</t>
  </si>
  <si>
    <t>+13059657036</t>
  </si>
  <si>
    <t>2022-02-24 22:41:28</t>
  </si>
  <si>
    <t>zhm33009</t>
  </si>
  <si>
    <t>zhm33009@gmail.com</t>
  </si>
  <si>
    <t>2022-02-25 00:28:37</t>
  </si>
  <si>
    <t>anargul.nurmukhanova</t>
  </si>
  <si>
    <t>anargul.nurmukhanova@mail.ru</t>
  </si>
  <si>
    <t>2022-02-25 00:32:25</t>
  </si>
  <si>
    <t>83popov</t>
  </si>
  <si>
    <t>83popov@gmail.com</t>
  </si>
  <si>
    <t>2022-02-25 00:44:29</t>
  </si>
  <si>
    <t>julia.zoger</t>
  </si>
  <si>
    <t>julia.zoger@gmail.com</t>
  </si>
  <si>
    <t>2022-02-25 00:50:19</t>
  </si>
  <si>
    <t>sophiaflerova</t>
  </si>
  <si>
    <t>sophiaflerova@gmail.com</t>
  </si>
  <si>
    <t>2022-02-25 01:44:13</t>
  </si>
  <si>
    <t>chepkasova.eo</t>
  </si>
  <si>
    <t>chepkasova.eo@gmail.com</t>
  </si>
  <si>
    <t>2022-02-25 03:02:47</t>
  </si>
  <si>
    <t>Darina Sych</t>
  </si>
  <si>
    <t>poletuha@yahoo.com</t>
  </si>
  <si>
    <t>+16304886538</t>
  </si>
  <si>
    <t>2022-02-25 03:43:55</t>
  </si>
  <si>
    <t>msmoly1</t>
  </si>
  <si>
    <t>msmoly1@wgu.edu</t>
  </si>
  <si>
    <t>2022-02-25 04:31:23</t>
  </si>
  <si>
    <t>o.akoma111</t>
  </si>
  <si>
    <t>o.akoma111@gmail.com</t>
  </si>
  <si>
    <t>2022-02-25 04:35:16</t>
  </si>
  <si>
    <t>nataliia smith-klymentiieva</t>
  </si>
  <si>
    <t>nklymentina@gmail.com</t>
  </si>
  <si>
    <t>2022-02-25 04:40:08</t>
  </si>
  <si>
    <t>res2u</t>
  </si>
  <si>
    <t>res2u@mail.ru</t>
  </si>
  <si>
    <t>2022-02-25 07:14:41</t>
  </si>
  <si>
    <t>gantulga01</t>
  </si>
  <si>
    <t>gantulga01@yahoo.com</t>
  </si>
  <si>
    <t>2022-02-25 08:20:34</t>
  </si>
  <si>
    <t>pochtapochta22</t>
  </si>
  <si>
    <t>pochtapochta22@mail.ru</t>
  </si>
  <si>
    <t>2022-02-25 08:32:16</t>
  </si>
  <si>
    <t>Анна Ларионова</t>
  </si>
  <si>
    <t>anutasmood@gmail.com</t>
  </si>
  <si>
    <t>+365293418089</t>
  </si>
  <si>
    <t>2022-02-25 14:35:14</t>
  </si>
  <si>
    <t>miamiusa379</t>
  </si>
  <si>
    <t>miamiusa379@gmail.com</t>
  </si>
  <si>
    <t>2022-02-25 14:51:26</t>
  </si>
  <si>
    <t>merkotanolena804</t>
  </si>
  <si>
    <t>merkotanolena804@gmail.com</t>
  </si>
  <si>
    <t>2022-02-25 16:57:09</t>
  </si>
  <si>
    <t>zm100500</t>
  </si>
  <si>
    <t>zm100500@gmail.com</t>
  </si>
  <si>
    <t>2022-02-25 17:47:13</t>
  </si>
  <si>
    <t>olga_carina</t>
  </si>
  <si>
    <t>olga_carina@yahoo.com</t>
  </si>
  <si>
    <t>2022-02-25 17:53:48</t>
  </si>
  <si>
    <t>tomik.chesebro</t>
  </si>
  <si>
    <t>tomik.chesebro@gmail.com</t>
  </si>
  <si>
    <t>2022-02-25 20:05:19</t>
  </si>
  <si>
    <t>ekaterina.spector</t>
  </si>
  <si>
    <t>ekaterina.spector@gmail.com</t>
  </si>
  <si>
    <t>2022-02-25 21:52:41</t>
  </si>
  <si>
    <t>prolana7</t>
  </si>
  <si>
    <t>prolana7@gmail.com</t>
  </si>
  <si>
    <t>2022-02-26 01:02:23</t>
  </si>
  <si>
    <t>rose.georgi.art</t>
  </si>
  <si>
    <t>rose.georgi.art@gmail.com</t>
  </si>
  <si>
    <t>2022-02-26 01:34:30</t>
  </si>
  <si>
    <t>zhanar.kh</t>
  </si>
  <si>
    <t>zhanar.kh@gmail.com</t>
  </si>
  <si>
    <t>2022-02-26 02:57:54</t>
  </si>
  <si>
    <t>inet2453380</t>
  </si>
  <si>
    <t>inet2453380@gmail.com</t>
  </si>
  <si>
    <t>2022-02-26 05:41:17</t>
  </si>
  <si>
    <t>Alyssa WarrenWood</t>
  </si>
  <si>
    <t>alyssacw90@gmail.com</t>
  </si>
  <si>
    <t>2022-02-26 07:14:06</t>
  </si>
  <si>
    <t>simjen2403</t>
  </si>
  <si>
    <t>simjen2403@gmail.com</t>
  </si>
  <si>
    <t>2022-02-26 07:57:40</t>
  </si>
  <si>
    <t>polileonphoto</t>
  </si>
  <si>
    <t>polileonphoto@gmail.com</t>
  </si>
  <si>
    <t>2022-02-26 09:45:01</t>
  </si>
  <si>
    <t>Анна Баяндина</t>
  </si>
  <si>
    <t>bayandina1210@gmail.com</t>
  </si>
  <si>
    <t>+79826708362</t>
  </si>
  <si>
    <t>2022-02-26 11:10:33</t>
  </si>
  <si>
    <t>stralkova</t>
  </si>
  <si>
    <t>stralkova@yahoo.com</t>
  </si>
  <si>
    <t>2022-02-26 11:32:46</t>
  </si>
  <si>
    <t>kristina.cherlina</t>
  </si>
  <si>
    <t>kristina.cherlina@gmail.com</t>
  </si>
  <si>
    <t>2022-02-26 16:49:46</t>
  </si>
  <si>
    <t>anjela69</t>
  </si>
  <si>
    <t>anjela69@aim.com</t>
  </si>
  <si>
    <t>2022-02-26 18:33:29</t>
  </si>
  <si>
    <t>tulka7777</t>
  </si>
  <si>
    <t>tulka7777@gmail.com</t>
  </si>
  <si>
    <t>2022-02-26 20:46:38</t>
  </si>
  <si>
    <t>lana_koren</t>
  </si>
  <si>
    <t>lana_koren@yahoo.com</t>
  </si>
  <si>
    <t>2022-02-26 22:18:58</t>
  </si>
  <si>
    <t>gshinkey</t>
  </si>
  <si>
    <t>gshinkey@gmail.com</t>
  </si>
  <si>
    <t>2022-02-27 00:32:22</t>
  </si>
  <si>
    <t>Аля Су</t>
  </si>
  <si>
    <t>alfiadesign@gmail.com</t>
  </si>
  <si>
    <t>2022-02-27 05:22:07</t>
  </si>
  <si>
    <t>Anastasia French</t>
  </si>
  <si>
    <t>volguntes@gmail.com</t>
  </si>
  <si>
    <t>2022-02-27 05:59:28</t>
  </si>
  <si>
    <t>innanesterets</t>
  </si>
  <si>
    <t>innanesterets@gmail.com</t>
  </si>
  <si>
    <t>2022-02-27 15:13:24</t>
  </si>
  <si>
    <t>anutik.love</t>
  </si>
  <si>
    <t>anutik.love@mail.ru</t>
  </si>
  <si>
    <t>2022-02-27 17:58:21</t>
  </si>
  <si>
    <t>Варвара Гридина</t>
  </si>
  <si>
    <t>spambin55@mail.ru</t>
  </si>
  <si>
    <t>+13134135554</t>
  </si>
  <si>
    <t>2022-02-27 19:08:14</t>
  </si>
  <si>
    <t>Valentina Svensson</t>
  </si>
  <si>
    <t>valentina@svalafilm.se</t>
  </si>
  <si>
    <t>0763134312</t>
  </si>
  <si>
    <t>2022-02-28 09:31:19</t>
  </si>
  <si>
    <t>Айрат Ахметшин</t>
  </si>
  <si>
    <t>Akhmetshin.ayr@ya.ru</t>
  </si>
  <si>
    <t>+79274572163</t>
  </si>
  <si>
    <t>2022-02-28 10:12:56</t>
  </si>
  <si>
    <t xml:space="preserve">Ретрит Дальний Восток Хабаровск 19-27.03.2022 (Оплата до 1 марта) </t>
  </si>
  <si>
    <t>2022|7 дней|Дальний восток|Живое|Март|Ретрит|Россия</t>
  </si>
  <si>
    <t>2022-02-28 10:28:41</t>
  </si>
  <si>
    <t>Наталья Прокопьева</t>
  </si>
  <si>
    <t>Zaychina@yandex.ru</t>
  </si>
  <si>
    <t>+79138205209</t>
  </si>
  <si>
    <t>2022-03-01 12:38:06</t>
  </si>
  <si>
    <t>Janis Jekabsons</t>
  </si>
  <si>
    <t>ja3000@inbox.lv</t>
  </si>
  <si>
    <t>2022-03-01 14:06:35</t>
  </si>
  <si>
    <t>Александр Кульман</t>
  </si>
  <si>
    <t>41314@mail.ru</t>
  </si>
  <si>
    <t>+79264399633</t>
  </si>
  <si>
    <t>2022-03-01 14:10:21</t>
  </si>
  <si>
    <t>2022-03-01 15:51:52</t>
  </si>
  <si>
    <t>Сергей Королев</t>
  </si>
  <si>
    <t>888sk@mail.ru</t>
  </si>
  <si>
    <t>2022-03-01 17:14:49</t>
  </si>
  <si>
    <t>Александр Сорочинский</t>
  </si>
  <si>
    <t>89659945484@mail.ru</t>
  </si>
  <si>
    <t>+79000097169</t>
  </si>
  <si>
    <t>2022-03-01 19:26:57</t>
  </si>
  <si>
    <t>2022-03-01 19:42:50</t>
  </si>
  <si>
    <t>Евгения Шеметова</t>
  </si>
  <si>
    <t>evgeniasemetova219@gmail.com</t>
  </si>
  <si>
    <t>2022-03-01 20:49:36</t>
  </si>
  <si>
    <t>Анастасия Смирнова</t>
  </si>
  <si>
    <t>a.smirnovaworld@mail.ru</t>
  </si>
  <si>
    <t>+79282458488</t>
  </si>
  <si>
    <t>2022-03-01 22:07:36</t>
  </si>
  <si>
    <t>Евгений Иванов</t>
  </si>
  <si>
    <t>Mens.EV@yandex.ru</t>
  </si>
  <si>
    <t>2022-03-02 20:57:20</t>
  </si>
  <si>
    <t>Алексей Иванов</t>
  </si>
  <si>
    <t>Z.e.r.o0607@rambler.ru</t>
  </si>
  <si>
    <t>+79965345484</t>
  </si>
  <si>
    <t>2022-03-03 11:15:55</t>
  </si>
  <si>
    <t>2022-03-03 11:16:30</t>
  </si>
  <si>
    <t>2022-03-03 14:03:45</t>
  </si>
  <si>
    <t>Мария Шутко</t>
  </si>
  <si>
    <t>mzgonnikova@yandex.ru</t>
  </si>
  <si>
    <t>+79500061919</t>
  </si>
  <si>
    <t>2022-03-03 14:58:22</t>
  </si>
  <si>
    <t>Petersohn Natalia</t>
  </si>
  <si>
    <t>maxnata@bk.ru</t>
  </si>
  <si>
    <t>+4917647066801</t>
  </si>
  <si>
    <t>2022-03-03 17:07:39</t>
  </si>
  <si>
    <t>Максим Зороастров</t>
  </si>
  <si>
    <t>million990@ya.ru</t>
  </si>
  <si>
    <t>2022-03-03 17:37:53</t>
  </si>
  <si>
    <t>Наталья Рудковская</t>
  </si>
  <si>
    <t>rudnata1968@gmail.com</t>
  </si>
  <si>
    <t>+79834421418</t>
  </si>
  <si>
    <t>2022-03-03 18:45:36</t>
  </si>
  <si>
    <t>Елена Голубь</t>
  </si>
  <si>
    <t>artmakarov2902@gmail.com</t>
  </si>
  <si>
    <t>+79615949053</t>
  </si>
  <si>
    <t>2022-03-04 07:56:18</t>
  </si>
  <si>
    <t>Лила Жуганова</t>
  </si>
  <si>
    <t>ksyu_nya90@mail.ru</t>
  </si>
  <si>
    <t>2022-03-04 09:52:04</t>
  </si>
  <si>
    <t>Арина Медведева</t>
  </si>
  <si>
    <t>arina220898@gmail.com</t>
  </si>
  <si>
    <t>+9778399330</t>
  </si>
  <si>
    <t>2022-03-04 12:47:09</t>
  </si>
  <si>
    <t xml:space="preserve">Ретрит Дальний Восток Хабаровск 19-27.03.2022 (Оплата со 2 по 7 марта) </t>
  </si>
  <si>
    <t>Дмитрий Сысоев</t>
  </si>
  <si>
    <t>Sisa_88_@mail.ru</t>
  </si>
  <si>
    <t>2022-03-04 13:00:27</t>
  </si>
  <si>
    <t>Ольга Волошина</t>
  </si>
  <si>
    <t>voloshka_57@mail.ru</t>
  </si>
  <si>
    <t>+79164511964</t>
  </si>
  <si>
    <t>2022-03-04 14:00:51</t>
  </si>
  <si>
    <t>Мастер Ив</t>
  </si>
  <si>
    <t>2012227@mail.ru</t>
  </si>
  <si>
    <t>+79183072227</t>
  </si>
  <si>
    <t>2022-03-04 15:43:15</t>
  </si>
  <si>
    <t>Наталья Кузнецова</t>
  </si>
  <si>
    <t>Panilaska@ya.ru</t>
  </si>
  <si>
    <t>2022-03-04 16:22:08</t>
  </si>
  <si>
    <t>Тамила Запорожец</t>
  </si>
  <si>
    <t>gamidovatamila@mail.ru</t>
  </si>
  <si>
    <t>2022-03-04 18:58:38</t>
  </si>
  <si>
    <t>Алиса Дью</t>
  </si>
  <si>
    <t>alice.saintp@mail.ru</t>
  </si>
  <si>
    <t>+79052746913</t>
  </si>
  <si>
    <t>2022-03-04 21:29:16</t>
  </si>
  <si>
    <t>Татьяна Истомина</t>
  </si>
  <si>
    <t>tanya-mirny@mail.ru</t>
  </si>
  <si>
    <t>2022-03-05 08:40:50</t>
  </si>
  <si>
    <t>lyuba.zanova53@mail.ru</t>
  </si>
  <si>
    <t>2022-03-05 14:43:41</t>
  </si>
  <si>
    <t>Гуля Шарипова</t>
  </si>
  <si>
    <t>ulibka6532@mail.ru</t>
  </si>
  <si>
    <t>+998909596532</t>
  </si>
  <si>
    <t>2022-03-05 14:55:29</t>
  </si>
  <si>
    <t>Шахло Халирахманова</t>
  </si>
  <si>
    <t>shkhalirakhmanova@bk.ru</t>
  </si>
  <si>
    <t>+998909025085</t>
  </si>
  <si>
    <t>2022-03-05 15:01:14</t>
  </si>
  <si>
    <t>Ольга Шелкова</t>
  </si>
  <si>
    <t>olga.shelkova@internet.ru</t>
  </si>
  <si>
    <t>+998946359758</t>
  </si>
  <si>
    <t>2022-03-05 15:10:04</t>
  </si>
  <si>
    <t>Маъруф Рахматов</t>
  </si>
  <si>
    <t>mvsstudio7775@gmail.com</t>
  </si>
  <si>
    <t>+998998398886</t>
  </si>
  <si>
    <t>2022-03-05 15:15:39</t>
  </si>
  <si>
    <t>2022-03-06 11:18:25</t>
  </si>
  <si>
    <t>Aliaksandr Kuchynski</t>
  </si>
  <si>
    <t>zzz1945@mail.ru</t>
  </si>
  <si>
    <t>+375296771761</t>
  </si>
  <si>
    <t>2022-03-06 13:56:00</t>
  </si>
  <si>
    <t>Ксения Гришанович</t>
  </si>
  <si>
    <t>esenia.grish@gmail.com</t>
  </si>
  <si>
    <t>+375256881339</t>
  </si>
  <si>
    <t>2022-03-06 17:04:06</t>
  </si>
  <si>
    <t>Анастасия Чертович</t>
  </si>
  <si>
    <t>anskoraa@gmail.com</t>
  </si>
  <si>
    <t>2022-03-06 17:31:47</t>
  </si>
  <si>
    <t>Виктория Василюк</t>
  </si>
  <si>
    <t>rs-1323@yandex.ru</t>
  </si>
  <si>
    <t>2022-03-06 18:50:24</t>
  </si>
  <si>
    <t>Raisa Pozdnjakova</t>
  </si>
  <si>
    <t>Raisa48880@yandex.ru</t>
  </si>
  <si>
    <t>+48880168221</t>
  </si>
  <si>
    <t>2022-03-06 22:17:46</t>
  </si>
  <si>
    <t>Богдан Кондратьев</t>
  </si>
  <si>
    <t>gipprorussia@bk.ru</t>
  </si>
  <si>
    <t>+79250195112</t>
  </si>
  <si>
    <t>2022-03-07 08:26:02</t>
  </si>
  <si>
    <t>Rasa Valaitiene</t>
  </si>
  <si>
    <t>rasavalaitiene30@gmail.com</t>
  </si>
  <si>
    <t>+4796730445</t>
  </si>
  <si>
    <t>2022-03-07 23:42:21</t>
  </si>
  <si>
    <t>2022-03-08 06:43:45</t>
  </si>
  <si>
    <t>Тарас Кравченко</t>
  </si>
  <si>
    <t>svetotechenie@gmail.com</t>
  </si>
  <si>
    <t>+79183380068</t>
  </si>
  <si>
    <t>2022-03-08 08:37:54</t>
  </si>
  <si>
    <t>Екатерина Сыроежкина</t>
  </si>
  <si>
    <t>catta@tut.by</t>
  </si>
  <si>
    <t>+375292531466</t>
  </si>
  <si>
    <t>2022-03-09 12:27:00</t>
  </si>
  <si>
    <t>Екатерина Лавренова</t>
  </si>
  <si>
    <t>Mermaid-Kitana@yandex.ru</t>
  </si>
  <si>
    <t>+375298906307</t>
  </si>
  <si>
    <t>2022-03-09 15:25:14</t>
  </si>
  <si>
    <t>Ангелина Врублевская</t>
  </si>
  <si>
    <t>lina19982010@mail.ru</t>
  </si>
  <si>
    <t>+375257380611</t>
  </si>
  <si>
    <t>2022-03-09 15:26:14</t>
  </si>
  <si>
    <t>2022-03-09 18:12:57</t>
  </si>
  <si>
    <t>Modestas Martinkus</t>
  </si>
  <si>
    <t>modestas.martinkus@inbox.lt</t>
  </si>
  <si>
    <t>+4796745928</t>
  </si>
  <si>
    <t>2022-03-09 19:05:10</t>
  </si>
  <si>
    <t>2022-03-09 20:32:49</t>
  </si>
  <si>
    <t>2022-03-09 21:47:15</t>
  </si>
  <si>
    <t>Ирина Горянская</t>
  </si>
  <si>
    <t>goryanskaya.irina@gmai.com</t>
  </si>
  <si>
    <t>+79262468977</t>
  </si>
  <si>
    <t>2022-03-09 22:24:21</t>
  </si>
  <si>
    <t>Артур Терегулов</t>
  </si>
  <si>
    <t>sliceice@gmail.com</t>
  </si>
  <si>
    <t>+375255406805</t>
  </si>
  <si>
    <t>2022-03-10 01:51:27</t>
  </si>
  <si>
    <t>Лидия Базанова</t>
  </si>
  <si>
    <t>lbazanova@yandex.ru</t>
  </si>
  <si>
    <t>+79166077469</t>
  </si>
  <si>
    <t>2022-03-10 11:05:00</t>
  </si>
  <si>
    <t>2022-03-10 11:13:42</t>
  </si>
  <si>
    <t>Ольга Дементьева</t>
  </si>
  <si>
    <t>dementyevaolga@mail.ru</t>
  </si>
  <si>
    <t>+79190114349</t>
  </si>
  <si>
    <t>2022-03-10 18:08:50</t>
  </si>
  <si>
    <t>Василий Каражелясков</t>
  </si>
  <si>
    <t>gorodn834@rambler.ru</t>
  </si>
  <si>
    <t>+79263535558</t>
  </si>
  <si>
    <t>2022-03-11 07:51:03</t>
  </si>
  <si>
    <t>Эндже Гизитдинова</t>
  </si>
  <si>
    <t>Gizitdinovaendz@list.ru</t>
  </si>
  <si>
    <t>+79258658692</t>
  </si>
  <si>
    <t>2022-03-11 08:24:22</t>
  </si>
  <si>
    <t>Александр Щербаков</t>
  </si>
  <si>
    <t>sanya.shherbakov.82@mail.ru</t>
  </si>
  <si>
    <t>2022-03-11 11:53:18</t>
  </si>
  <si>
    <t>Евгения Тутова</t>
  </si>
  <si>
    <t>Ejeny@ukr.net</t>
  </si>
  <si>
    <t>+380671226612</t>
  </si>
  <si>
    <t>2022-03-11 13:15:32</t>
  </si>
  <si>
    <t>Интенсив онлайн 11-13.03.2022 Пакет - "Украина"</t>
  </si>
  <si>
    <t>2022|Интенсив|Март|онлайн|Украина</t>
  </si>
  <si>
    <t>Elena</t>
  </si>
  <si>
    <t>Elena.s.Stoyakina@gmail.com</t>
  </si>
  <si>
    <t>2022-03-11 14:18:39</t>
  </si>
  <si>
    <t>Софья Полукеева</t>
  </si>
  <si>
    <t>Kzadzmzpzadpzhaeaeaea@gmail.com</t>
  </si>
  <si>
    <t>+79996180672</t>
  </si>
  <si>
    <t>2022-03-11 14:37:48</t>
  </si>
  <si>
    <t>2022-03-11 15:28:18</t>
  </si>
  <si>
    <t>Шевчик Михаил</t>
  </si>
  <si>
    <t>zertergormer@gmail.com</t>
  </si>
  <si>
    <t>+375292382972</t>
  </si>
  <si>
    <t>2022-03-12 14:05:44</t>
  </si>
  <si>
    <t>Марина Медведева</t>
  </si>
  <si>
    <t>medvedevam256@gmail.com</t>
  </si>
  <si>
    <t>2022-03-13 03:52:19</t>
  </si>
  <si>
    <t>Марчук Игорь</t>
  </si>
  <si>
    <t>marching.irc38@gmail.com</t>
  </si>
  <si>
    <t>2022-03-13 07:46:32</t>
  </si>
  <si>
    <t>Татьяна Телегина</t>
  </si>
  <si>
    <t>Madamtanichka@mail.ru</t>
  </si>
  <si>
    <t>2022-03-13 08:31:14</t>
  </si>
  <si>
    <t>2022-03-14 11:16:13</t>
  </si>
  <si>
    <t>Тамара Чудиновских</t>
  </si>
  <si>
    <t>Tamachud67@gmail.com</t>
  </si>
  <si>
    <t>+972559801030</t>
  </si>
  <si>
    <t>2022-03-14 14:09:47</t>
  </si>
  <si>
    <t>Онлайн курс Шаг к Пробуждению №17 26.3-10.4.22 Пакет стандартный</t>
  </si>
  <si>
    <t>2022-03-14 17:29:29</t>
  </si>
  <si>
    <t>Леонид Леликов</t>
  </si>
  <si>
    <t>dclelikov@gmail.com</t>
  </si>
  <si>
    <t>2022-03-14 19:59:06</t>
  </si>
  <si>
    <t>André Röthlisberger</t>
  </si>
  <si>
    <t>wataneosnirvana@gmail.com</t>
  </si>
  <si>
    <t>+41775103654</t>
  </si>
  <si>
    <t>2022-03-14 22:27:47</t>
  </si>
  <si>
    <t>Ретрит в Латвии 19-27.03.2022 DEU</t>
  </si>
  <si>
    <t>Алексей Смирнов</t>
  </si>
  <si>
    <t>printal@bk.ru</t>
  </si>
  <si>
    <t>+79667626222</t>
  </si>
  <si>
    <t>2022-03-15 09:42:23</t>
  </si>
  <si>
    <t>Яна Острогорская</t>
  </si>
  <si>
    <t>ostrogorskaya200038@gmail.com</t>
  </si>
  <si>
    <t>+79146607759</t>
  </si>
  <si>
    <t>2022-03-15 12:37:54</t>
  </si>
  <si>
    <t>2022-03-15 13:29:29</t>
  </si>
  <si>
    <t>Игорь Гостяев</t>
  </si>
  <si>
    <t>Mentatdante@gmail.com</t>
  </si>
  <si>
    <t>+375257054822</t>
  </si>
  <si>
    <t>2022-03-15 17:01:33</t>
  </si>
  <si>
    <t>Чайная встреча Разговор по душам 19.3.2022 Минск</t>
  </si>
  <si>
    <t>Надежда Коротовских</t>
  </si>
  <si>
    <t>9620732@mail.ru</t>
  </si>
  <si>
    <t>+79219620732</t>
  </si>
  <si>
    <t>2022-03-16 10:33:12</t>
  </si>
  <si>
    <t>2022-03-16 12:01:46</t>
  </si>
  <si>
    <t>2022-03-16 19:29:53</t>
  </si>
  <si>
    <t>2022-03-17 15:45:11</t>
  </si>
  <si>
    <t>2022-03-18 05:21:47</t>
  </si>
  <si>
    <t>2022-03-18 20:54:05</t>
  </si>
  <si>
    <t>2022-03-18 22:00:26</t>
  </si>
  <si>
    <t>Ирина Герасименко</t>
  </si>
  <si>
    <t>x0982672268@gmail.com</t>
  </si>
  <si>
    <t>+380982672268</t>
  </si>
  <si>
    <t>2022-03-20 16:25:44</t>
  </si>
  <si>
    <t>Марина Гатина</t>
  </si>
  <si>
    <t>Manufactura1@mail.ru</t>
  </si>
  <si>
    <t>2022-03-21 10:46:58</t>
  </si>
  <si>
    <t>Лилия Степанова</t>
  </si>
  <si>
    <t>step.lil.val@gmail.com</t>
  </si>
  <si>
    <t>+79533084407</t>
  </si>
  <si>
    <t>2022-03-21 23:05:07</t>
  </si>
  <si>
    <t>2022-03-22 11:53:35</t>
  </si>
  <si>
    <t>2022-03-23 05:44:04</t>
  </si>
  <si>
    <t>2022-03-23 11:36:25</t>
  </si>
  <si>
    <t>2022-03-23 12:51:48</t>
  </si>
  <si>
    <t>2022-03-23 15:47:50</t>
  </si>
  <si>
    <t>2022-03-23 15:58:11</t>
  </si>
  <si>
    <t>2022|Дальний восток|Интенсив|Март|онлайн</t>
  </si>
  <si>
    <t>2022-03-24 04:53:17</t>
  </si>
  <si>
    <t>atributvl72@gmail.com</t>
  </si>
  <si>
    <t>2022-03-25 12:01:36</t>
  </si>
  <si>
    <t>2022-03-25 15:49:17</t>
  </si>
  <si>
    <t>2022-03-26 14:58:53</t>
  </si>
  <si>
    <t>2022-03-26 15:00:05</t>
  </si>
  <si>
    <t>goryanskaya.irina@gmail.com</t>
  </si>
  <si>
    <t>2022-03-27 08:45:02</t>
  </si>
  <si>
    <t>2022-03-28 06:12:33</t>
  </si>
  <si>
    <t>2022-03-28 08:50:45</t>
  </si>
  <si>
    <t>2022-03-28 17:43:49</t>
  </si>
  <si>
    <t>2022-03-30 10:06:43</t>
  </si>
  <si>
    <t>2022-03-30 12:50:37</t>
  </si>
  <si>
    <t>2022-03-31 23:20:42</t>
  </si>
  <si>
    <t>АнтиЭго 2.0 29.3 - 12.04.2022 (поток 2)</t>
  </si>
  <si>
    <t>2022-04-01 23:24:08</t>
  </si>
  <si>
    <t>2022-04-03 17:16:15</t>
  </si>
  <si>
    <t>Чайная встреча Разговор по душам Минск 9.04.2022</t>
  </si>
  <si>
    <t>2022|Апрель|Живое|чайная встреча</t>
  </si>
  <si>
    <t>2022-04-03 22:58:06</t>
  </si>
  <si>
    <t>2022-04-08 16:27:42</t>
  </si>
  <si>
    <t>2022-04-10 15:01:37</t>
  </si>
  <si>
    <t>2022-04-13 22:18:47</t>
  </si>
  <si>
    <t>2022-04-14 21:33:34</t>
  </si>
  <si>
    <t>2022-04-15 10:27:20</t>
  </si>
  <si>
    <t>2022-04-18 17:22:13</t>
  </si>
  <si>
    <t>2022-04-23 10:00:21</t>
  </si>
  <si>
    <t>2022-04-25 10:12:53</t>
  </si>
  <si>
    <t>2022-04-26 09:12:15</t>
  </si>
  <si>
    <t>2022-04-28 02:54:48</t>
  </si>
  <si>
    <t>2022-05-03 13:26:30</t>
  </si>
  <si>
    <t>2022-05-06 17:05:28</t>
  </si>
  <si>
    <t>2022-05-07 21:13:37</t>
  </si>
  <si>
    <t>2022-05-09 11:01:18</t>
  </si>
  <si>
    <t>2022-05-09 11:01:24</t>
  </si>
  <si>
    <t>2022-05-10 11:10:12</t>
  </si>
  <si>
    <t>2022-05-11 07:58:55</t>
  </si>
  <si>
    <t>2022-05-11 19:01:14</t>
  </si>
  <si>
    <t>2022-05-12 14:39:54</t>
  </si>
  <si>
    <t>2022-05-13 19:16:00</t>
  </si>
  <si>
    <t>2022-05-16 10:55:45</t>
  </si>
  <si>
    <t>2022-05-17 22:29:27</t>
  </si>
  <si>
    <t>2022-05-30 16:49:24</t>
  </si>
  <si>
    <t>2022-03-25 12:05:55</t>
  </si>
  <si>
    <t>2022-03-25 12:31:25</t>
  </si>
  <si>
    <t>Елизавета Савина</t>
  </si>
  <si>
    <t>elizavetaelizavettovna@gmail.com</t>
  </si>
  <si>
    <t>+375293169528</t>
  </si>
  <si>
    <t>2022-03-26 12:41:28</t>
  </si>
  <si>
    <t>Елизавета Нестерович</t>
  </si>
  <si>
    <t>thesimliza@gmail.com</t>
  </si>
  <si>
    <t>+375445908485</t>
  </si>
  <si>
    <t>2022-03-26 12:43:06</t>
  </si>
  <si>
    <t>Руслана Раевская</t>
  </si>
  <si>
    <t>9035000100@mail.ru</t>
  </si>
  <si>
    <t>2022-03-26 18:15:11</t>
  </si>
  <si>
    <t>etetrt ertertert</t>
  </si>
  <si>
    <t>rtettert@gmail.com</t>
  </si>
  <si>
    <t>2022-03-27 11:14:27</t>
  </si>
  <si>
    <t>ertert ertert</t>
  </si>
  <si>
    <t>dgdfgdfg@gmail.com</t>
  </si>
  <si>
    <t>2022-03-27 11:24:58</t>
  </si>
  <si>
    <t>ertertrt ertertrt</t>
  </si>
  <si>
    <t>ertertrt@gmail.com</t>
  </si>
  <si>
    <t>2022-03-27 11:26:29</t>
  </si>
  <si>
    <t>Юлия Скорочкина</t>
  </si>
  <si>
    <t>yula41280@yandex.ru</t>
  </si>
  <si>
    <t>2022-03-28 08:47:05</t>
  </si>
  <si>
    <t>Уля Солнцева</t>
  </si>
  <si>
    <t>Sahautda@mail.ru</t>
  </si>
  <si>
    <t>2022-03-28 18:31:10</t>
  </si>
  <si>
    <t>Антон Мурыгин</t>
  </si>
  <si>
    <t>Antonmurigin@gmail.com</t>
  </si>
  <si>
    <t>2022-03-29 10:34:17</t>
  </si>
  <si>
    <t>Юлия Юмачикова</t>
  </si>
  <si>
    <t>Yumachikova00@bk.ru</t>
  </si>
  <si>
    <t>2022-03-29 19:01:42</t>
  </si>
  <si>
    <t>Александра Патрик</t>
  </si>
  <si>
    <t>sapatrik1@yandex.ru</t>
  </si>
  <si>
    <t>2022-03-30 08:21:36</t>
  </si>
  <si>
    <t>Алена Белеевская</t>
  </si>
  <si>
    <t>abeleevskaya@yandex.ru</t>
  </si>
  <si>
    <t>+9039694236</t>
  </si>
  <si>
    <t>2022-03-30 11:43:23</t>
  </si>
  <si>
    <t>Monika Stirbienė</t>
  </si>
  <si>
    <t>monik.tumaite@gmail.com</t>
  </si>
  <si>
    <t>+37062634250</t>
  </si>
  <si>
    <t>2022-03-31 09:01:14</t>
  </si>
  <si>
    <t>АнтиЭго 2.0  29.3 - 12.04.2022 (поток 2)  70€</t>
  </si>
  <si>
    <t>Екатерина Ляхова</t>
  </si>
  <si>
    <t>l.katerina.27@yandex.ru</t>
  </si>
  <si>
    <t>+375336167516</t>
  </si>
  <si>
    <t>2022-03-31 14:19:22</t>
  </si>
  <si>
    <t>Margarita Enzi</t>
  </si>
  <si>
    <t>M.Enzi@gmx.de</t>
  </si>
  <si>
    <t>+4917620290380</t>
  </si>
  <si>
    <t>2022-03-31 15:44:10</t>
  </si>
  <si>
    <t>Rasuolė Balsevičiūtė</t>
  </si>
  <si>
    <t>balseviciute.rasuole@gmail.com</t>
  </si>
  <si>
    <t>2022-03-31 17:30:51</t>
  </si>
  <si>
    <t>АнтиЭго 2.0 29.3 - 12.04.2022 (поток 2) 70€</t>
  </si>
  <si>
    <t>Ief Vancouillie</t>
  </si>
  <si>
    <t>ief123@gmail.com</t>
  </si>
  <si>
    <t>+32496252610</t>
  </si>
  <si>
    <t>2022-03-31 18:09:49</t>
  </si>
  <si>
    <t>Булат Валеев</t>
  </si>
  <si>
    <t>valeev.bulat@gmail.com</t>
  </si>
  <si>
    <t>+79378424906</t>
  </si>
  <si>
    <t>2022-03-31 18:35:50</t>
  </si>
  <si>
    <t>Елена Горбачева</t>
  </si>
  <si>
    <t>Elleenaa0331@yandex.ru</t>
  </si>
  <si>
    <t>2022-04-02 15:14:18</t>
  </si>
  <si>
    <t>2022-04-03 10:43:13</t>
  </si>
  <si>
    <t>Ольга Чернета</t>
  </si>
  <si>
    <t>Cherneta_oa@tut.by</t>
  </si>
  <si>
    <t>+375291529625</t>
  </si>
  <si>
    <t>2022-04-04 16:31:38</t>
  </si>
  <si>
    <t>Натали Мик</t>
  </si>
  <si>
    <t>ruby_bleecker@mail.ru</t>
  </si>
  <si>
    <t>+375297522724</t>
  </si>
  <si>
    <t>2022-04-04 16:42:12</t>
  </si>
  <si>
    <t>Татьяна Фурман</t>
  </si>
  <si>
    <t>tanyata12@mail.ru</t>
  </si>
  <si>
    <t>+375293159545</t>
  </si>
  <si>
    <t>2022-04-05 00:55:15</t>
  </si>
  <si>
    <t>Нина Суворова</t>
  </si>
  <si>
    <t>newsnina_2013@mail.ru</t>
  </si>
  <si>
    <t>+79858164964</t>
  </si>
  <si>
    <t>2022-04-06 10:57:01</t>
  </si>
  <si>
    <t>Буглак Даниил</t>
  </si>
  <si>
    <t>dan.buglak@gmail.com</t>
  </si>
  <si>
    <t>+375447839968</t>
  </si>
  <si>
    <t>2022-04-06 13:39:34</t>
  </si>
  <si>
    <t>Григорий Володько</t>
  </si>
  <si>
    <t>greeghore@gmail.com</t>
  </si>
  <si>
    <t>+375292632853</t>
  </si>
  <si>
    <t>2022-04-06 13:39:45</t>
  </si>
  <si>
    <t>Анна Кебец</t>
  </si>
  <si>
    <t>kebetsanna2911@gmail.com</t>
  </si>
  <si>
    <t>+375291835167</t>
  </si>
  <si>
    <t>2022-04-06 14:16:06</t>
  </si>
  <si>
    <t>Алина Краснова</t>
  </si>
  <si>
    <t>alinaalexkras@gmail.com</t>
  </si>
  <si>
    <t>+375299651367</t>
  </si>
  <si>
    <t>2022-04-06 14:22:06</t>
  </si>
  <si>
    <t>2022-04-06 16:26:26</t>
  </si>
  <si>
    <t>Екатерина Андриенко</t>
  </si>
  <si>
    <t>ekaterinatrafimcik@gmail.com</t>
  </si>
  <si>
    <t>+375292559355</t>
  </si>
  <si>
    <t>2022-04-07 16:19:45</t>
  </si>
  <si>
    <t>Дарья Мельникова</t>
  </si>
  <si>
    <t>darya_mcr@mail.ru</t>
  </si>
  <si>
    <t>+375299401803</t>
  </si>
  <si>
    <t>2022-04-07 18:44:48</t>
  </si>
  <si>
    <t>Синельщикова Ирина</t>
  </si>
  <si>
    <t>batirochka2@gmail.com</t>
  </si>
  <si>
    <t>2022-04-08 20:16:55</t>
  </si>
  <si>
    <t>Лилия Гринь</t>
  </si>
  <si>
    <t>Liliya.hryn@gmail.com</t>
  </si>
  <si>
    <t>+375293297726</t>
  </si>
  <si>
    <t>2022-04-08 11:51:54</t>
  </si>
  <si>
    <t>Надежда Фульга</t>
  </si>
  <si>
    <t>Santarina@list.ru</t>
  </si>
  <si>
    <t>2022-04-08 16:24:52</t>
  </si>
  <si>
    <t>Владислав Дяков</t>
  </si>
  <si>
    <t>djakvlad@gmail.com</t>
  </si>
  <si>
    <t>+375298742771</t>
  </si>
  <si>
    <t>2022-04-08 20:57:11</t>
  </si>
  <si>
    <t>Владислав Лысюк</t>
  </si>
  <si>
    <t>wladis201@gmail.com</t>
  </si>
  <si>
    <t>+375295942893</t>
  </si>
  <si>
    <t>2022-04-09 09:16:03</t>
  </si>
  <si>
    <t>Aleksandar Rangelov</t>
  </si>
  <si>
    <t>christo_ks@yahoo.com</t>
  </si>
  <si>
    <t>+359896408588</t>
  </si>
  <si>
    <t>2022-04-09 11:38:36</t>
  </si>
  <si>
    <t>Larisa Gordyukhina</t>
  </si>
  <si>
    <t>gordy_la@mail.ru</t>
  </si>
  <si>
    <t>2022-04-09 13:35:03</t>
  </si>
  <si>
    <t>Галина Янушкевич</t>
  </si>
  <si>
    <t>sweet-gal@mail.ru</t>
  </si>
  <si>
    <t>+375297797047</t>
  </si>
  <si>
    <t>2022-04-09 16:00:42</t>
  </si>
  <si>
    <t>Irina Kühn</t>
  </si>
  <si>
    <t>irina.kuehn@gmx.net</t>
  </si>
  <si>
    <t>+4915120116060</t>
  </si>
  <si>
    <t>2022-04-10 15:12:06</t>
  </si>
  <si>
    <t>Ольга Кудаленкина</t>
  </si>
  <si>
    <t>o.kudalenkina@gmail.com</t>
  </si>
  <si>
    <t>+375297712441</t>
  </si>
  <si>
    <t>2022-04-10 21:57:13</t>
  </si>
  <si>
    <t>Ксения Агафонова</t>
  </si>
  <si>
    <t>syringa2707@mail.ru</t>
  </si>
  <si>
    <t>+79996525848</t>
  </si>
  <si>
    <t>2022-04-11 12:32:21</t>
  </si>
  <si>
    <t>Николай Трихминов</t>
  </si>
  <si>
    <t>nik4488@mail.ru</t>
  </si>
  <si>
    <t>+79851129147</t>
  </si>
  <si>
    <t>2022-04-11 17:47:37</t>
  </si>
  <si>
    <t>Андрей Кожевников</t>
  </si>
  <si>
    <t>diagon-alley@mail.ru</t>
  </si>
  <si>
    <t>+79089084686</t>
  </si>
  <si>
    <t>2022-04-12 19:05:35</t>
  </si>
  <si>
    <t>Ксения Гладких</t>
  </si>
  <si>
    <t>Xenija243@ukr.net</t>
  </si>
  <si>
    <t>+491712833750</t>
  </si>
  <si>
    <t>2022-04-13 17:25:27</t>
  </si>
  <si>
    <t>Виктория Докучаева</t>
  </si>
  <si>
    <t>vdokuchaeva16@mail.ru</t>
  </si>
  <si>
    <t>+79161051333</t>
  </si>
  <si>
    <t>2022-04-13 19:35:15</t>
  </si>
  <si>
    <t>Елена Васильева</t>
  </si>
  <si>
    <t>helen3519@bk.ru</t>
  </si>
  <si>
    <t>+79048090777</t>
  </si>
  <si>
    <t>2022-04-13 19:39:06</t>
  </si>
  <si>
    <t>Рамиля Миназиева</t>
  </si>
  <si>
    <t>kafemarinad15@gmail.com</t>
  </si>
  <si>
    <t>+79874187418</t>
  </si>
  <si>
    <t>2022-04-13 23:37:25</t>
  </si>
  <si>
    <t>Елена Логинова</t>
  </si>
  <si>
    <t>elenalogi69@mail.ru</t>
  </si>
  <si>
    <t>+79036454306</t>
  </si>
  <si>
    <t>2022-04-14 17:21:36</t>
  </si>
  <si>
    <t>Сергей Агибалов</t>
  </si>
  <si>
    <t>next08@mail.ru</t>
  </si>
  <si>
    <t>+79522150390</t>
  </si>
  <si>
    <t>2022-04-14 19:36:38</t>
  </si>
  <si>
    <t>Анна Данилова</t>
  </si>
  <si>
    <t>danilovaav8@gmail.com</t>
  </si>
  <si>
    <t>2022-04-15 14:22:13</t>
  </si>
  <si>
    <t>Сергей Рябов</t>
  </si>
  <si>
    <t>serg.ilnur@yandex.ru</t>
  </si>
  <si>
    <t>+79513462716</t>
  </si>
  <si>
    <t>2022-04-17 00:37:01</t>
  </si>
  <si>
    <t>Элина Разумовьска</t>
  </si>
  <si>
    <t>erazumovskaja@gmail.com</t>
  </si>
  <si>
    <t>+380630516393</t>
  </si>
  <si>
    <t>2022-04-17 08:05:07</t>
  </si>
  <si>
    <t>МИРЗА ХУСНИТДИНОВ</t>
  </si>
  <si>
    <t>MIRZAASH@YANDEX.RU</t>
  </si>
  <si>
    <t>+79631439778</t>
  </si>
  <si>
    <t>2022-04-17 08:34:37</t>
  </si>
  <si>
    <t>Владимир Парфёнов</t>
  </si>
  <si>
    <t>Parfenchik_08@mail.ru</t>
  </si>
  <si>
    <t>+375299081758</t>
  </si>
  <si>
    <t>2022-04-17 15:34:27</t>
  </si>
  <si>
    <t>Павел Тюлеменков</t>
  </si>
  <si>
    <t>pavelworkshop@yandex.ru</t>
  </si>
  <si>
    <t>+79522551977</t>
  </si>
  <si>
    <t>2022-04-17 17:32:07</t>
  </si>
  <si>
    <t>Михаил Иванов</t>
  </si>
  <si>
    <t>Mick.sever14@gmail.com</t>
  </si>
  <si>
    <t>2022-04-17 23:12:04</t>
  </si>
  <si>
    <t>Парвиз Алиев</t>
  </si>
  <si>
    <t>aliev@parviz.ru</t>
  </si>
  <si>
    <t>+79173388424</t>
  </si>
  <si>
    <t>2022-04-18 12:14:55</t>
  </si>
  <si>
    <t>Ретрит в РЦ Сочи май 2022  (Оплата с 18 до 29 апреля)</t>
  </si>
  <si>
    <t>Динара Грисюк</t>
  </si>
  <si>
    <t>dinara-grisyuk@yandex.ru</t>
  </si>
  <si>
    <t>+79041907007</t>
  </si>
  <si>
    <t>2022-04-18 17:09:16</t>
  </si>
  <si>
    <t>Михаил Туманов</t>
  </si>
  <si>
    <t>Mikhail.tumanov.1986@mail.ru</t>
  </si>
  <si>
    <t>+79961381146</t>
  </si>
  <si>
    <t>2022-04-18 22:56:03</t>
  </si>
  <si>
    <t>Лев Соколов</t>
  </si>
  <si>
    <t>lev1t@yandex.ru</t>
  </si>
  <si>
    <t>+79090060846</t>
  </si>
  <si>
    <t>2022-04-19 09:40:49</t>
  </si>
  <si>
    <t>Regina Warkentin</t>
  </si>
  <si>
    <t>regina2501@web.de</t>
  </si>
  <si>
    <t>017696347657</t>
  </si>
  <si>
    <t>2022-04-19 16:54:51</t>
  </si>
  <si>
    <t>ZHOMART KOPBAYEV</t>
  </si>
  <si>
    <t>trafik365@mail.ru</t>
  </si>
  <si>
    <t>+77773305929</t>
  </si>
  <si>
    <t>2022-04-19 21:25:37</t>
  </si>
  <si>
    <t>2022-04-20 09:57:38</t>
  </si>
  <si>
    <t>Chris Müller</t>
  </si>
  <si>
    <t>m91chris@gmail.com</t>
  </si>
  <si>
    <t>+4917657622411</t>
  </si>
  <si>
    <t>2022-04-20 14:49:46</t>
  </si>
  <si>
    <t>Retreat in Deutschland 30 April - 7 Mai 2022</t>
  </si>
  <si>
    <t>2022|7 дней|Deu|Германия|Европа|Живое|май|Ретрит</t>
  </si>
  <si>
    <t>Ольга Фролова</t>
  </si>
  <si>
    <t>yokoono-1@mail.ru</t>
  </si>
  <si>
    <t>+375333072121</t>
  </si>
  <si>
    <t>2022-04-21 10:22:26</t>
  </si>
  <si>
    <t>Михаил Каширин</t>
  </si>
  <si>
    <t>bog-8585@mail.ru</t>
  </si>
  <si>
    <t>+79080896951</t>
  </si>
  <si>
    <t>2022-04-21 12:22:40</t>
  </si>
  <si>
    <t>Екатерина Таранко</t>
  </si>
  <si>
    <t>katgrodno@gmail.com</t>
  </si>
  <si>
    <t>+375333760268</t>
  </si>
  <si>
    <t>2022-04-21 12:24:09</t>
  </si>
  <si>
    <t>Жанар Жаксыбергенова</t>
  </si>
  <si>
    <t>12zh18@mail.ru</t>
  </si>
  <si>
    <t>2022-04-21 13:41:56</t>
  </si>
  <si>
    <t>galinakorovina112@gmail.com</t>
  </si>
  <si>
    <t>2022-04-21 14:00:21</t>
  </si>
  <si>
    <t>Константин Борисов</t>
  </si>
  <si>
    <t>askin91@bk.ru</t>
  </si>
  <si>
    <t>2022-04-21 14:51:37</t>
  </si>
  <si>
    <t>Лариса Савина</t>
  </si>
  <si>
    <t>Savinalarisa1310@gmail.com</t>
  </si>
  <si>
    <t>+79097794943</t>
  </si>
  <si>
    <t>2022-04-21 17:43:05</t>
  </si>
  <si>
    <t>testest@yandex.ru</t>
  </si>
  <si>
    <t>+79147292828</t>
  </si>
  <si>
    <t>2022-04-21 19:42:59</t>
  </si>
  <si>
    <t>Татьяна Сорока</t>
  </si>
  <si>
    <t>tatavladi7@yandex.ru</t>
  </si>
  <si>
    <t>0721506688</t>
  </si>
  <si>
    <t>2022-04-21 19:54:13</t>
  </si>
  <si>
    <t>Сергей Косаренко</t>
  </si>
  <si>
    <t>Serj_don@mail.ru</t>
  </si>
  <si>
    <t>2022-04-21 22:24:55</t>
  </si>
  <si>
    <t>Ольга Шевчук</t>
  </si>
  <si>
    <t>olcashevchuk2407@gmail.com</t>
  </si>
  <si>
    <t>+375259799344</t>
  </si>
  <si>
    <t>2022-04-22 02:38:42</t>
  </si>
  <si>
    <t>Калина Сухомлинова</t>
  </si>
  <si>
    <t>Suhomlinowanata@yandex.ru</t>
  </si>
  <si>
    <t>+79615825819</t>
  </si>
  <si>
    <t>2022-04-22 06:50:52</t>
  </si>
  <si>
    <t>Оксана Харьковская</t>
  </si>
  <si>
    <t>ok.har7@gmail.com</t>
  </si>
  <si>
    <t>+380713391022</t>
  </si>
  <si>
    <t>2022-04-22 10:06:18</t>
  </si>
  <si>
    <t>Кристина Тарутина</t>
  </si>
  <si>
    <t>rs-c461@mail.ru</t>
  </si>
  <si>
    <t>2022-04-22 10:38:22</t>
  </si>
  <si>
    <t>Ирина Баранец</t>
  </si>
  <si>
    <t>baranetsira@yandex.ru</t>
  </si>
  <si>
    <t>+380721553547</t>
  </si>
  <si>
    <t>2022-04-22 11:33:04</t>
  </si>
  <si>
    <t>Efimenko Mila</t>
  </si>
  <si>
    <t>lydaefim81@mail.ru</t>
  </si>
  <si>
    <t>0713007257</t>
  </si>
  <si>
    <t>2022-04-22 13:24:46</t>
  </si>
  <si>
    <t>Гузаля Хамзина</t>
  </si>
  <si>
    <t>guzalahamzina@gmail.com</t>
  </si>
  <si>
    <t>+998997647597</t>
  </si>
  <si>
    <t>2022-04-22 13:26:06</t>
  </si>
  <si>
    <t>Furqat Niyazov</t>
  </si>
  <si>
    <t>furqatniyazov@gmail.com</t>
  </si>
  <si>
    <t>2022-04-22 15:14:15</t>
  </si>
  <si>
    <t>Анна Кисилева</t>
  </si>
  <si>
    <t>kianna07@mail.ru</t>
  </si>
  <si>
    <t>+998903253241</t>
  </si>
  <si>
    <t>2022-04-22 17:26:30</t>
  </si>
  <si>
    <t>2022-04-22 18:41:52</t>
  </si>
  <si>
    <t>Гульзат Токталиева</t>
  </si>
  <si>
    <t>almabekovna88@bk.ru</t>
  </si>
  <si>
    <t>+996508828898</t>
  </si>
  <si>
    <t>2022-04-22 19:52:48</t>
  </si>
  <si>
    <t>Майк Кверти</t>
  </si>
  <si>
    <t>mikenet@inbox.ru</t>
  </si>
  <si>
    <t>+79991239537</t>
  </si>
  <si>
    <t>2022-04-22 22:02:28</t>
  </si>
  <si>
    <t>Анна Абрамкина</t>
  </si>
  <si>
    <t>abramkinaa@mail.ru</t>
  </si>
  <si>
    <t>2022-04-22 22:57:51</t>
  </si>
  <si>
    <t>Анна Хрусталёва</t>
  </si>
  <si>
    <t>umka-jur@mail.ru</t>
  </si>
  <si>
    <t>+79786562195</t>
  </si>
  <si>
    <t>2022-04-22 23:45:45</t>
  </si>
  <si>
    <t>Оксана Олейникова</t>
  </si>
  <si>
    <t>kseol0310@gmail.com</t>
  </si>
  <si>
    <t>+380500537037</t>
  </si>
  <si>
    <t>2022-04-22 23:54:56</t>
  </si>
  <si>
    <t>Алена Двойникова</t>
  </si>
  <si>
    <t>e.dvoinikova@mail.ru</t>
  </si>
  <si>
    <t>+375295309826</t>
  </si>
  <si>
    <t>2022-04-22 23:59:54</t>
  </si>
  <si>
    <t>Ольга Бабич</t>
  </si>
  <si>
    <t>helganorka@mail.ru</t>
  </si>
  <si>
    <t>+34641446823</t>
  </si>
  <si>
    <t>2022-04-23 02:34:18</t>
  </si>
  <si>
    <t>Елена Смыкова</t>
  </si>
  <si>
    <t>Ln_smk@mail.ru</t>
  </si>
  <si>
    <t>+79774292634</t>
  </si>
  <si>
    <t>2022-04-23 09:24:27</t>
  </si>
  <si>
    <t>Анна Тргебова</t>
  </si>
  <si>
    <t>anna_chance@mail.ru</t>
  </si>
  <si>
    <t>2022-04-23 10:25:32</t>
  </si>
  <si>
    <t>Тереза Пацук</t>
  </si>
  <si>
    <t>tereza-spb@mail.ru</t>
  </si>
  <si>
    <t>+79117710812</t>
  </si>
  <si>
    <t>2022-04-23 10:51:28</t>
  </si>
  <si>
    <t>Светлана Покровская</t>
  </si>
  <si>
    <t>vremya30@yandex.ru</t>
  </si>
  <si>
    <t>+79371301177</t>
  </si>
  <si>
    <t>2022-04-23 11:22:51</t>
  </si>
  <si>
    <t>Елена Медв</t>
  </si>
  <si>
    <t>medv.elen@tut.by</t>
  </si>
  <si>
    <t>+375295442251</t>
  </si>
  <si>
    <t>2022-04-23 11:24:55</t>
  </si>
  <si>
    <t>Елена Решетникова</t>
  </si>
  <si>
    <t>zest061277@yandex.ru</t>
  </si>
  <si>
    <t>2022-04-23 11:27:43</t>
  </si>
  <si>
    <t>Кира Баринова</t>
  </si>
  <si>
    <t>barikira3@yandex.ru</t>
  </si>
  <si>
    <t>+79780563193</t>
  </si>
  <si>
    <t>2022-04-23 11:35:14</t>
  </si>
  <si>
    <t>Екатерина Новосёлова</t>
  </si>
  <si>
    <t>blacknoir00@mail.ru</t>
  </si>
  <si>
    <t>+375296327010</t>
  </si>
  <si>
    <t>2022-04-23 11:37:05</t>
  </si>
  <si>
    <t>Наталья Новоселова</t>
  </si>
  <si>
    <t>pogoda007@yandex.ru</t>
  </si>
  <si>
    <t>+79533329870</t>
  </si>
  <si>
    <t>2022-04-23 11:38:54</t>
  </si>
  <si>
    <t>Александр Кодин</t>
  </si>
  <si>
    <t>kodin5mart@gmail.com</t>
  </si>
  <si>
    <t>+79771293523</t>
  </si>
  <si>
    <t>2022-04-23 11:41:49</t>
  </si>
  <si>
    <t>Елена Симоненко</t>
  </si>
  <si>
    <t>simonenko.elen@yandex.ru</t>
  </si>
  <si>
    <t>+79017389628</t>
  </si>
  <si>
    <t>2022-04-23 11:54:50</t>
  </si>
  <si>
    <t>Татьяна Шульякова</t>
  </si>
  <si>
    <t>tan9lvs1@yandex.ru</t>
  </si>
  <si>
    <t>2022-04-23 12:26:53</t>
  </si>
  <si>
    <t>Наталья Бренер</t>
  </si>
  <si>
    <t>Brener0204@mail.ru</t>
  </si>
  <si>
    <t>2022-04-23 12:29:52</t>
  </si>
  <si>
    <t>Джамиля Кулешова</t>
  </si>
  <si>
    <t>myprosperity2018@gmail.com</t>
  </si>
  <si>
    <t>2022-04-23 12:48:45</t>
  </si>
  <si>
    <t>Елена El</t>
  </si>
  <si>
    <t>el03122021@gmail.com</t>
  </si>
  <si>
    <t>+79611817761</t>
  </si>
  <si>
    <t>2022-04-23 12:57:01</t>
  </si>
  <si>
    <t>Елена Войцеховская</t>
  </si>
  <si>
    <t>alena-es90@mail.ru</t>
  </si>
  <si>
    <t>+79882851340</t>
  </si>
  <si>
    <t>2022-04-23 13:43:35</t>
  </si>
  <si>
    <t>Анна Зайцева</t>
  </si>
  <si>
    <t>anya.bunny@mail.ru</t>
  </si>
  <si>
    <t>2022-04-23 14:02:50</t>
  </si>
  <si>
    <t>gohar mkrtchyan</t>
  </si>
  <si>
    <t>gohargogaga@mail.ru</t>
  </si>
  <si>
    <t>+37496517317</t>
  </si>
  <si>
    <t>2022-04-23 14:09:02</t>
  </si>
  <si>
    <t>Вячеслав Денисенко</t>
  </si>
  <si>
    <t>peopleoflight@gmail.com</t>
  </si>
  <si>
    <t>0715038034</t>
  </si>
  <si>
    <t>2022-04-23 14:18:39</t>
  </si>
  <si>
    <t>Марина Матвеева</t>
  </si>
  <si>
    <t>mass.badena@yandex.ru</t>
  </si>
  <si>
    <t>+79500093324</t>
  </si>
  <si>
    <t>2022-04-23 15:04:43</t>
  </si>
  <si>
    <t>Милослава Волкова</t>
  </si>
  <si>
    <t>milaloba@mail.ru</t>
  </si>
  <si>
    <t>+79779814368</t>
  </si>
  <si>
    <t>2022-04-23 16:25:23</t>
  </si>
  <si>
    <t>Алишер Алимов</t>
  </si>
  <si>
    <t>romantik092016@mail.ru</t>
  </si>
  <si>
    <t>+998880121709</t>
  </si>
  <si>
    <t>2022-04-23 17:20:08</t>
  </si>
  <si>
    <t>Елена Зарубина</t>
  </si>
  <si>
    <t>zarubinaaliona@yandex.ru</t>
  </si>
  <si>
    <t>+79823069197</t>
  </si>
  <si>
    <t>2022-04-23 18:42:40</t>
  </si>
  <si>
    <t>Виктория Дейк</t>
  </si>
  <si>
    <t>dejkunviktoria33@gmail.com</t>
  </si>
  <si>
    <t>+375295488930</t>
  </si>
  <si>
    <t>2022-04-23 19:21:32</t>
  </si>
  <si>
    <t>Армен завенович</t>
  </si>
  <si>
    <t>solkaryana@bk.ru</t>
  </si>
  <si>
    <t>+79000914623</t>
  </si>
  <si>
    <t>2022-04-23 19:53:41</t>
  </si>
  <si>
    <t>Анастасия Иванова</t>
  </si>
  <si>
    <t>anavanka03@gmail.com</t>
  </si>
  <si>
    <t>+79785182775</t>
  </si>
  <si>
    <t>2022-04-23 19:57:39</t>
  </si>
  <si>
    <t>Алёна Скок</t>
  </si>
  <si>
    <t>Skok_23@mail.ru</t>
  </si>
  <si>
    <t>2022-04-23 21:03:54</t>
  </si>
  <si>
    <t>Ярослава Казамурова</t>
  </si>
  <si>
    <t>ykazamurova@gmail.com</t>
  </si>
  <si>
    <t>2022-04-23 21:47:43</t>
  </si>
  <si>
    <t>Светлана Антипова</t>
  </si>
  <si>
    <t>S.a.7008@mail.ru</t>
  </si>
  <si>
    <t>2022-04-23 22:06:03</t>
  </si>
  <si>
    <t>Оксана Паршута</t>
  </si>
  <si>
    <t>parshutao@mail.ru</t>
  </si>
  <si>
    <t>+79820000000</t>
  </si>
  <si>
    <t>2022-04-23 22:17:11</t>
  </si>
  <si>
    <t>Анастасия Редько</t>
  </si>
  <si>
    <t>Nastasya025@mail.ru</t>
  </si>
  <si>
    <t>2022-04-23 22:34:35</t>
  </si>
  <si>
    <t>Mihail KIRYUSHCHENKOV</t>
  </si>
  <si>
    <t>sport3004@gmail.com</t>
  </si>
  <si>
    <t>2022-04-23 22:36:30</t>
  </si>
  <si>
    <t>Ирина Рейфонас</t>
  </si>
  <si>
    <t>irina___70@mail.ru</t>
  </si>
  <si>
    <t>+77056015477</t>
  </si>
  <si>
    <t>2022-04-24 04:05:55</t>
  </si>
  <si>
    <t>Михаил Побылец</t>
  </si>
  <si>
    <t>ragnarek222@gmail.com</t>
  </si>
  <si>
    <t>+375336829350</t>
  </si>
  <si>
    <t>2022-04-24 06:42:03</t>
  </si>
  <si>
    <t>Елена Авдеева</t>
  </si>
  <si>
    <t>Lozavinoo@mail.ru</t>
  </si>
  <si>
    <t>2022-04-24 06:52:50</t>
  </si>
  <si>
    <t>Людмила Исмаилова</t>
  </si>
  <si>
    <t>milalyuda68@gmail.com</t>
  </si>
  <si>
    <t>+998909577933</t>
  </si>
  <si>
    <t>2022-04-24 08:26:55</t>
  </si>
  <si>
    <t>Анар Нурсиланова</t>
  </si>
  <si>
    <t>anaralmaty1976@gmail.com</t>
  </si>
  <si>
    <t>2022-04-24 08:29:30</t>
  </si>
  <si>
    <t>Вероника Краваески</t>
  </si>
  <si>
    <t>varseniksultanova@mail.ru</t>
  </si>
  <si>
    <t>+998901886862</t>
  </si>
  <si>
    <t>2022-04-24 08:33:36</t>
  </si>
  <si>
    <t>Динара Муталиева</t>
  </si>
  <si>
    <t>mutalieva.dm@gmail.com</t>
  </si>
  <si>
    <t>2022-04-24 08:34:53</t>
  </si>
  <si>
    <t>Алёна Соколова</t>
  </si>
  <si>
    <t>Slimika8012@gmail.com</t>
  </si>
  <si>
    <t>+998907277220</t>
  </si>
  <si>
    <t>2022-04-24 08:35:30</t>
  </si>
  <si>
    <t>Kamilla Kholmirzayeva</t>
  </si>
  <si>
    <t>kamilla.xolmirzayeva@mail.ru</t>
  </si>
  <si>
    <t>+998998351101</t>
  </si>
  <si>
    <t>2022-04-24 08:43:23</t>
  </si>
  <si>
    <t>Татьяна Федорова</t>
  </si>
  <si>
    <t>tatka2015kira@gmail.com</t>
  </si>
  <si>
    <t>+4915252349110</t>
  </si>
  <si>
    <t>2022-04-24 08:48:14</t>
  </si>
  <si>
    <t>Рлза Айтбаева</t>
  </si>
  <si>
    <t>roza2205@mail.ru</t>
  </si>
  <si>
    <t>2022-04-24 08:49:03</t>
  </si>
  <si>
    <t>Dı Arıpovna</t>
  </si>
  <si>
    <t>aranid2012@yandex.ru</t>
  </si>
  <si>
    <t>2022-04-24 08:51:25</t>
  </si>
  <si>
    <t>Мадина К</t>
  </si>
  <si>
    <t>MKaribaeva@yandex.ru</t>
  </si>
  <si>
    <t>+77764003351</t>
  </si>
  <si>
    <t>2022-04-24 08:55:17</t>
  </si>
  <si>
    <t>Sh Gadjieva</t>
  </si>
  <si>
    <t>Gadjieva_sh@mail.ru</t>
  </si>
  <si>
    <t>+998911640304</t>
  </si>
  <si>
    <t>2022-04-24 08:56:24</t>
  </si>
  <si>
    <t>Рушана Мусаева</t>
  </si>
  <si>
    <t>anyma666.rm@gmail.com</t>
  </si>
  <si>
    <t>+998911653238</t>
  </si>
  <si>
    <t>2022-04-24 08:57:05</t>
  </si>
  <si>
    <t>Райхан Кустанова</t>
  </si>
  <si>
    <t>Raikustanova87@gmail.com</t>
  </si>
  <si>
    <t>2022-04-24 09:00:08</t>
  </si>
  <si>
    <t>Динара Аббосова</t>
  </si>
  <si>
    <t>dinara.abbosova@bk.ru</t>
  </si>
  <si>
    <t>2022-04-24 09:04:42</t>
  </si>
  <si>
    <t>Альбина Мухина</t>
  </si>
  <si>
    <t>binakiki1@gmail.com</t>
  </si>
  <si>
    <t>+998909819339</t>
  </si>
  <si>
    <t>2022-04-24 09:12:39</t>
  </si>
  <si>
    <t>Марина Буянова</t>
  </si>
  <si>
    <t>xasanovamarina@gmail.com</t>
  </si>
  <si>
    <t>+998979241151</t>
  </si>
  <si>
    <t>2022-04-24 09:17:42</t>
  </si>
  <si>
    <t>Barno Fayzieva</t>
  </si>
  <si>
    <t>Kutbiddinovna094@gmail.com</t>
  </si>
  <si>
    <t>+998999873008</t>
  </si>
  <si>
    <t>2022-04-24 09:22:44</t>
  </si>
  <si>
    <t>Ена Ли</t>
  </si>
  <si>
    <t>yenachoowing@gmail.com</t>
  </si>
  <si>
    <t>+821056597451</t>
  </si>
  <si>
    <t>2022-04-24 09:23:54</t>
  </si>
  <si>
    <t>Гулнур Джумабаева</t>
  </si>
  <si>
    <t>Dzumabaevagulnur529@gmail.com</t>
  </si>
  <si>
    <t>2022-04-24 09:30:16</t>
  </si>
  <si>
    <t>Жания Сатыбалдиева</t>
  </si>
  <si>
    <t>zhakusya11@gmail.com</t>
  </si>
  <si>
    <t>2022-04-24 09:32:54</t>
  </si>
  <si>
    <t>Серж Свой</t>
  </si>
  <si>
    <t>Serzhsushi091@mail.ru</t>
  </si>
  <si>
    <t>2022-04-24 09:34:00</t>
  </si>
  <si>
    <t>Евгений Хашаев</t>
  </si>
  <si>
    <t>8666900@gmail.com</t>
  </si>
  <si>
    <t>+998998666900</t>
  </si>
  <si>
    <t>2022-04-24 09:35:00</t>
  </si>
  <si>
    <t>Камила Исмаилова</t>
  </si>
  <si>
    <t>Kamilyok86@mail.ru</t>
  </si>
  <si>
    <t>+998931380877</t>
  </si>
  <si>
    <t>2022-04-24 09:35:27</t>
  </si>
  <si>
    <t>Зауреш Хамит</t>
  </si>
  <si>
    <t>zaureshhamit1716@gmail.com</t>
  </si>
  <si>
    <t>2022-04-24 09:40:14</t>
  </si>
  <si>
    <t>Ольга Абдуллаева</t>
  </si>
  <si>
    <t>Shoesolga1@mail.ru</t>
  </si>
  <si>
    <t>+998909202850</t>
  </si>
  <si>
    <t>2022-04-24 09:41:42</t>
  </si>
  <si>
    <t>Мубина Тураева</t>
  </si>
  <si>
    <t>turaeva.mubina2011@gmail.com</t>
  </si>
  <si>
    <t>+998998860770</t>
  </si>
  <si>
    <t>2022-04-24 09:42:34</t>
  </si>
  <si>
    <t>Навбахор Хамроева</t>
  </si>
  <si>
    <t>navbahorhamraeva21@gmail.com</t>
  </si>
  <si>
    <t>+998905017151</t>
  </si>
  <si>
    <t>2022-04-24 09:42:59</t>
  </si>
  <si>
    <t>Ильнура Фаттахова</t>
  </si>
  <si>
    <t>ilnuro4ka01@gmail.com</t>
  </si>
  <si>
    <t>+998935661473</t>
  </si>
  <si>
    <t>2022-04-24 09:45:59</t>
  </si>
  <si>
    <t>Айгерим Канагатова</t>
  </si>
  <si>
    <t>Kanatovna11@mail.ru</t>
  </si>
  <si>
    <t>2022-04-24 09:46:23</t>
  </si>
  <si>
    <t>Феруза Адылова</t>
  </si>
  <si>
    <t>Vida-firuza@mail.ru</t>
  </si>
  <si>
    <t>+998977077007</t>
  </si>
  <si>
    <t>2022-04-24 09:46:44</t>
  </si>
  <si>
    <t>Adel Usmanova</t>
  </si>
  <si>
    <t>Adelya4usmanova@gmail.com</t>
  </si>
  <si>
    <t>+998903214332</t>
  </si>
  <si>
    <t>2022-04-24 09:48:07</t>
  </si>
  <si>
    <t>Galiya Galiya</t>
  </si>
  <si>
    <t>galiyasuleiman@mail.ru</t>
  </si>
  <si>
    <t>+77023688717</t>
  </si>
  <si>
    <t>2022-04-24 09:52:39</t>
  </si>
  <si>
    <t>Елена Бельфер</t>
  </si>
  <si>
    <t>lena_0408@mail.ru</t>
  </si>
  <si>
    <t>+77776906704</t>
  </si>
  <si>
    <t>2022-04-24 09:52:54</t>
  </si>
  <si>
    <t>Юлдуз Саттарова</t>
  </si>
  <si>
    <t>Yulduzzzkaaa@mail.ru</t>
  </si>
  <si>
    <t>+998994876899</t>
  </si>
  <si>
    <t>2022-04-24 09:53:03</t>
  </si>
  <si>
    <t>Салтанат Салтанат</t>
  </si>
  <si>
    <t>saltanat_the_best@mail.ru</t>
  </si>
  <si>
    <t>2022-04-24 09:54:20</t>
  </si>
  <si>
    <t>Maria Bardi</t>
  </si>
  <si>
    <t>geniussut@gmail.com</t>
  </si>
  <si>
    <t>+393896389793</t>
  </si>
  <si>
    <t>2022-04-24 09:57:51</t>
  </si>
  <si>
    <t>Гульнура Гун</t>
  </si>
  <si>
    <t>Goxygoxy@mail.ru</t>
  </si>
  <si>
    <t>2022-04-24 09:58:13</t>
  </si>
  <si>
    <t>Айгуль Дос</t>
  </si>
  <si>
    <t>Dossanai@mail.ru</t>
  </si>
  <si>
    <t>2022-04-24 09:58:41</t>
  </si>
  <si>
    <t>Naz Naz</t>
  </si>
  <si>
    <t>N.aitkazina@gmail.com</t>
  </si>
  <si>
    <t>2022-04-24 09:59:06</t>
  </si>
  <si>
    <t>Асылбек Мухамбеткереев</t>
  </si>
  <si>
    <t>asyl080@gmail.com</t>
  </si>
  <si>
    <t>+77472449449</t>
  </si>
  <si>
    <t>2022-04-24 10:02:37</t>
  </si>
  <si>
    <t>Саодат Хусанова</t>
  </si>
  <si>
    <t>welichita.sao@gmail.com</t>
  </si>
  <si>
    <t>+998883525552</t>
  </si>
  <si>
    <t>2022-04-24 10:06:42</t>
  </si>
  <si>
    <t>Елена Герберсгаген</t>
  </si>
  <si>
    <t>elenagerbersgagen87@gmail.com</t>
  </si>
  <si>
    <t>+77052216648</t>
  </si>
  <si>
    <t>2022-04-24 10:07:12</t>
  </si>
  <si>
    <t>Yuriy Svetly</t>
  </si>
  <si>
    <t>elvampiro1285@gmail.com</t>
  </si>
  <si>
    <t>+77770219334</t>
  </si>
  <si>
    <t>2022-04-24 10:07:30</t>
  </si>
  <si>
    <t>Игорь Шитиков</t>
  </si>
  <si>
    <t>shitikovigor41@gmail.com</t>
  </si>
  <si>
    <t>2022-04-24 10:09:14</t>
  </si>
  <si>
    <t>Оля Ерёменко</t>
  </si>
  <si>
    <t>olathetraveller@gmail.com</t>
  </si>
  <si>
    <t>2022-04-24 10:09:24</t>
  </si>
  <si>
    <t>Озодв Матчанова</t>
  </si>
  <si>
    <t>parisha3108@mail.ru</t>
  </si>
  <si>
    <t>2022-04-24 10:09:55</t>
  </si>
  <si>
    <t>Tatyana Kukina</t>
  </si>
  <si>
    <t>tatyanaakukina@gmail.com</t>
  </si>
  <si>
    <t>+998901856414</t>
  </si>
  <si>
    <t>2022-04-24 10:12:04</t>
  </si>
  <si>
    <t>Елена Федорова</t>
  </si>
  <si>
    <t>ekz040298@mail.ru</t>
  </si>
  <si>
    <t>2022-04-24 10:13:13</t>
  </si>
  <si>
    <t>Nata Avd</t>
  </si>
  <si>
    <t>mnatalia_kz@mail.ru</t>
  </si>
  <si>
    <t>+77079986161</t>
  </si>
  <si>
    <t>2022-04-24 10:15:53</t>
  </si>
  <si>
    <t>Ширин Холматова</t>
  </si>
  <si>
    <t>shirinabonu@yandex.ru</t>
  </si>
  <si>
    <t>+998903223993</t>
  </si>
  <si>
    <t>2022-04-24 10:16:40</t>
  </si>
  <si>
    <t>Жанболат Куантаев</t>
  </si>
  <si>
    <t>Sayatovich.z@gmail.com</t>
  </si>
  <si>
    <t>2022-04-24 10:18:36</t>
  </si>
  <si>
    <t>Елена Царькова</t>
  </si>
  <si>
    <t>Carek-1@mail.ru</t>
  </si>
  <si>
    <t>+998996054537</t>
  </si>
  <si>
    <t>2022-04-24 10:20:10</t>
  </si>
  <si>
    <t>Наталья Деменкова</t>
  </si>
  <si>
    <t>frognats@mail.ru</t>
  </si>
  <si>
    <t>2022-04-24 10:20:27</t>
  </si>
  <si>
    <t>Эллада Аблямиди</t>
  </si>
  <si>
    <t>Elladaablyamidi@gmail.com</t>
  </si>
  <si>
    <t>+998909029305</t>
  </si>
  <si>
    <t>2022-04-24 10:20:59</t>
  </si>
  <si>
    <t>Акмаль Хасанов</t>
  </si>
  <si>
    <t>ya.waisbein@ya.ru</t>
  </si>
  <si>
    <t>+998901873213</t>
  </si>
  <si>
    <t>2022-04-24 10:21:16</t>
  </si>
  <si>
    <t>Манижа Сафарова</t>
  </si>
  <si>
    <t>Manizha_14_89@mail.ru</t>
  </si>
  <si>
    <t>+77006319101</t>
  </si>
  <si>
    <t>2022-04-24 10:22:04</t>
  </si>
  <si>
    <t>Мухайё Дониерова</t>
  </si>
  <si>
    <t>asibonu2013@yahoo.com</t>
  </si>
  <si>
    <t>2022-04-24 10:23:22</t>
  </si>
  <si>
    <t>Оксана Аманбаева</t>
  </si>
  <si>
    <t>stilist507@mail.ru</t>
  </si>
  <si>
    <t>+77013375107</t>
  </si>
  <si>
    <t>2022-04-24 10:26:52</t>
  </si>
  <si>
    <t>Anelya Kussayinova</t>
  </si>
  <si>
    <t>akussayinova@gmail.com</t>
  </si>
  <si>
    <t>2022-04-24 10:27:24</t>
  </si>
  <si>
    <t>Елена Кудайбергенова</t>
  </si>
  <si>
    <t>dolce1984@mail.ru</t>
  </si>
  <si>
    <t>+998909390967</t>
  </si>
  <si>
    <t>2022-04-24 10:27:35</t>
  </si>
  <si>
    <t>Карлыгаш Атыханова</t>
  </si>
  <si>
    <t>carla_a@mail.ru</t>
  </si>
  <si>
    <t>2022-04-24 10:27:44</t>
  </si>
  <si>
    <t>Атаханова Луиза</t>
  </si>
  <si>
    <t>998974151530@mail.ru</t>
  </si>
  <si>
    <t>+998911323266</t>
  </si>
  <si>
    <t>2022-04-24 10:28:23</t>
  </si>
  <si>
    <t>Айнур Байгулина</t>
  </si>
  <si>
    <t>ainura0985@mail.ru</t>
  </si>
  <si>
    <t>2022-04-24 10:32:28</t>
  </si>
  <si>
    <t>Гузель Кунакбаева</t>
  </si>
  <si>
    <t>k.g.i.1982@yandex.ru</t>
  </si>
  <si>
    <t>+79006266762</t>
  </si>
  <si>
    <t>2022-04-24 10:33:15</t>
  </si>
  <si>
    <t>Алекс Димидов</t>
  </si>
  <si>
    <t>alexvankaliman@icloud.com</t>
  </si>
  <si>
    <t>+998909334510</t>
  </si>
  <si>
    <t>2022-04-24 10:33:30</t>
  </si>
  <si>
    <t>Умида Бабаназарова</t>
  </si>
  <si>
    <t>baumida18@gmail.com</t>
  </si>
  <si>
    <t>+998901688488</t>
  </si>
  <si>
    <t>2022-04-24 10:37:27</t>
  </si>
  <si>
    <t>Андрей Филин</t>
  </si>
  <si>
    <t>doktor8992018@gmail.com</t>
  </si>
  <si>
    <t>2022-04-24 10:37:51</t>
  </si>
  <si>
    <t>Закимова Онал</t>
  </si>
  <si>
    <t>onalseme1980@gmail.com</t>
  </si>
  <si>
    <t>+77772845700</t>
  </si>
  <si>
    <t>2022-04-24 10:38:38</t>
  </si>
  <si>
    <t>Гульжан Азимова</t>
  </si>
  <si>
    <t>galikulova99@gmail.com</t>
  </si>
  <si>
    <t>+77753337171</t>
  </si>
  <si>
    <t>2022-04-24 10:41:09</t>
  </si>
  <si>
    <t>Анжела Хижниченко</t>
  </si>
  <si>
    <t>dianzh1810@gmail.com</t>
  </si>
  <si>
    <t>+375292687005</t>
  </si>
  <si>
    <t>2022-04-24 10:43:28</t>
  </si>
  <si>
    <t>ЭЛЯ Надирова</t>
  </si>
  <si>
    <t>nadirovaelnora@gmail.com</t>
  </si>
  <si>
    <t>+998909580057</t>
  </si>
  <si>
    <t>2022-04-24 10:44:57</t>
  </si>
  <si>
    <t>Мира Саидамир</t>
  </si>
  <si>
    <t>Siyaniyemorya@gmail.com</t>
  </si>
  <si>
    <t>+998974456204</t>
  </si>
  <si>
    <t>2022-04-24 10:45:44</t>
  </si>
  <si>
    <t>Анастасия Кулик</t>
  </si>
  <si>
    <t>kylik_n93@mail.ru</t>
  </si>
  <si>
    <t>2022-04-24 10:46:03</t>
  </si>
  <si>
    <t>Лола Курбанова</t>
  </si>
  <si>
    <t>lola.kurbanova94@gmail.com</t>
  </si>
  <si>
    <t>+998900943077</t>
  </si>
  <si>
    <t>2022-04-24 10:47:16</t>
  </si>
  <si>
    <t>Александра Кс</t>
  </si>
  <si>
    <t>Sksenofontova74@mail.ru</t>
  </si>
  <si>
    <t>2022-04-24 10:48:47</t>
  </si>
  <si>
    <t>Азиза Лукманова</t>
  </si>
  <si>
    <t>azizalucky999@gmail.com</t>
  </si>
  <si>
    <t>+998909993888</t>
  </si>
  <si>
    <t>2022-04-24 10:49:41</t>
  </si>
  <si>
    <t>Khurly Zh</t>
  </si>
  <si>
    <t>Hurli_joni@mail.ru</t>
  </si>
  <si>
    <t>+998999593090</t>
  </si>
  <si>
    <t>2022-04-24 10:49:45</t>
  </si>
  <si>
    <t>Неля Галимова</t>
  </si>
  <si>
    <t>Misslortep@mail.ru</t>
  </si>
  <si>
    <t>2022-04-24 10:50:35</t>
  </si>
  <si>
    <t>Tatiana Vladimirovna</t>
  </si>
  <si>
    <t>Timofey_7777@mail.ru</t>
  </si>
  <si>
    <t>2022-04-24 10:52:00</t>
  </si>
  <si>
    <t>Айнаш Джумакова</t>
  </si>
  <si>
    <t>Bomond.450421@mail.ru</t>
  </si>
  <si>
    <t>2022-04-24 10:52:58</t>
  </si>
  <si>
    <t>Nilufar Xomidova</t>
  </si>
  <si>
    <t>K_nilu@mail.ru</t>
  </si>
  <si>
    <t>+998909777533</t>
  </si>
  <si>
    <t>2022-04-24 10:57:19</t>
  </si>
  <si>
    <t>Наргиза Пулатова</t>
  </si>
  <si>
    <t>pulatovanargiza24@gmail.com</t>
  </si>
  <si>
    <t>2022-04-24 11:09:09</t>
  </si>
  <si>
    <t>Юлия Лаврина</t>
  </si>
  <si>
    <t>samorigaulia@gmail.com</t>
  </si>
  <si>
    <t>+998909648354</t>
  </si>
  <si>
    <t>2022-04-24 11:09:44</t>
  </si>
  <si>
    <t>Римма Хафизова</t>
  </si>
  <si>
    <t>rimfankhaf@mail.ru</t>
  </si>
  <si>
    <t>+998998630848</t>
  </si>
  <si>
    <t>2022-04-24 11:09:51</t>
  </si>
  <si>
    <t>Амаль Шароипов</t>
  </si>
  <si>
    <t>amal_sharipov@thermoking.uz</t>
  </si>
  <si>
    <t>+998990850935</t>
  </si>
  <si>
    <t>2022-04-24 11:11:21</t>
  </si>
  <si>
    <t>Алина Шахметова</t>
  </si>
  <si>
    <t>Alina.shahkmetova@gmail.com</t>
  </si>
  <si>
    <t>+77472515557</t>
  </si>
  <si>
    <t>2022-04-24 11:12:11</t>
  </si>
  <si>
    <t>Олмосхон Рузиматова</t>
  </si>
  <si>
    <t>olmosxon91@mail.ru</t>
  </si>
  <si>
    <t>+998913987775</t>
  </si>
  <si>
    <t>2022-04-24 11:13:29</t>
  </si>
  <si>
    <t>Мохира Гафурова</t>
  </si>
  <si>
    <t>gulyamnazirovna369@gmail.com</t>
  </si>
  <si>
    <t>+998993988369</t>
  </si>
  <si>
    <t>2022-04-24 11:14:23</t>
  </si>
  <si>
    <t>Ольга Ким</t>
  </si>
  <si>
    <t>lelya_kim_1989@list.ru</t>
  </si>
  <si>
    <t>+998914358588</t>
  </si>
  <si>
    <t>2022-04-24 11:17:20</t>
  </si>
  <si>
    <t>Акжаркын Самбетова</t>
  </si>
  <si>
    <t>sambetova56@gmail.com</t>
  </si>
  <si>
    <t>+77001929392</t>
  </si>
  <si>
    <t>2022-04-24 11:17:40</t>
  </si>
  <si>
    <t>Ксения Загорец</t>
  </si>
  <si>
    <t>Ksuta8@mail.ru</t>
  </si>
  <si>
    <t>+99890915014</t>
  </si>
  <si>
    <t>2022-04-24 11:22:26</t>
  </si>
  <si>
    <t>ZAXROXON RUSTAMOVA</t>
  </si>
  <si>
    <t>zehraummu487@gmail.com</t>
  </si>
  <si>
    <t>+998996569369</t>
  </si>
  <si>
    <t>2022-04-24 11:23:36</t>
  </si>
  <si>
    <t>Наргиз Рахимова</t>
  </si>
  <si>
    <t>gapyuk@icloud.com</t>
  </si>
  <si>
    <t>+998946777858</t>
  </si>
  <si>
    <t>2022-04-24 11:23:40</t>
  </si>
  <si>
    <t>Жанар Кистауова</t>
  </si>
  <si>
    <t>zhanar.kistauova@mail.ru</t>
  </si>
  <si>
    <t>+77019405655</t>
  </si>
  <si>
    <t>2022-04-24 11:25:03</t>
  </si>
  <si>
    <t>Диана Салыкова</t>
  </si>
  <si>
    <t>disalykova86@gmail.com</t>
  </si>
  <si>
    <t>2022-04-24 11:26:07</t>
  </si>
  <si>
    <t>Ирэна Гимуш</t>
  </si>
  <si>
    <t>irenushka@list.ru</t>
  </si>
  <si>
    <t>+998903529678</t>
  </si>
  <si>
    <t>2022-04-24 11:30:56</t>
  </si>
  <si>
    <t>Aigerim Kaliaskarkyzy</t>
  </si>
  <si>
    <t>akaliaskarkyzy@gmail.com</t>
  </si>
  <si>
    <t>2022-04-24 11:32:40</t>
  </si>
  <si>
    <t>Елена Ярулина</t>
  </si>
  <si>
    <t>myes8234@yandex.ru</t>
  </si>
  <si>
    <t>2022-04-24 11:35:35</t>
  </si>
  <si>
    <t>Камшат Юсубалиева</t>
  </si>
  <si>
    <t>Kama8383@inbox.ru</t>
  </si>
  <si>
    <t>2022-04-24 11:36:44</t>
  </si>
  <si>
    <t>Эльмира Байбосынова</t>
  </si>
  <si>
    <t>baybosynova.elmira@mail.ru</t>
  </si>
  <si>
    <t>2022-04-24 11:38:52</t>
  </si>
  <si>
    <t>Азиза Абду</t>
  </si>
  <si>
    <t>Ravshanovna87@gmail.com</t>
  </si>
  <si>
    <t>+998977066506</t>
  </si>
  <si>
    <t>2022-04-24 11:39:34</t>
  </si>
  <si>
    <t>Альбина Карамова</t>
  </si>
  <si>
    <t>karamova.albinka@list.ru</t>
  </si>
  <si>
    <t>+998917708848</t>
  </si>
  <si>
    <t>2022-04-24 11:40:22</t>
  </si>
  <si>
    <t>Салтанат Мур</t>
  </si>
  <si>
    <t>Saltanat.kz@inbox.ru</t>
  </si>
  <si>
    <t>2022-04-24 11:41:09</t>
  </si>
  <si>
    <t>Нурия Ахмедова</t>
  </si>
  <si>
    <t>nuri-79-ja@mail.ru</t>
  </si>
  <si>
    <t>2022-04-24 11:41:52</t>
  </si>
  <si>
    <t>Aigerim Shakenova</t>
  </si>
  <si>
    <t>Agishakenova@gmail.com</t>
  </si>
  <si>
    <t>+77475556050</t>
  </si>
  <si>
    <t>2022-04-24 11:44:31</t>
  </si>
  <si>
    <t>Nozigul Anxel</t>
  </si>
  <si>
    <t>nozigulsafarova056@gmail.com</t>
  </si>
  <si>
    <t>2022-04-24 11:46:13</t>
  </si>
  <si>
    <t>Гулноза Магруфходжаева</t>
  </si>
  <si>
    <t>Culnoza.26@gmail.com</t>
  </si>
  <si>
    <t>2022-04-24 11:47:47</t>
  </si>
  <si>
    <t>Jlo_84@bk.ru</t>
  </si>
  <si>
    <t>+998970802811</t>
  </si>
  <si>
    <t>2022-04-24 11:48:59</t>
  </si>
  <si>
    <t>Меруерт Ш</t>
  </si>
  <si>
    <t>merumer@mail.ru</t>
  </si>
  <si>
    <t>+77014030237</t>
  </si>
  <si>
    <t>2022-04-24 11:51:36</t>
  </si>
  <si>
    <t>Луиза Мамадалиева</t>
  </si>
  <si>
    <t>louisa689@hotmail.com</t>
  </si>
  <si>
    <t>+998909006883</t>
  </si>
  <si>
    <t>2022-04-24 11:57:05</t>
  </si>
  <si>
    <t>Natulya Shakirova</t>
  </si>
  <si>
    <t>ndelinks@gmail.com</t>
  </si>
  <si>
    <t>+998911320927</t>
  </si>
  <si>
    <t>2022-04-24 11:58:56</t>
  </si>
  <si>
    <t>Diana Gumiriva</t>
  </si>
  <si>
    <t>enjoy.190.dg@gmail.com</t>
  </si>
  <si>
    <t>+998977063068</t>
  </si>
  <si>
    <t>2022-04-24 12:02:44</t>
  </si>
  <si>
    <t>Шаира Ниёзова</t>
  </si>
  <si>
    <t>Niyizova.shaira318@gmail.com</t>
  </si>
  <si>
    <t>2022-04-24 12:05:47</t>
  </si>
  <si>
    <t>Галина Костромыкина</t>
  </si>
  <si>
    <t>sheshuny@mail.ru</t>
  </si>
  <si>
    <t>+77771968695</t>
  </si>
  <si>
    <t>2022-04-24 12:08:57</t>
  </si>
  <si>
    <t>Стася Бычкова</t>
  </si>
  <si>
    <t>Anastasia28091986@gmail.com</t>
  </si>
  <si>
    <t>2022-04-24 12:09:53</t>
  </si>
  <si>
    <t>Хумайро Маматова</t>
  </si>
  <si>
    <t>mamatovahumajro02@gmail.com</t>
  </si>
  <si>
    <t>+998970055547</t>
  </si>
  <si>
    <t>2022-04-24 12:10:45</t>
  </si>
  <si>
    <t>Жибек Қайнарбай</t>
  </si>
  <si>
    <t>Zkajnarbaj@mail.ru</t>
  </si>
  <si>
    <t>2022-04-24 12:11:59</t>
  </si>
  <si>
    <t>Жанар Калымова</t>
  </si>
  <si>
    <t>Znurznur@mail.ru</t>
  </si>
  <si>
    <t>+77779915520</t>
  </si>
  <si>
    <t>2022-04-24 12:12:19</t>
  </si>
  <si>
    <t>Нозима Адизова</t>
  </si>
  <si>
    <t>inelly986@gmail.com</t>
  </si>
  <si>
    <t>+998904150701</t>
  </si>
  <si>
    <t>2022-04-24 12:18:02</t>
  </si>
  <si>
    <t>Регина Абезбаева</t>
  </si>
  <si>
    <t>Emiralmira-2014@mail.ru</t>
  </si>
  <si>
    <t>+77759509009</t>
  </si>
  <si>
    <t>2022-04-24 12:21:02</t>
  </si>
  <si>
    <t>Гульноз Юнусова</t>
  </si>
  <si>
    <t>gulnoz.yunusova12@gmail.com</t>
  </si>
  <si>
    <t>+998918208402</t>
  </si>
  <si>
    <t>2022-04-24 12:29:46</t>
  </si>
  <si>
    <t>Карина Чулембаева</t>
  </si>
  <si>
    <t>vini.puh1508@gmail.com</t>
  </si>
  <si>
    <t>2022-04-24 12:30:18</t>
  </si>
  <si>
    <t>Эльза Ахм</t>
  </si>
  <si>
    <t>elza.ahmetnurova@mail.ru</t>
  </si>
  <si>
    <t>2022-04-24 12:37:19</t>
  </si>
  <si>
    <t>Акмарал Алиева</t>
  </si>
  <si>
    <t>Alieva_1276@MAIL.RU</t>
  </si>
  <si>
    <t>2022-04-24 12:40:59</t>
  </si>
  <si>
    <t>Римма Бесекенов</t>
  </si>
  <si>
    <t>Bisekenova.rimma@mail.ru</t>
  </si>
  <si>
    <t>2022-04-24 12:43:41</t>
  </si>
  <si>
    <t>Самал Султанова</t>
  </si>
  <si>
    <t>samalek1980@gmail.com</t>
  </si>
  <si>
    <t>+77016580165</t>
  </si>
  <si>
    <t>2022-04-24 12:45:05</t>
  </si>
  <si>
    <t>Гулноза Дадабаева</t>
  </si>
  <si>
    <t>gdadabaeva957@gmail.com</t>
  </si>
  <si>
    <t>+998909261800</t>
  </si>
  <si>
    <t>2022-04-24 12:50:11</t>
  </si>
  <si>
    <t>Гуля Елубаева</t>
  </si>
  <si>
    <t>gulshetay.88@mail.ru</t>
  </si>
  <si>
    <t>2022-04-24 12:50:19</t>
  </si>
  <si>
    <t>Александра Ковалевска</t>
  </si>
  <si>
    <t>Aleksandra.kovalevska@gmail.com</t>
  </si>
  <si>
    <t>+37127115515</t>
  </si>
  <si>
    <t>2022-04-24 12:52:44</t>
  </si>
  <si>
    <t>Дарья Сургутанова</t>
  </si>
  <si>
    <t>Solnishko890789@gmail.com</t>
  </si>
  <si>
    <t>2022-04-24 12:56:01</t>
  </si>
  <si>
    <t>Назокат Мамадалиева</t>
  </si>
  <si>
    <t>nozi_1594@mail.ru</t>
  </si>
  <si>
    <t>+998971710617</t>
  </si>
  <si>
    <t>2022-04-24 12:59:05</t>
  </si>
  <si>
    <t>Гавхар Нур</t>
  </si>
  <si>
    <t>gyoukhar.s@gmail.com</t>
  </si>
  <si>
    <t>+998977250646</t>
  </si>
  <si>
    <t>2022-04-24 13:00:30</t>
  </si>
  <si>
    <t>Natalia Goncharova</t>
  </si>
  <si>
    <t>goncharovameister@gmail.com</t>
  </si>
  <si>
    <t>2022-04-24 13:22:17</t>
  </si>
  <si>
    <t>Гузаль Алиева</t>
  </si>
  <si>
    <t>Sansi_92@mail.ru</t>
  </si>
  <si>
    <t>+998907285505</t>
  </si>
  <si>
    <t>2022-04-24 13:31:37</t>
  </si>
  <si>
    <t>Ди Тл</t>
  </si>
  <si>
    <t>Tyulyugunova.d@mail.ru</t>
  </si>
  <si>
    <t>+77024093007</t>
  </si>
  <si>
    <t>2022-04-24 13:32:52</t>
  </si>
  <si>
    <t>Татьяна Соловьева</t>
  </si>
  <si>
    <t>tanja_2009@mail.ru</t>
  </si>
  <si>
    <t>+7772247458</t>
  </si>
  <si>
    <t>2022-04-24 13:35:47</t>
  </si>
  <si>
    <t>Надежда Иванова</t>
  </si>
  <si>
    <t>nadusha_1303@mail.ru</t>
  </si>
  <si>
    <t>2022-04-24 13:40:07</t>
  </si>
  <si>
    <t>morenita250685@gmail.com</t>
  </si>
  <si>
    <t>2022-04-24 13:42:18</t>
  </si>
  <si>
    <t>Руфина Файрушина</t>
  </si>
  <si>
    <t>rufayri86@gmail.com</t>
  </si>
  <si>
    <t>+998974545403</t>
  </si>
  <si>
    <t>2022-04-24 13:44:54</t>
  </si>
  <si>
    <t>Ольга Багданова</t>
  </si>
  <si>
    <t>o-la-la13@mail.ru</t>
  </si>
  <si>
    <t>+998935899063</t>
  </si>
  <si>
    <t>2022-04-24 13:46:08</t>
  </si>
  <si>
    <t>Шер Зод</t>
  </si>
  <si>
    <t>Uzbekistanjuramurodov@gmail.com</t>
  </si>
  <si>
    <t>+998998185888</t>
  </si>
  <si>
    <t>2022-04-24 13:47:25</t>
  </si>
  <si>
    <t>Расима Капсатова</t>
  </si>
  <si>
    <t>Rkapsatova@mail.ru</t>
  </si>
  <si>
    <t>2022-04-24 13:49:32</t>
  </si>
  <si>
    <t>Алма Нуралина in</t>
  </si>
  <si>
    <t>Almagul_nuralina@mail.ru</t>
  </si>
  <si>
    <t>2022-04-24 13:53:27</t>
  </si>
  <si>
    <t>Fariza Kass</t>
  </si>
  <si>
    <t>Fariza_1312@mail.ru</t>
  </si>
  <si>
    <t>2022-04-24 13:53:34</t>
  </si>
  <si>
    <t>Sunnatulla Ganiyev</t>
  </si>
  <si>
    <t>levangaga69@gmail.com</t>
  </si>
  <si>
    <t>+998935437545</t>
  </si>
  <si>
    <t>2022-04-24 13:55:28</t>
  </si>
  <si>
    <t>Нургуль Нургуля</t>
  </si>
  <si>
    <t>nzhakiyanova@inbox.ru</t>
  </si>
  <si>
    <t>2022-04-24 14:01:08</t>
  </si>
  <si>
    <t>Гульнора Расулова</t>
  </si>
  <si>
    <t>gulnora.rasulova.m@gmail.com</t>
  </si>
  <si>
    <t>+998901132124</t>
  </si>
  <si>
    <t>2022-04-24 14:07:55</t>
  </si>
  <si>
    <t>shakhzoda rajabova</t>
  </si>
  <si>
    <t>shakhzodar@internet.ru</t>
  </si>
  <si>
    <t>+998998490433</t>
  </si>
  <si>
    <t>2022-04-24 14:09:14</t>
  </si>
  <si>
    <t>Юлия Пономарева</t>
  </si>
  <si>
    <t>julija-ponomareva2@mail.ru</t>
  </si>
  <si>
    <t>2022-04-24 14:09:50</t>
  </si>
  <si>
    <t>Гавхар Орзиева</t>
  </si>
  <si>
    <t>orziyevaoisha@gmail.com</t>
  </si>
  <si>
    <t>2022-04-24 14:12:15</t>
  </si>
  <si>
    <t>Моля Сарсенгалиева</t>
  </si>
  <si>
    <t>_aitjanova_@mail.ru</t>
  </si>
  <si>
    <t>2022-04-24 14:13:42</t>
  </si>
  <si>
    <t>Анастасия Гринчук</t>
  </si>
  <si>
    <t>Grinya.ya@mail.ru</t>
  </si>
  <si>
    <t>2022-04-24 14:23:23</t>
  </si>
  <si>
    <t>Феруза Хушова</t>
  </si>
  <si>
    <t>Feruzakh89@mail.ru</t>
  </si>
  <si>
    <t>+998907993444</t>
  </si>
  <si>
    <t>2022-04-24 14:30:53</t>
  </si>
  <si>
    <t>Виктория Дю</t>
  </si>
  <si>
    <t>Elly_cool89@inbox.ru</t>
  </si>
  <si>
    <t>2022-04-24 14:35:07</t>
  </si>
  <si>
    <t>Гульмира Мусан</t>
  </si>
  <si>
    <t>Gulmira7296@mail.ru</t>
  </si>
  <si>
    <t>2022-04-24 14:37:17</t>
  </si>
  <si>
    <t>Оксана Копылова</t>
  </si>
  <si>
    <t>Ksu_kopylova@mail.ru</t>
  </si>
  <si>
    <t>2022-04-24 14:46:21</t>
  </si>
  <si>
    <t>Наргиза Бахрамова</t>
  </si>
  <si>
    <t>nargiza.ett@gmail.com</t>
  </si>
  <si>
    <t>+998997803804</t>
  </si>
  <si>
    <t>2022-04-24 14:49:46</t>
  </si>
  <si>
    <t>Надежда Лашкарбекова</t>
  </si>
  <si>
    <t>nadin.lashkarbekova@gmail.com</t>
  </si>
  <si>
    <t>2022-04-24 14:51:15</t>
  </si>
  <si>
    <t>Ольга Савко</t>
  </si>
  <si>
    <t>Ole4k_xxx@mail.ru</t>
  </si>
  <si>
    <t>+375295093831</t>
  </si>
  <si>
    <t>2022-04-24 14:54:14</t>
  </si>
  <si>
    <t>ДИ И</t>
  </si>
  <si>
    <t>Iwachowa777@gmail.com</t>
  </si>
  <si>
    <t>2022-04-24 14:56:03</t>
  </si>
  <si>
    <t>Дамира Битенова</t>
  </si>
  <si>
    <t>damirabitenova@gmail.com</t>
  </si>
  <si>
    <t>2022-04-24 15:03:42</t>
  </si>
  <si>
    <t>Алия Балатуева</t>
  </si>
  <si>
    <t>Balatuevaa@gmail.com</t>
  </si>
  <si>
    <t>2022-04-24 15:04:15</t>
  </si>
  <si>
    <t>Лаззат Набиева</t>
  </si>
  <si>
    <t>Liazzat525@mail.ru</t>
  </si>
  <si>
    <t>2022-04-24 15:07:31</t>
  </si>
  <si>
    <t>Альбина Бердиева</t>
  </si>
  <si>
    <t>berdievaalbina1@gmail.com</t>
  </si>
  <si>
    <t>+998903744634</t>
  </si>
  <si>
    <t>2022-04-24 15:08:47</t>
  </si>
  <si>
    <t>Севара Кувондикова</t>
  </si>
  <si>
    <t>Sevaraquvondiqova43@gmail.com</t>
  </si>
  <si>
    <t>+998997965033</t>
  </si>
  <si>
    <t>2022-04-24 15:21:30</t>
  </si>
  <si>
    <t>Алмагуль Есенжолова</t>
  </si>
  <si>
    <t>almagul078@mail.ru</t>
  </si>
  <si>
    <t>+77473499378</t>
  </si>
  <si>
    <t>2022-04-24 15:25:03</t>
  </si>
  <si>
    <t>Асель Тлеукен</t>
  </si>
  <si>
    <t>Mat2013sony@mail.ru</t>
  </si>
  <si>
    <t>2022-04-24 15:27:59</t>
  </si>
  <si>
    <t>Елена Шишкова</t>
  </si>
  <si>
    <t>elenash1706@mail.ru</t>
  </si>
  <si>
    <t>+79104408845</t>
  </si>
  <si>
    <t>2022-04-24 15:28:28</t>
  </si>
  <si>
    <t>Sherzod Xojiqurbonov</t>
  </si>
  <si>
    <t>Sher_everlast@mail.ru</t>
  </si>
  <si>
    <t>+998909581888</t>
  </si>
  <si>
    <t>2022-04-24 15:34:11</t>
  </si>
  <si>
    <t>Гульжан Гульжан</t>
  </si>
  <si>
    <t>Gmakuova@gmail.com</t>
  </si>
  <si>
    <t>2022-04-24 15:39:48</t>
  </si>
  <si>
    <t>Арина Я</t>
  </si>
  <si>
    <t>arina.gordienko.88@mail.ru</t>
  </si>
  <si>
    <t>2022-04-24 15:43:01</t>
  </si>
  <si>
    <t>Диана Пак</t>
  </si>
  <si>
    <t>netakayakakvsedi@gmail.com</t>
  </si>
  <si>
    <t>+998903919333</t>
  </si>
  <si>
    <t>2022-04-24 15:45:00</t>
  </si>
  <si>
    <t>Асель А</t>
  </si>
  <si>
    <t>Assel.amankeldy@mail.ru</t>
  </si>
  <si>
    <t>2022-04-24 15:45:26</t>
  </si>
  <si>
    <t>Наталья К</t>
  </si>
  <si>
    <t>new_bliznyashka@mail.ru</t>
  </si>
  <si>
    <t>2022-04-24 15:46:03</t>
  </si>
  <si>
    <t>Khojiakbar Turaev</t>
  </si>
  <si>
    <t>turaevkhojiakbar@gmail.com</t>
  </si>
  <si>
    <t>+998977414747</t>
  </si>
  <si>
    <t>2022-04-24 15:54:05</t>
  </si>
  <si>
    <t>Dinara Janysbayeva</t>
  </si>
  <si>
    <t>dinara13081975@mail.ru</t>
  </si>
  <si>
    <t>2022-04-24 15:54:20</t>
  </si>
  <si>
    <t>Лана Борделло</t>
  </si>
  <si>
    <t>bordellolana@gmail.com</t>
  </si>
  <si>
    <t>+998934264266</t>
  </si>
  <si>
    <t>2022-04-24 15:58:24</t>
  </si>
  <si>
    <t>Юлия Пак</t>
  </si>
  <si>
    <t>Pakyuv@gmail.com</t>
  </si>
  <si>
    <t>2022-04-24 16:09:49</t>
  </si>
  <si>
    <t>Эльмира Омарова</t>
  </si>
  <si>
    <t>omarova_elmira96@mail.ru</t>
  </si>
  <si>
    <t>2022-04-24 16:10:53</t>
  </si>
  <si>
    <t>Ольга Понявина</t>
  </si>
  <si>
    <t>Olga_ponyavina@mail.ru</t>
  </si>
  <si>
    <t>2022-04-24 16:13:15</t>
  </si>
  <si>
    <t>2022-04-24 16:18:22</t>
  </si>
  <si>
    <t>Вахоб Норбутаев</t>
  </si>
  <si>
    <t>vakhamontazh@gmail.com</t>
  </si>
  <si>
    <t>+998977480792</t>
  </si>
  <si>
    <t>2022-04-24 16:19:56</t>
  </si>
  <si>
    <t>Молдир Абдреимова</t>
  </si>
  <si>
    <t>miracle311200@gmail.com</t>
  </si>
  <si>
    <t>+998905917885</t>
  </si>
  <si>
    <t>2022-04-24 16:21:15</t>
  </si>
  <si>
    <t>Анна Ахметова</t>
  </si>
  <si>
    <t>aina.bmconsulting@gmail.com</t>
  </si>
  <si>
    <t>+77477859130</t>
  </si>
  <si>
    <t>2022-04-24 16:22:44</t>
  </si>
  <si>
    <t>Наргиза Касимова</t>
  </si>
  <si>
    <t>nargizakasimova002@gmail.com</t>
  </si>
  <si>
    <t>+998901260180</t>
  </si>
  <si>
    <t>2022-04-24 16:27:55</t>
  </si>
  <si>
    <t>Тимур Щенов</t>
  </si>
  <si>
    <t>shenov1995@mail.ru</t>
  </si>
  <si>
    <t>+998998404218</t>
  </si>
  <si>
    <t>2022-04-24 16:30:55</t>
  </si>
  <si>
    <t>Айгерим Каир</t>
  </si>
  <si>
    <t>A_kairo@bk.ru</t>
  </si>
  <si>
    <t>+77088001881</t>
  </si>
  <si>
    <t>2022-04-24 16:30:59</t>
  </si>
  <si>
    <t>Кристина Немчинова</t>
  </si>
  <si>
    <t>Kristina_nemchinova@mail.ru</t>
  </si>
  <si>
    <t>2022-04-24 16:41:02</t>
  </si>
  <si>
    <t>Касым Жомарт Токаев</t>
  </si>
  <si>
    <t>tulebayev.rustam1989@gmail.com</t>
  </si>
  <si>
    <t>2022-04-24 16:42:29</t>
  </si>
  <si>
    <t>Малика Абдуллаева</t>
  </si>
  <si>
    <t>molly_uz@mail.ru</t>
  </si>
  <si>
    <t>+998911333556</t>
  </si>
  <si>
    <t>2022-04-24 16:47:39</t>
  </si>
  <si>
    <t>Кристина Сапожникова</t>
  </si>
  <si>
    <t>kristina75557@gmail.com</t>
  </si>
  <si>
    <t>+998339384991</t>
  </si>
  <si>
    <t>2022-04-24 16:50:10</t>
  </si>
  <si>
    <t>Бахыт Сартаева</t>
  </si>
  <si>
    <t>Sartaeva_b@mail.ru</t>
  </si>
  <si>
    <t>2022-04-24 16:51:05</t>
  </si>
  <si>
    <t>Урынша Жумажанова</t>
  </si>
  <si>
    <t>Urynsha@mail.ru</t>
  </si>
  <si>
    <t>2022-04-24 16:52:37</t>
  </si>
  <si>
    <t>Динара Жан</t>
  </si>
  <si>
    <t>zhandiko87@mail.ru</t>
  </si>
  <si>
    <t>2022-04-24 16:54:03</t>
  </si>
  <si>
    <t>Гульноза Ирматова</t>
  </si>
  <si>
    <t>Adisey25@mail.ru</t>
  </si>
  <si>
    <t>+998945895522</t>
  </si>
  <si>
    <t>2022-04-24 16:54:22</t>
  </si>
  <si>
    <t>Станислав Ритенко</t>
  </si>
  <si>
    <t>Stanislove1387@icloud.com</t>
  </si>
  <si>
    <t>+998974608713</t>
  </si>
  <si>
    <t>2022-04-24 16:54:24</t>
  </si>
  <si>
    <t>Диля Габасова</t>
  </si>
  <si>
    <t>dilyamom@icloud.com</t>
  </si>
  <si>
    <t>2022-04-24 16:54:43</t>
  </si>
  <si>
    <t>Марат Бисенбаев</t>
  </si>
  <si>
    <t>bisenbaevmarat12@gmail.com</t>
  </si>
  <si>
    <t>+77078183337</t>
  </si>
  <si>
    <t>2022-04-24 16:55:55</t>
  </si>
  <si>
    <t>Лариса Апанович</t>
  </si>
  <si>
    <t>lora_vas2@mail.ru</t>
  </si>
  <si>
    <t>+77078625677</t>
  </si>
  <si>
    <t>2022-04-24 16:57:32</t>
  </si>
  <si>
    <t>Aziza Duysebaeva</t>
  </si>
  <si>
    <t>azizaduysebaeva87@gmail.com</t>
  </si>
  <si>
    <t>2022-04-24 16:57:57</t>
  </si>
  <si>
    <t>2022-04-24 17:03:07</t>
  </si>
  <si>
    <t>Жадыра Шырынхан</t>
  </si>
  <si>
    <t>Bereke1816@mail.ru</t>
  </si>
  <si>
    <t>2022-04-24 17:03:36</t>
  </si>
  <si>
    <t>Нигина Атасевен</t>
  </si>
  <si>
    <t>misskelebek@mail.ru</t>
  </si>
  <si>
    <t>+998933890499</t>
  </si>
  <si>
    <t>2022-04-24 17:04:46</t>
  </si>
  <si>
    <t>Kamola Nizamova</t>
  </si>
  <si>
    <t>komolanizamova11@gmail.com</t>
  </si>
  <si>
    <t>+998935947666</t>
  </si>
  <si>
    <t>2022-04-24 17:06:39</t>
  </si>
  <si>
    <t>Айгерим Акишева</t>
  </si>
  <si>
    <t>Aakiseva@gmail.com</t>
  </si>
  <si>
    <t>+77004282868</t>
  </si>
  <si>
    <t>2022-04-24 17:11:05</t>
  </si>
  <si>
    <t>Дарья Тен</t>
  </si>
  <si>
    <t>Lfif_nty@mail.ru</t>
  </si>
  <si>
    <t>2022-04-24 17:11:19</t>
  </si>
  <si>
    <t>Нургуль Омарова</t>
  </si>
  <si>
    <t>nurgulek60376@mail.ru</t>
  </si>
  <si>
    <t>2022-04-24 17:14:20</t>
  </si>
  <si>
    <t>Ксения Осадченко</t>
  </si>
  <si>
    <t>oksanao1981@mail.ru</t>
  </si>
  <si>
    <t>2022-04-24 17:15:02</t>
  </si>
  <si>
    <t>Евгения Шевченко</t>
  </si>
  <si>
    <t>evseniasevcenko@gmail.com</t>
  </si>
  <si>
    <t>+77759431054</t>
  </si>
  <si>
    <t>2022-04-24 17:18:49</t>
  </si>
  <si>
    <t>Malika Sattarova</t>
  </si>
  <si>
    <t>Sattarovamm1999@gmail.com</t>
  </si>
  <si>
    <t>+998972257099</t>
  </si>
  <si>
    <t>2022-04-24 17:21:02</t>
  </si>
  <si>
    <t>Татьяна Каракулько</t>
  </si>
  <si>
    <t>miki21@list.ru</t>
  </si>
  <si>
    <t>2022-04-24 17:21:24</t>
  </si>
  <si>
    <t>Олеся Омарова</t>
  </si>
  <si>
    <t>olesya_omarova8709@mail.ru</t>
  </si>
  <si>
    <t>+77077532388</t>
  </si>
  <si>
    <t>2022-04-24 17:23:28</t>
  </si>
  <si>
    <t>Наз Гуль</t>
  </si>
  <si>
    <t>797onm@list.ru</t>
  </si>
  <si>
    <t>+77754631751</t>
  </si>
  <si>
    <t>2022-04-24 17:24:40</t>
  </si>
  <si>
    <t>Ксения Самойлюк</t>
  </si>
  <si>
    <t>Kovalevakp3001@gmail.com</t>
  </si>
  <si>
    <t>2022-04-24 17:26:15</t>
  </si>
  <si>
    <t>Лайли Норбутаева</t>
  </si>
  <si>
    <t>norbutaevalayli@gmail.com</t>
  </si>
  <si>
    <t>2022-04-24 17:27:28</t>
  </si>
  <si>
    <t>Ксана Купко</t>
  </si>
  <si>
    <t>duduka_barbidoskaya@mail.ru</t>
  </si>
  <si>
    <t>2022-04-24 17:34:21</t>
  </si>
  <si>
    <t>Роза Джусупкалиева</t>
  </si>
  <si>
    <t>Rozaid2@mail.ru</t>
  </si>
  <si>
    <t>2022-04-24 17:35:06</t>
  </si>
  <si>
    <t>Мария Григориади</t>
  </si>
  <si>
    <t>mariya_grigoriadi@mail.ru</t>
  </si>
  <si>
    <t>+77753209185</t>
  </si>
  <si>
    <t>2022-04-24 17:38:16</t>
  </si>
  <si>
    <t>Перизат Орынбасарова</t>
  </si>
  <si>
    <t>perizat_orynbasarova@mail.ru</t>
  </si>
  <si>
    <t>2022-04-24 17:44:50</t>
  </si>
  <si>
    <t>Лолетта Султанова</t>
  </si>
  <si>
    <t>Lolettarsd@mail.ru</t>
  </si>
  <si>
    <t>2022-04-24 17:54:24</t>
  </si>
  <si>
    <t>Жагет Бигали</t>
  </si>
  <si>
    <t>sineadka@mail.ru</t>
  </si>
  <si>
    <t>2022-04-24 17:56:49</t>
  </si>
  <si>
    <t>Дарья Губаренко</t>
  </si>
  <si>
    <t>Kitten89@bk.ru</t>
  </si>
  <si>
    <t>2022-04-24 17:57:38</t>
  </si>
  <si>
    <t>Мухаббат Хабибова</t>
  </si>
  <si>
    <t>habibovamuhabbat9@gmail.com</t>
  </si>
  <si>
    <t>+998999709241</t>
  </si>
  <si>
    <t>2022-04-24 17:58:07</t>
  </si>
  <si>
    <t>Айнур Мадимарова</t>
  </si>
  <si>
    <t>madimarovaainur72@gmail.com</t>
  </si>
  <si>
    <t>2022-04-24 17:58:15</t>
  </si>
  <si>
    <t>Александра Засыпкина</t>
  </si>
  <si>
    <t>alya.zasypkina.90@bk.ru</t>
  </si>
  <si>
    <t>2022-04-24 18:02:34</t>
  </si>
  <si>
    <t>Евгения Ким</t>
  </si>
  <si>
    <t>Kim.ev84@mail.ru</t>
  </si>
  <si>
    <t>2022-04-24 18:03:35</t>
  </si>
  <si>
    <t>Чебакова Алина</t>
  </si>
  <si>
    <t>Chebakova.alinka@mail.ru</t>
  </si>
  <si>
    <t>+998998592509</t>
  </si>
  <si>
    <t>2022-04-24 18:09:12</t>
  </si>
  <si>
    <t>Ирина Савон</t>
  </si>
  <si>
    <t>ira-savon@yandex.ru</t>
  </si>
  <si>
    <t>+998909344359</t>
  </si>
  <si>
    <t>2022-04-24 18:15:30</t>
  </si>
  <si>
    <t>Дилдора Мирзаева</t>
  </si>
  <si>
    <t>sevinch.murodova@mail.ru</t>
  </si>
  <si>
    <t>+998977363688</t>
  </si>
  <si>
    <t>2022-04-24 18:18:19</t>
  </si>
  <si>
    <t>Ирина Ковальчук</t>
  </si>
  <si>
    <t>Sergunina_irina@mail.ru</t>
  </si>
  <si>
    <t>+9988976167412</t>
  </si>
  <si>
    <t>2022-04-24 18:20:04</t>
  </si>
  <si>
    <t>Равшан Каримов</t>
  </si>
  <si>
    <t>Ravshan@Yandex.ru</t>
  </si>
  <si>
    <t>+998909112022</t>
  </si>
  <si>
    <t>2022-04-24 18:23:25</t>
  </si>
  <si>
    <t>Бибиназ Сатбаева</t>
  </si>
  <si>
    <t>satbaevabibi@gmail.com</t>
  </si>
  <si>
    <t>+998900249425</t>
  </si>
  <si>
    <t>2022-04-24 18:24:21</t>
  </si>
  <si>
    <t>Сая Исламова</t>
  </si>
  <si>
    <t>islamovas@inbox.ru</t>
  </si>
  <si>
    <t>+998977042662</t>
  </si>
  <si>
    <t>2022-04-24 18:26:41</t>
  </si>
  <si>
    <t>Наталья Штенникова</t>
  </si>
  <si>
    <t>shtennikova26@gmail.com</t>
  </si>
  <si>
    <t>2022-04-24 18:27:26</t>
  </si>
  <si>
    <t>Александра Водовская</t>
  </si>
  <si>
    <t>a.v.vodovskaya@gmail.com</t>
  </si>
  <si>
    <t>2022-04-24 18:30:10</t>
  </si>
  <si>
    <t>Рано Акрамова</t>
  </si>
  <si>
    <t>Rano_Akramova@mail.ru</t>
  </si>
  <si>
    <t>+998972286633</t>
  </si>
  <si>
    <t>2022-04-24 18:35:13</t>
  </si>
  <si>
    <t>Гуля Мухамедгали</t>
  </si>
  <si>
    <t>q.muhamedgalieva81@gmail.com</t>
  </si>
  <si>
    <t>2022-04-24 18:39:07</t>
  </si>
  <si>
    <t>Мила Сагатова</t>
  </si>
  <si>
    <t>Masasagatova@gmail.com</t>
  </si>
  <si>
    <t>2022-04-24 18:47:05</t>
  </si>
  <si>
    <t>Анора Иргашева</t>
  </si>
  <si>
    <t>azizamahmudova993@gmail.com</t>
  </si>
  <si>
    <t>2022-04-24 18:48:28</t>
  </si>
  <si>
    <t>алишер усманов</t>
  </si>
  <si>
    <t>xusantoy2016@gmail.com</t>
  </si>
  <si>
    <t>+79205010302</t>
  </si>
  <si>
    <t>2022-04-24 18:51:31</t>
  </si>
  <si>
    <t>Зилола Вахобова</t>
  </si>
  <si>
    <t>Vaxobovazilola8@gmail.com</t>
  </si>
  <si>
    <t>2022-04-24 18:52:07</t>
  </si>
  <si>
    <t>Ирина Ким</t>
  </si>
  <si>
    <t>vinogradari@list.ru</t>
  </si>
  <si>
    <t>+77074808045</t>
  </si>
  <si>
    <t>2022-04-24 18:55:31</t>
  </si>
  <si>
    <t>Нурбол Кадыр</t>
  </si>
  <si>
    <t>Nurbol.kiier@mail.ru</t>
  </si>
  <si>
    <t>2022-04-24 18:56:58</t>
  </si>
  <si>
    <t>Гули Исмаилова</t>
  </si>
  <si>
    <t>Guliismailova477@gmail.com</t>
  </si>
  <si>
    <t>2022-04-24 18:59:36</t>
  </si>
  <si>
    <t>Багина Каменова</t>
  </si>
  <si>
    <t>Bika.86@mail.ru</t>
  </si>
  <si>
    <t>2022-04-24 19:00:22</t>
  </si>
  <si>
    <t>Алтынгуль Алимжанова</t>
  </si>
  <si>
    <t>Alimzhanova.72@mail.ru</t>
  </si>
  <si>
    <t>2022-04-24 19:01:14</t>
  </si>
  <si>
    <t>Ruslan Halikov</t>
  </si>
  <si>
    <t>russo56@mail.ru</t>
  </si>
  <si>
    <t>+998977121316</t>
  </si>
  <si>
    <t>2022-04-24 19:02:55</t>
  </si>
  <si>
    <t>Лола Юлдашева</t>
  </si>
  <si>
    <t>Lolitka664@gmail.com</t>
  </si>
  <si>
    <t>2022-04-24 19:03:11</t>
  </si>
  <si>
    <t>Ардак Садыкова</t>
  </si>
  <si>
    <t>Sadykova.com1@gmail.com</t>
  </si>
  <si>
    <t>2022-04-24 19:03:37</t>
  </si>
  <si>
    <t>Финат Разяпов</t>
  </si>
  <si>
    <t>fil5plux@gmail.com</t>
  </si>
  <si>
    <t>+998990049025</t>
  </si>
  <si>
    <t>2022-04-24 19:04:17</t>
  </si>
  <si>
    <t>Tanya Ten</t>
  </si>
  <si>
    <t>Tanyutaten@gmail.com</t>
  </si>
  <si>
    <t>2022-04-24 19:09:07</t>
  </si>
  <si>
    <t>Boss Uzb</t>
  </si>
  <si>
    <t>basikclash@gmail.com</t>
  </si>
  <si>
    <t>+998909753993</t>
  </si>
  <si>
    <t>2022-04-24 19:14:17</t>
  </si>
  <si>
    <t>Ольга Юнусова</t>
  </si>
  <si>
    <t>Yunusova77@bk.ru</t>
  </si>
  <si>
    <t>2022-04-24 19:15:38</t>
  </si>
  <si>
    <t>Диана Аскарова</t>
  </si>
  <si>
    <t>Djekvorobey_94@list.ru</t>
  </si>
  <si>
    <t>+998909352484</t>
  </si>
  <si>
    <t>2022-04-24 19:18:54</t>
  </si>
  <si>
    <t>Наталья Кашук</t>
  </si>
  <si>
    <t>Kashuk-natalya@mail.ru</t>
  </si>
  <si>
    <t>2022-04-24 19:28:22</t>
  </si>
  <si>
    <t>Mira Alina</t>
  </si>
  <si>
    <t>almira1601@gmail.com</t>
  </si>
  <si>
    <t>+77786200816</t>
  </si>
  <si>
    <t>2022-04-24 19:28:24</t>
  </si>
  <si>
    <t>Анастасия Силаева</t>
  </si>
  <si>
    <t>Asilaeva1984@gmail.com</t>
  </si>
  <si>
    <t>2022-04-24 19:32:59</t>
  </si>
  <si>
    <t>Наталья Антропова</t>
  </si>
  <si>
    <t>Nataly869@mail.ru</t>
  </si>
  <si>
    <t>2022-04-24 19:38:41</t>
  </si>
  <si>
    <t>2022-04-24 19:40:29</t>
  </si>
  <si>
    <t>Sevara Kukanova</t>
  </si>
  <si>
    <t>kukanova19@gmail.com</t>
  </si>
  <si>
    <t>+998935088354</t>
  </si>
  <si>
    <t>2022-04-24 19:42:04</t>
  </si>
  <si>
    <t>Елена Будник</t>
  </si>
  <si>
    <t>elena_budnik@inbox.ru</t>
  </si>
  <si>
    <t>+998909683691</t>
  </si>
  <si>
    <t>2022-04-24 19:42:34</t>
  </si>
  <si>
    <t>Ольга Скрипка</t>
  </si>
  <si>
    <t>olenka_44_44@mail.ru</t>
  </si>
  <si>
    <t>+998999198022</t>
  </si>
  <si>
    <t>2022-04-24 19:44:09</t>
  </si>
  <si>
    <t>Айнура Айнура</t>
  </si>
  <si>
    <t>Ainullia@gmail.com</t>
  </si>
  <si>
    <t>2022-04-24 19:45:21</t>
  </si>
  <si>
    <t>Шахноза ФОЗИЛОВА</t>
  </si>
  <si>
    <t>chaqmoqyomgir@gmail.com</t>
  </si>
  <si>
    <t>+998997404369</t>
  </si>
  <si>
    <t>2022-04-24 19:45:25</t>
  </si>
  <si>
    <t>Евгения Куприна</t>
  </si>
  <si>
    <t>evgesha.922222@mail.ru</t>
  </si>
  <si>
    <t>2022-04-24 19:53:03</t>
  </si>
  <si>
    <t>Айслу Кузенбаева</t>
  </si>
  <si>
    <t>kuzenbaeva_72@mail.ru</t>
  </si>
  <si>
    <t>2022-04-24 19:53:20</t>
  </si>
  <si>
    <t>Мансур Байбеков</t>
  </si>
  <si>
    <t>mansurkamolodec@gmail.com</t>
  </si>
  <si>
    <t>2022-04-24 19:55:13</t>
  </si>
  <si>
    <t>Зульфия М</t>
  </si>
  <si>
    <t>zulfiya.murzasheva@mail.ru</t>
  </si>
  <si>
    <t>2022-04-24 19:56:29</t>
  </si>
  <si>
    <t>Айман Минбаева</t>
  </si>
  <si>
    <t>Kind.ppl87@gmail.com</t>
  </si>
  <si>
    <t>Sandra Alm</t>
  </si>
  <si>
    <t>almuhametova_1@mail.ru</t>
  </si>
  <si>
    <t>2022-04-24 20:04:25</t>
  </si>
  <si>
    <t>Асия Асия</t>
  </si>
  <si>
    <t>asiy_1980@mail.ru</t>
  </si>
  <si>
    <t>2022-04-24 20:05:55</t>
  </si>
  <si>
    <t>Наталия Зейд</t>
  </si>
  <si>
    <t>jiznya32@gmail.com</t>
  </si>
  <si>
    <t>2022-04-24 20:14:49</t>
  </si>
  <si>
    <t>Анара Сулейменова</t>
  </si>
  <si>
    <t>suleimenovaa@icloud.com</t>
  </si>
  <si>
    <t>2022-04-24 20:18:08</t>
  </si>
  <si>
    <t>Маликаш Уксинбаева</t>
  </si>
  <si>
    <t>Uksinbaevamalika@gmail.com</t>
  </si>
  <si>
    <t>+998909538263</t>
  </si>
  <si>
    <t>2022-04-24 20:18:27</t>
  </si>
  <si>
    <t>Абай Абдильманов</t>
  </si>
  <si>
    <t>kz7777@mail.ru</t>
  </si>
  <si>
    <t>2022-04-24 20:26:17</t>
  </si>
  <si>
    <t>Kamilla Galiakhmedova</t>
  </si>
  <si>
    <t>kamillagaliakhmedova@mail.ru</t>
  </si>
  <si>
    <t>+998900627972</t>
  </si>
  <si>
    <t>2022-04-24 20:28:47</t>
  </si>
  <si>
    <t>Марина Козлова</t>
  </si>
  <si>
    <t>sinimmorem@gmail.com</t>
  </si>
  <si>
    <t>2022-04-24 20:31:09</t>
  </si>
  <si>
    <t>Елена Саблина</t>
  </si>
  <si>
    <t>maydantee@gmail.com</t>
  </si>
  <si>
    <t>+998997979308</t>
  </si>
  <si>
    <t>2022-04-24 20:37:58</t>
  </si>
  <si>
    <t>Дина Касым</t>
  </si>
  <si>
    <t>dinakassy@gmail.com</t>
  </si>
  <si>
    <t>+77017707712</t>
  </si>
  <si>
    <t>2022-04-24 20:39:30</t>
  </si>
  <si>
    <t>Альмира Досова</t>
  </si>
  <si>
    <t>Almiranum@mail.ru</t>
  </si>
  <si>
    <t>2022-04-24 20:40:08</t>
  </si>
  <si>
    <t>Алия Динеева</t>
  </si>
  <si>
    <t>aliyadineevaa@gmail.com</t>
  </si>
  <si>
    <t>+998946253777</t>
  </si>
  <si>
    <t>2022-04-24 20:40:35</t>
  </si>
  <si>
    <t>Севара Абдумуминова</t>
  </si>
  <si>
    <t>sevaraabdimuminova0401@gmail.com</t>
  </si>
  <si>
    <t>+998901888065</t>
  </si>
  <si>
    <t>2022-04-24 20:43:05</t>
  </si>
  <si>
    <t>Елена Малюгина</t>
  </si>
  <si>
    <t>Lena_frank@bk.ru</t>
  </si>
  <si>
    <t>+77772868913</t>
  </si>
  <si>
    <t>2022-04-24 20:43:53</t>
  </si>
  <si>
    <t>Екатерина Кадалашвили</t>
  </si>
  <si>
    <t>kadalashvilie@gmail.com</t>
  </si>
  <si>
    <t>+998911623614</t>
  </si>
  <si>
    <t>2022-04-24 20:51:01</t>
  </si>
  <si>
    <t>Галина Южел</t>
  </si>
  <si>
    <t>Galateya89@icloud.com</t>
  </si>
  <si>
    <t>+998907881248</t>
  </si>
  <si>
    <t>2022-04-24 20:58:54</t>
  </si>
  <si>
    <t>Светлана Кузьмяк</t>
  </si>
  <si>
    <t>svetlana12i912@gmail.com</t>
  </si>
  <si>
    <t>2022-04-24 21:00:55</t>
  </si>
  <si>
    <t>Жулдыз Нургидрова</t>
  </si>
  <si>
    <t>zuldyznurkydyrova@gmail.com</t>
  </si>
  <si>
    <t>2022-04-24 21:03:00</t>
  </si>
  <si>
    <t>Сергей Барт</t>
  </si>
  <si>
    <t>bizzserg@gmail.com</t>
  </si>
  <si>
    <t>2022-04-24 21:03:38</t>
  </si>
  <si>
    <t>Анж Анж</t>
  </si>
  <si>
    <t>anju31@bk.ru</t>
  </si>
  <si>
    <t>2022-04-24 21:05:05</t>
  </si>
  <si>
    <t>Татьяна Жумагалиева</t>
  </si>
  <si>
    <t>Princessa_305@mail.ru</t>
  </si>
  <si>
    <t>2022-04-24 21:05:33</t>
  </si>
  <si>
    <t>Уля Ткаленко</t>
  </si>
  <si>
    <t>krasotau.79@mail.ru</t>
  </si>
  <si>
    <t>2022-04-24 21:06:25</t>
  </si>
  <si>
    <t>Ливана Волк</t>
  </si>
  <si>
    <t>saveleva707.lida.z@gmail.com</t>
  </si>
  <si>
    <t>+77773609473</t>
  </si>
  <si>
    <t>2022-04-24 21:09:16</t>
  </si>
  <si>
    <t>Nilufar Abdullaeva</t>
  </si>
  <si>
    <t>Nilu-k@mail.ru</t>
  </si>
  <si>
    <t>+998906271000</t>
  </si>
  <si>
    <t>2022-04-24 21:10:22</t>
  </si>
  <si>
    <t>Наталья Сагай</t>
  </si>
  <si>
    <t>natali2602777@mail.ru</t>
  </si>
  <si>
    <t>2022-04-24 21:14:30</t>
  </si>
  <si>
    <t>Батыр Насреддинов</t>
  </si>
  <si>
    <t>Donsancho1864@gmail.com</t>
  </si>
  <si>
    <t>+998977569218</t>
  </si>
  <si>
    <t>2022-04-24 21:15:36</t>
  </si>
  <si>
    <t>Вадим Санжаревский</t>
  </si>
  <si>
    <t>Sanzharevskiy96@bk.ru</t>
  </si>
  <si>
    <t>2022-04-24 21:20:19</t>
  </si>
  <si>
    <t>Любовь Шаюнусова</t>
  </si>
  <si>
    <t>Shayunusova91@bk.ru</t>
  </si>
  <si>
    <t>+998909768586</t>
  </si>
  <si>
    <t>2022-04-24 21:30:07</t>
  </si>
  <si>
    <t>Улпан Буланова</t>
  </si>
  <si>
    <t>Ulpanai@mail.ru</t>
  </si>
  <si>
    <t>2022-04-24 21:33:49</t>
  </si>
  <si>
    <t>Лола Ган</t>
  </si>
  <si>
    <t>ganiyevlola28@gmail.com</t>
  </si>
  <si>
    <t>+998907134885</t>
  </si>
  <si>
    <t>2022-04-24 21:36:17</t>
  </si>
  <si>
    <t>Карина Исабаева</t>
  </si>
  <si>
    <t>pitachok90@mail.ru</t>
  </si>
  <si>
    <t>+998990198228</t>
  </si>
  <si>
    <t>2022-04-24 21:36:41</t>
  </si>
  <si>
    <t>Даврон Хайруллаев</t>
  </si>
  <si>
    <t>xayrullayevd@yahoo.com</t>
  </si>
  <si>
    <t>+998946485651</t>
  </si>
  <si>
    <t>2022-04-24 21:39:09</t>
  </si>
  <si>
    <t>Хусанбек Кучкаров</t>
  </si>
  <si>
    <t>Xusanbekuchkarov1000@gmail.com</t>
  </si>
  <si>
    <t>+998970021000</t>
  </si>
  <si>
    <t>2022-04-24 21:41:58</t>
  </si>
  <si>
    <t>Зийуар Толегенова</t>
  </si>
  <si>
    <t>ziywar20987@gmail.com</t>
  </si>
  <si>
    <t>2022-04-24 21:50:55</t>
  </si>
  <si>
    <t>Нурика Темирбулатова</t>
  </si>
  <si>
    <t>Nurika_kz@mail.ru</t>
  </si>
  <si>
    <t>2022-04-24 21:51:00</t>
  </si>
  <si>
    <t>Вероника Ковальчук</t>
  </si>
  <si>
    <t>nika_dasha@mail.ru</t>
  </si>
  <si>
    <t>+77021811288</t>
  </si>
  <si>
    <t>2022-04-24 21:53:00</t>
  </si>
  <si>
    <t>Гузаль Зарипова</t>
  </si>
  <si>
    <t>guzal1978@mail.ru</t>
  </si>
  <si>
    <t>+998846107784</t>
  </si>
  <si>
    <t>2022-04-24 22:00:08</t>
  </si>
  <si>
    <t>Dilfuza Ture</t>
  </si>
  <si>
    <t>dilfuzature@gmail.com</t>
  </si>
  <si>
    <t>+998994563012</t>
  </si>
  <si>
    <t>2022-04-24 22:03:52</t>
  </si>
  <si>
    <t>Евгения Раилко</t>
  </si>
  <si>
    <t>kjnjc2008@rambler.ru</t>
  </si>
  <si>
    <t>+998991122250</t>
  </si>
  <si>
    <t>2022-04-24 22:05:55</t>
  </si>
  <si>
    <t>Балжан Аяпова</t>
  </si>
  <si>
    <t>Balzhanayapova85@mail.ru</t>
  </si>
  <si>
    <t>2022-04-24 22:08:13</t>
  </si>
  <si>
    <t>Нигора Khamroqulova</t>
  </si>
  <si>
    <t>nigora_1106@mail.ru</t>
  </si>
  <si>
    <t>+998915309889</t>
  </si>
  <si>
    <t>2022-04-24 22:10:58</t>
  </si>
  <si>
    <t>Мохинур Атахонова</t>
  </si>
  <si>
    <t>Mohinuratahanova@gmail.com</t>
  </si>
  <si>
    <t>+998901112805</t>
  </si>
  <si>
    <t>2022-04-24 22:12:51</t>
  </si>
  <si>
    <t>Андрей Биккерт</t>
  </si>
  <si>
    <t>Repsamec@mail.ru</t>
  </si>
  <si>
    <t>+77752199199</t>
  </si>
  <si>
    <t>2022-04-24 22:18:35</t>
  </si>
  <si>
    <t>Александр Сэмуэль</t>
  </si>
  <si>
    <t>alex_star92@mail.ru</t>
  </si>
  <si>
    <t>2022-04-24 22:29:44</t>
  </si>
  <si>
    <t>Эльнора Ибрагимова</t>
  </si>
  <si>
    <t>elnora1125@mail.ru</t>
  </si>
  <si>
    <t>+998977565883</t>
  </si>
  <si>
    <t>2022-04-24 22:46:03</t>
  </si>
  <si>
    <t>Анастасия Ким</t>
  </si>
  <si>
    <t>149ola149@gmail.com</t>
  </si>
  <si>
    <t>2022-04-24 22:49:52</t>
  </si>
  <si>
    <t>Асель Омарова</t>
  </si>
  <si>
    <t>Asel_gogo@mail.ru</t>
  </si>
  <si>
    <t>+77089698811</t>
  </si>
  <si>
    <t>2022-04-24 23:01:00</t>
  </si>
  <si>
    <t>Ольга Давыдова</t>
  </si>
  <si>
    <t>Sofi_davidova@mail.ru</t>
  </si>
  <si>
    <t>2022-04-24 23:05:41</t>
  </si>
  <si>
    <t>Асель Зернова</t>
  </si>
  <si>
    <t>asselzernova1987@mail.ru</t>
  </si>
  <si>
    <t>2022-04-24 23:08:06</t>
  </si>
  <si>
    <t>Виктория Виктория</t>
  </si>
  <si>
    <t>kurbeeva@mail.ru</t>
  </si>
  <si>
    <t>2022-04-24 23:26:18</t>
  </si>
  <si>
    <t>Нургуль Нармагамбетова</t>
  </si>
  <si>
    <t>nurgulghan@gmail.com</t>
  </si>
  <si>
    <t>+77023494249</t>
  </si>
  <si>
    <t>2022-04-24 23:34:30</t>
  </si>
  <si>
    <t>Саломат Бахриддинова</t>
  </si>
  <si>
    <t>Salomka.uz@gmail.com</t>
  </si>
  <si>
    <t>+998903986866</t>
  </si>
  <si>
    <t>2022-04-24 23:37:01</t>
  </si>
  <si>
    <t>Азиз Аб</t>
  </si>
  <si>
    <t>ziiz.3094@gmail.com</t>
  </si>
  <si>
    <t>+998881251250</t>
  </si>
  <si>
    <t>2022-04-24 23:38:31</t>
  </si>
  <si>
    <t>Виталий Поводырев</t>
  </si>
  <si>
    <t>mtspp@yandex.ru</t>
  </si>
  <si>
    <t>+79172812746</t>
  </si>
  <si>
    <t>2022-04-24 23:38:49</t>
  </si>
  <si>
    <t>Ася Uvalieva</t>
  </si>
  <si>
    <t>dauren_74@mail.ru</t>
  </si>
  <si>
    <t>2022-04-24 23:45:29</t>
  </si>
  <si>
    <t>Олеся Турик</t>
  </si>
  <si>
    <t>barabashom@gmail.com</t>
  </si>
  <si>
    <t>+48664286139</t>
  </si>
  <si>
    <t>2022-04-25 00:00:16</t>
  </si>
  <si>
    <t>Эдвард Ли</t>
  </si>
  <si>
    <t>Lee.edvard.86@bk.ru</t>
  </si>
  <si>
    <t>+998909409890</t>
  </si>
  <si>
    <t>2022-04-25 00:09:17</t>
  </si>
  <si>
    <t>Nazym Bekmurat</t>
  </si>
  <si>
    <t>berkimbay.nazym28@gmail.com</t>
  </si>
  <si>
    <t>2022-04-25 00:14:44</t>
  </si>
  <si>
    <t>2022-04-25 00:16:09</t>
  </si>
  <si>
    <t>Максим Космынин</t>
  </si>
  <si>
    <t>Maxarab96@gmail.com</t>
  </si>
  <si>
    <t>+998971990461</t>
  </si>
  <si>
    <t>2022-04-25 00:32:36</t>
  </si>
  <si>
    <t>Мария Бекеева</t>
  </si>
  <si>
    <t>mariya.timurkizi@gmail.com</t>
  </si>
  <si>
    <t>+77086891865</t>
  </si>
  <si>
    <t>2022-04-25 00:42:58</t>
  </si>
  <si>
    <t>Dina Salimova</t>
  </si>
  <si>
    <t>Salimovad@mail.ru</t>
  </si>
  <si>
    <t>2022-04-25 00:46:03</t>
  </si>
  <si>
    <t>Петрова Александра</t>
  </si>
  <si>
    <t>petrovaaleksandra683@gmail.com</t>
  </si>
  <si>
    <t>2022-04-25 00:56:59</t>
  </si>
  <si>
    <t>Алия Куанышева</t>
  </si>
  <si>
    <t>vip_aliya@mail.ru</t>
  </si>
  <si>
    <t>2022-04-25 01:01:50</t>
  </si>
  <si>
    <t>Камила Нигманходжаева</t>
  </si>
  <si>
    <t>Saidmuradova85@mail.ru</t>
  </si>
  <si>
    <t>+998909586888</t>
  </si>
  <si>
    <t>2022-04-25 01:22:34</t>
  </si>
  <si>
    <t>Анна Шпак</t>
  </si>
  <si>
    <t>anuta_azov@mail.ru</t>
  </si>
  <si>
    <t>+375447589765</t>
  </si>
  <si>
    <t>2022-04-25 01:32:08</t>
  </si>
  <si>
    <t>Адиль Аяпберген</t>
  </si>
  <si>
    <t>Aladik95@gmail.com</t>
  </si>
  <si>
    <t>+77762161995</t>
  </si>
  <si>
    <t>2022-04-25 01:34:21</t>
  </si>
  <si>
    <t>Мария Туртбаева</t>
  </si>
  <si>
    <t>turtbaevamaria@gmail.com</t>
  </si>
  <si>
    <t>2022-04-25 01:37:44</t>
  </si>
  <si>
    <t>Шолпан Тугамбаева</t>
  </si>
  <si>
    <t>Sholpik7910@gmail.com</t>
  </si>
  <si>
    <t>2022-04-25 01:52:20</t>
  </si>
  <si>
    <t>Галия Жолдасова</t>
  </si>
  <si>
    <t>galiya.zholdasova76@gmail.com</t>
  </si>
  <si>
    <t>+77477881157</t>
  </si>
  <si>
    <t>2022-04-25 01:52:52</t>
  </si>
  <si>
    <t>2022-04-25 11:16:14</t>
  </si>
  <si>
    <t>2022-04-26 19:13:11</t>
  </si>
  <si>
    <t>2022-04-27 06:43:12</t>
  </si>
  <si>
    <t>2022-04-28 08:18:20</t>
  </si>
  <si>
    <t>2022-04-29 18:55:36</t>
  </si>
  <si>
    <t>2022-05-02 12:34:02</t>
  </si>
  <si>
    <t>Ретрит в Сочи 17-25 июля 2022 (при оплате до 3 июля)</t>
  </si>
  <si>
    <t>2022|Живое|Июль|Ретрит|Сочи|УЦ|Учебный курс</t>
  </si>
  <si>
    <t>2022-05-05 13:05:08</t>
  </si>
  <si>
    <t>2022-05-05 19:37:27</t>
  </si>
  <si>
    <t>2022-05-22 20:14:18</t>
  </si>
  <si>
    <t>2022-05-22 20:15:02</t>
  </si>
  <si>
    <t>2022-05-23 06:40:02</t>
  </si>
  <si>
    <t>2022-05-23 18:44:51</t>
  </si>
  <si>
    <t>2022-05-23 20:16:35</t>
  </si>
  <si>
    <t>2022-05-24 09:23:41</t>
  </si>
  <si>
    <t>2022-05-24 11:17:34</t>
  </si>
  <si>
    <t>2022-05-24 11:43:50</t>
  </si>
  <si>
    <t>2022-05-24 16:11:47</t>
  </si>
  <si>
    <t>2022-05-24 22:30:53</t>
  </si>
  <si>
    <t>2022-05-25 11:03:04</t>
  </si>
  <si>
    <t>2022-05-25 13:16:47</t>
  </si>
  <si>
    <t>2022-05-25 19:05:10</t>
  </si>
  <si>
    <t>2022-05-25 21:15:14</t>
  </si>
  <si>
    <t>2022-05-26 14:38:42</t>
  </si>
  <si>
    <t>2022-05-27 12:44:13</t>
  </si>
  <si>
    <t>2022-05-27 17:59:08</t>
  </si>
  <si>
    <t>2022-05-27 21:10:04</t>
  </si>
  <si>
    <t>2022-05-28 17:53:03</t>
  </si>
  <si>
    <t>2022-05-29 20:51:16</t>
  </si>
  <si>
    <t>2022-05-30 09:22:23</t>
  </si>
  <si>
    <t>2022-05-30 20:27:47</t>
  </si>
  <si>
    <t>2022-05-30 22:04:49</t>
  </si>
  <si>
    <t>Гоги Джи</t>
  </si>
  <si>
    <t>Westgoha1992@mail.ru</t>
  </si>
  <si>
    <t>+77013700250</t>
  </si>
  <si>
    <t>2022-04-25 01:55:10</t>
  </si>
  <si>
    <t>Индира Ахмаджанова</t>
  </si>
  <si>
    <t>Indimod78@gmail.com</t>
  </si>
  <si>
    <t>+998946130628</t>
  </si>
  <si>
    <t>2022-04-25 02:23:09</t>
  </si>
  <si>
    <t>Мадина Тлеумагамбетова</t>
  </si>
  <si>
    <t>tleumag@mail.ru</t>
  </si>
  <si>
    <t>+77017457574</t>
  </si>
  <si>
    <t>2022-04-25 03:14:43</t>
  </si>
  <si>
    <t>Евгения Шадрина</t>
  </si>
  <si>
    <t>evgeniyashadrina@iclud.com</t>
  </si>
  <si>
    <t>+77757474933</t>
  </si>
  <si>
    <t>2022-04-25 03:39:36</t>
  </si>
  <si>
    <t>Кундузай Ахалбекова</t>
  </si>
  <si>
    <t>madeby_ussen@mail.ru</t>
  </si>
  <si>
    <t>+77019129977</t>
  </si>
  <si>
    <t>2022-04-25 03:57:38</t>
  </si>
  <si>
    <t>Феруза Таджиева</t>
  </si>
  <si>
    <t>ftj85@mail.ru</t>
  </si>
  <si>
    <t>2022-04-25 04:00:19</t>
  </si>
  <si>
    <t>Наталья Колпашникова</t>
  </si>
  <si>
    <t>natalakolpasnikova01@gmail.com</t>
  </si>
  <si>
    <t>2022-04-25 04:12:15</t>
  </si>
  <si>
    <t>Ирина Витвинова</t>
  </si>
  <si>
    <t>irinavitvinova@rambler.ru</t>
  </si>
  <si>
    <t>+998911336995</t>
  </si>
  <si>
    <t>2022-04-25 04:16:37</t>
  </si>
  <si>
    <t>Анастасия Серова</t>
  </si>
  <si>
    <t>Serova0409@bk.ru</t>
  </si>
  <si>
    <t>2022-04-25 04:41:03</t>
  </si>
  <si>
    <t>Д Н</t>
  </si>
  <si>
    <t>dil_ndf@mail.ru</t>
  </si>
  <si>
    <t>2022-04-25 04:45:58</t>
  </si>
  <si>
    <t>Шнар Габдулина</t>
  </si>
  <si>
    <t>shnar_1707@mail.ru</t>
  </si>
  <si>
    <t>2022-04-25 04:50:02</t>
  </si>
  <si>
    <t>feruz usman</t>
  </si>
  <si>
    <t>fusman2015@gmail.com</t>
  </si>
  <si>
    <t>2022-04-25 04:56:51</t>
  </si>
  <si>
    <t>Гулим Гулим</t>
  </si>
  <si>
    <t>1984gulima@gmail.com</t>
  </si>
  <si>
    <t>+77052549696</t>
  </si>
  <si>
    <t>2022-04-25 05:00:56</t>
  </si>
  <si>
    <t>Юлия Баннова-Каширская</t>
  </si>
  <si>
    <t>juliyakashir@mail.ru</t>
  </si>
  <si>
    <t>2022-04-25 05:01:58</t>
  </si>
  <si>
    <t>Роза Усманова</t>
  </si>
  <si>
    <t>roza_usmanova@mail.ru</t>
  </si>
  <si>
    <t>2022-04-25 05:04:10</t>
  </si>
  <si>
    <t>Мария Сивакова</t>
  </si>
  <si>
    <t>Zyak@mail.ru</t>
  </si>
  <si>
    <t>+77078098827</t>
  </si>
  <si>
    <t>2022-04-25 05:09:15</t>
  </si>
  <si>
    <t>Julia Neumiller</t>
  </si>
  <si>
    <t>julia.neumiller@mail.ru</t>
  </si>
  <si>
    <t>+4915254592464</t>
  </si>
  <si>
    <t>2022-04-25 05:21:34</t>
  </si>
  <si>
    <t>Шахлоша Шерманова</t>
  </si>
  <si>
    <t>Shaxloshka1983@gmail.com</t>
  </si>
  <si>
    <t>+998939900999</t>
  </si>
  <si>
    <t>2022-04-25 05:33:00</t>
  </si>
  <si>
    <t>Рамиля Набиева</t>
  </si>
  <si>
    <t>byayaka91@gmail.com</t>
  </si>
  <si>
    <t>+998909259354</t>
  </si>
  <si>
    <t>2022-04-25 05:42:57</t>
  </si>
  <si>
    <t>Яна Потапеня</t>
  </si>
  <si>
    <t>potapenya.yana@bk.ru</t>
  </si>
  <si>
    <t>2022-04-25 05:44:00</t>
  </si>
  <si>
    <t>Ниссо Халимова</t>
  </si>
  <si>
    <t>nissan8024@mail.ru</t>
  </si>
  <si>
    <t>+998935307253</t>
  </si>
  <si>
    <t>2022-04-25 05:47:04</t>
  </si>
  <si>
    <t>Диана Ли</t>
  </si>
  <si>
    <t>yessdamely@gmail.com</t>
  </si>
  <si>
    <t>2022-04-25 05:59:25</t>
  </si>
  <si>
    <t>Gulya Zhamalova</t>
  </si>
  <si>
    <t>f.uchet@mail.ru</t>
  </si>
  <si>
    <t>+77773888844</t>
  </si>
  <si>
    <t>2022-04-25 06:03:08</t>
  </si>
  <si>
    <t>Нодира Панжиева</t>
  </si>
  <si>
    <t>13031975@mail.ru</t>
  </si>
  <si>
    <t>2022-04-25 06:10:17</t>
  </si>
  <si>
    <t>Алина Удовиченко</t>
  </si>
  <si>
    <t>alinchk.2@gmail.com</t>
  </si>
  <si>
    <t>2022-04-25 06:10:57</t>
  </si>
  <si>
    <t>Ирина Чембарисова</t>
  </si>
  <si>
    <t>2006risha@mail.ru</t>
  </si>
  <si>
    <t>+77055206340</t>
  </si>
  <si>
    <t>2022-04-25 06:20:45</t>
  </si>
  <si>
    <t>Олег Мотько</t>
  </si>
  <si>
    <t>oleg.motko@mail.ru</t>
  </si>
  <si>
    <t>+79183126427</t>
  </si>
  <si>
    <t>2022-04-25 06:34:28</t>
  </si>
  <si>
    <t>Ляззат Кайрбаева</t>
  </si>
  <si>
    <t>Lazzat@bk.ru</t>
  </si>
  <si>
    <t>2022-04-25 06:37:18</t>
  </si>
  <si>
    <t>Наталья Талалаева</t>
  </si>
  <si>
    <t>ntalalaeva@gmail.com</t>
  </si>
  <si>
    <t>2022-04-25 06:39:21</t>
  </si>
  <si>
    <t>Айнура С</t>
  </si>
  <si>
    <t>ainyra.t.k@mail.ru</t>
  </si>
  <si>
    <t>2022-04-25 06:42:50</t>
  </si>
  <si>
    <t>Снежана Лоскутова</t>
  </si>
  <si>
    <t>Lanadirofeeva@gmail.com</t>
  </si>
  <si>
    <t>+79101125283</t>
  </si>
  <si>
    <t>2022-04-25 06:43:19</t>
  </si>
  <si>
    <t>Алма Сагдиева</t>
  </si>
  <si>
    <t>Alina_s7474@mail.ru</t>
  </si>
  <si>
    <t>+77015558774</t>
  </si>
  <si>
    <t>2022-04-25 06:44:35</t>
  </si>
  <si>
    <t>Елена Неустроева</t>
  </si>
  <si>
    <t>Goszakup.L@mail.ru</t>
  </si>
  <si>
    <t>2022-04-25 06:44:36</t>
  </si>
  <si>
    <t>Ляззат Бисембаева</t>
  </si>
  <si>
    <t>sarsenbaeva_lyazzat@mail.ru</t>
  </si>
  <si>
    <t>2022-04-25 06:45:42</t>
  </si>
  <si>
    <t>Элина Улыбышева</t>
  </si>
  <si>
    <t>elinaulibisheva@gmail.com</t>
  </si>
  <si>
    <t>+998909798338</t>
  </si>
  <si>
    <t>2022-04-25 06:45:58</t>
  </si>
  <si>
    <t>Елена Шадрина</t>
  </si>
  <si>
    <t>eva.shadrina.82@mail.ru</t>
  </si>
  <si>
    <t>+998935870791</t>
  </si>
  <si>
    <t>2022-04-25 06:54:57</t>
  </si>
  <si>
    <t>Елена Останина</t>
  </si>
  <si>
    <t>elena.ostanina.82@mail.ru</t>
  </si>
  <si>
    <t>+77771722078</t>
  </si>
  <si>
    <t>2022-04-25 07:02:46</t>
  </si>
  <si>
    <t>Хосият Ахмедова</t>
  </si>
  <si>
    <t>khosiyatkhon.akhmedova@bk.ru</t>
  </si>
  <si>
    <t>+998905022110</t>
  </si>
  <si>
    <t>2022-04-25 07:04:42</t>
  </si>
  <si>
    <t>Анастасия Агаркова</t>
  </si>
  <si>
    <t>akorakova@gmail.com</t>
  </si>
  <si>
    <t>2022-04-25 07:10:32</t>
  </si>
  <si>
    <t>Софья Позолотина</t>
  </si>
  <si>
    <t>zolotoso@mail.ru</t>
  </si>
  <si>
    <t>2022-04-25 07:12:57</t>
  </si>
  <si>
    <t>Gulya Mukumova</t>
  </si>
  <si>
    <t>Mukumova9191@mail.ru</t>
  </si>
  <si>
    <t>+998904572002</t>
  </si>
  <si>
    <t>2022-04-25 07:16:05</t>
  </si>
  <si>
    <t>Айсулу Тулегенова</t>
  </si>
  <si>
    <t>Aisulu0581@mail.ru</t>
  </si>
  <si>
    <t>2022-04-25 07:17:27</t>
  </si>
  <si>
    <t>Аида Зайнуллина</t>
  </si>
  <si>
    <t>aida.z0112@mail.ru</t>
  </si>
  <si>
    <t>2022-04-25 07:18:24</t>
  </si>
  <si>
    <t>Виктория Романова</t>
  </si>
  <si>
    <t>Kingvictory@mail.ru</t>
  </si>
  <si>
    <t>2022-04-25 07:21:29</t>
  </si>
  <si>
    <t>Екатерина Лавга</t>
  </si>
  <si>
    <t>Suzanamyr@mail.ru</t>
  </si>
  <si>
    <t>2022-04-25 07:25:06</t>
  </si>
  <si>
    <t>Динара Тумарбаева</t>
  </si>
  <si>
    <t>dinara.tumarbaeva@mail.ru</t>
  </si>
  <si>
    <t>2022-04-25 07:27:26</t>
  </si>
  <si>
    <t>Лилия Аленова</t>
  </si>
  <si>
    <t>alenova88@internet.ru</t>
  </si>
  <si>
    <t>2022-04-25 07:29:44</t>
  </si>
  <si>
    <t>Евгения Гончарова</t>
  </si>
  <si>
    <t>jenechka.lev@mail.ru</t>
  </si>
  <si>
    <t>+77774789794</t>
  </si>
  <si>
    <t>2022-04-25 07:30:11</t>
  </si>
  <si>
    <t>Жанат Нургалиева</t>
  </si>
  <si>
    <t>Zhanat2552@mail.ru</t>
  </si>
  <si>
    <t>2022-04-25 07:30:40</t>
  </si>
  <si>
    <t>Олеся Лысенко</t>
  </si>
  <si>
    <t>Vizualka@yandex.ru</t>
  </si>
  <si>
    <t>+998909833439</t>
  </si>
  <si>
    <t>2022-04-25 07:34:54</t>
  </si>
  <si>
    <t>Елена Калинина</t>
  </si>
  <si>
    <t>Krowka_3333@mail.ru</t>
  </si>
  <si>
    <t>+998977665888</t>
  </si>
  <si>
    <t>2022-04-25 07:35:05</t>
  </si>
  <si>
    <t>Айжан Байжуманова</t>
  </si>
  <si>
    <t>Aizhan230686@gmail.com</t>
  </si>
  <si>
    <t>2022-04-25 07:40:06</t>
  </si>
  <si>
    <t>Юлиза Кульманова</t>
  </si>
  <si>
    <t>Kulmanova.1974@mail.ru</t>
  </si>
  <si>
    <t>2022-04-25 07:40:22</t>
  </si>
  <si>
    <t>Гульнара Сулейманова</t>
  </si>
  <si>
    <t>farguzur@yahoo.com</t>
  </si>
  <si>
    <t>+998901866732</t>
  </si>
  <si>
    <t>2022-04-25 07:51:44</t>
  </si>
  <si>
    <t>Gulshan Salamova</t>
  </si>
  <si>
    <t>Gulshan.salamova1988@gmail.com</t>
  </si>
  <si>
    <t>+998914194569</t>
  </si>
  <si>
    <t>2022-04-25 07:55:28</t>
  </si>
  <si>
    <t>Марина Туркина</t>
  </si>
  <si>
    <t>turkina1204@gmail.com</t>
  </si>
  <si>
    <t>2022-04-25 07:58:53</t>
  </si>
  <si>
    <t>Айнур Ниязгалиева</t>
  </si>
  <si>
    <t>aniyazgalieva@gmail.com</t>
  </si>
  <si>
    <t>+998933688300</t>
  </si>
  <si>
    <t>2022-04-25 08:02:45</t>
  </si>
  <si>
    <t>Байдулла Торекожа</t>
  </si>
  <si>
    <t>baidulla1661996@gmail.com</t>
  </si>
  <si>
    <t>2022-04-25 08:11:30</t>
  </si>
  <si>
    <t>Евгений Денисенко</t>
  </si>
  <si>
    <t>denisenko73@mail.ru</t>
  </si>
  <si>
    <t>+998973451888</t>
  </si>
  <si>
    <t>2022-04-25 08:21:32</t>
  </si>
  <si>
    <t>Yulya M</t>
  </si>
  <si>
    <t>3809988@bk.ru</t>
  </si>
  <si>
    <t>+998933809988</t>
  </si>
  <si>
    <t>2022-04-25 08:22:22</t>
  </si>
  <si>
    <t>Ольга Дробина</t>
  </si>
  <si>
    <t>Ginataki.kz@mail.ru</t>
  </si>
  <si>
    <t>2022-04-25 08:22:51</t>
  </si>
  <si>
    <t>Любовь Лихачева</t>
  </si>
  <si>
    <t>Luba87_87@mail.ru</t>
  </si>
  <si>
    <t>+77758246080</t>
  </si>
  <si>
    <t>2022-04-25 08:27:28</t>
  </si>
  <si>
    <t>Толкын Жакупова</t>
  </si>
  <si>
    <t>tolqynsalimgerei@mail.ru</t>
  </si>
  <si>
    <t>+77079412484</t>
  </si>
  <si>
    <t>2022-04-25 08:31:36</t>
  </si>
  <si>
    <t>Инна Самодурова</t>
  </si>
  <si>
    <t>innash3@yandex.ru</t>
  </si>
  <si>
    <t>2022-04-25 08:31:58</t>
  </si>
  <si>
    <t>Зуля Таирова</t>
  </si>
  <si>
    <t>Ztairova@yandex.ru</t>
  </si>
  <si>
    <t>+998933832015</t>
  </si>
  <si>
    <t>2022-04-25 08:32:38</t>
  </si>
  <si>
    <t>Екатерина Смирнова</t>
  </si>
  <si>
    <t>SEV-8991@mail.ru</t>
  </si>
  <si>
    <t>2022-04-25 08:40:14</t>
  </si>
  <si>
    <t>Александра Завражина</t>
  </si>
  <si>
    <t>Alexandra.zavrajina@gmail.com</t>
  </si>
  <si>
    <t>+998909966323</t>
  </si>
  <si>
    <t>2022-04-25 08:40:27</t>
  </si>
  <si>
    <t>Лена Савоськина</t>
  </si>
  <si>
    <t>ssavoskinae@mail.ru</t>
  </si>
  <si>
    <t>2022-04-25 08:40:47</t>
  </si>
  <si>
    <t>Rano Alamanova</t>
  </si>
  <si>
    <t>alamanova.r@yandex.ru</t>
  </si>
  <si>
    <t>+998900085785</t>
  </si>
  <si>
    <t>2022-04-25 08:48:05</t>
  </si>
  <si>
    <t>Жанель Жанель</t>
  </si>
  <si>
    <t>Zh_abdykarimova@mail.ru</t>
  </si>
  <si>
    <t>2022-04-25 08:54:38</t>
  </si>
  <si>
    <t>Александра Левченко</t>
  </si>
  <si>
    <t>Sandleovinch@mail.ru</t>
  </si>
  <si>
    <t>2022-04-25 08:54:40</t>
  </si>
  <si>
    <t>Elmira Rahmatullaeva</t>
  </si>
  <si>
    <t>elmirrahmatullaeva@gmail.com</t>
  </si>
  <si>
    <t>+998933956987</t>
  </si>
  <si>
    <t>2022-04-25 08:56:36</t>
  </si>
  <si>
    <t>Регина Егель</t>
  </si>
  <si>
    <t>regina.shubina@mail.ru</t>
  </si>
  <si>
    <t>2022-04-25 08:57:41</t>
  </si>
  <si>
    <t>Лилия Хамзина</t>
  </si>
  <si>
    <t>Liliya-khamzina@yandex.ru</t>
  </si>
  <si>
    <t>2022-04-25 09:02:21</t>
  </si>
  <si>
    <t>Константин Степанов</t>
  </si>
  <si>
    <t>Koststep@ya.ru</t>
  </si>
  <si>
    <t>2022-04-25 09:06:12</t>
  </si>
  <si>
    <t>Ася Саргужиева</t>
  </si>
  <si>
    <t>Asya_094@mail.ru</t>
  </si>
  <si>
    <t>2022-04-25 09:11:50</t>
  </si>
  <si>
    <t>Любовь Нурланова</t>
  </si>
  <si>
    <t>klb-86@mail.ru</t>
  </si>
  <si>
    <t>2022-04-25 09:14:08</t>
  </si>
  <si>
    <t>Маргарита Аитова</t>
  </si>
  <si>
    <t>margowa6464@mail.ru</t>
  </si>
  <si>
    <t>+998915307557</t>
  </si>
  <si>
    <t>2022-04-25 09:18:21</t>
  </si>
  <si>
    <t>Шахло Кахорова</t>
  </si>
  <si>
    <t>azamatdjalilov28@gmail.com</t>
  </si>
  <si>
    <t>+79675979699</t>
  </si>
  <si>
    <t>2022-04-25 09:20:45</t>
  </si>
  <si>
    <t>Елена Сафина</t>
  </si>
  <si>
    <t>lenasafina8101@gmail.com</t>
  </si>
  <si>
    <t>+79128180470</t>
  </si>
  <si>
    <t>2022-04-25 09:24:20</t>
  </si>
  <si>
    <t>Hasmik Hakobyan</t>
  </si>
  <si>
    <t>hasmikhasmik058@gmail.com</t>
  </si>
  <si>
    <t>+33644820955</t>
  </si>
  <si>
    <t>2022-04-25 09:29:10</t>
  </si>
  <si>
    <t>Алёна Матяш</t>
  </si>
  <si>
    <t>Matyash10@gmail.com</t>
  </si>
  <si>
    <t>+77087070016</t>
  </si>
  <si>
    <t>2022-04-25 09:34:57</t>
  </si>
  <si>
    <t>Akmaral I Amirova</t>
  </si>
  <si>
    <t>Dariga.ermekova@mail.ru</t>
  </si>
  <si>
    <t>2022-04-25 09:37:13</t>
  </si>
  <si>
    <t>Гульнур Жазыкбаева</t>
  </si>
  <si>
    <t>gulnur_ernur@mail.ru</t>
  </si>
  <si>
    <t>2022-04-25 09:42:57</t>
  </si>
  <si>
    <t>Анна Романова</t>
  </si>
  <si>
    <t>annapiskakis@gmail.com</t>
  </si>
  <si>
    <t>+998909905520</t>
  </si>
  <si>
    <t>2022-04-25 09:48:36</t>
  </si>
  <si>
    <t>Svetlana Stakhneva</t>
  </si>
  <si>
    <t>Kasimot@rambler.ru</t>
  </si>
  <si>
    <t>+77029434002</t>
  </si>
  <si>
    <t>2022-04-25 09:53:47</t>
  </si>
  <si>
    <t>Мадина Сулейменова</t>
  </si>
  <si>
    <t>sulejmenova-1990@mail.ru</t>
  </si>
  <si>
    <t>+77012223520</t>
  </si>
  <si>
    <t>2022-04-25 09:55:17</t>
  </si>
  <si>
    <t>Шахноза Якупова</t>
  </si>
  <si>
    <t>noziksermatova@gmail.com</t>
  </si>
  <si>
    <t>2022-04-25 09:59:35</t>
  </si>
  <si>
    <t>Алишер Арифджанов</t>
  </si>
  <si>
    <t>Arifdjanovalishernigmatovich@gmail.com</t>
  </si>
  <si>
    <t>+998970053005</t>
  </si>
  <si>
    <t>2022-04-25 10:00:08</t>
  </si>
  <si>
    <t>Динора Точенова</t>
  </si>
  <si>
    <t>monklove@mail.ru</t>
  </si>
  <si>
    <t>2022-04-25 10:01:59</t>
  </si>
  <si>
    <t>Дарья Ларченко</t>
  </si>
  <si>
    <t>dashak_90@mail.ru</t>
  </si>
  <si>
    <t>+77476812482</t>
  </si>
  <si>
    <t>2022-04-25 10:10:34</t>
  </si>
  <si>
    <t>Саида Каримова</t>
  </si>
  <si>
    <t>Saidaisardor@gmail.com</t>
  </si>
  <si>
    <t>+998946222255</t>
  </si>
  <si>
    <t>2022-04-25 10:11:32</t>
  </si>
  <si>
    <t>Nargiza Abdullayeva</t>
  </si>
  <si>
    <t>abdullayevanargiza1289@gmail.com</t>
  </si>
  <si>
    <t>2022-04-25 10:18:13</t>
  </si>
  <si>
    <t>Римма М</t>
  </si>
  <si>
    <t>rimmamashanova@gmail.com</t>
  </si>
  <si>
    <t>2022-04-25 10:19:13</t>
  </si>
  <si>
    <t>Феруза Кадирова</t>
  </si>
  <si>
    <t>www.master209@gmail.com</t>
  </si>
  <si>
    <t>2022-04-25 10:30:04</t>
  </si>
  <si>
    <t>Мила Попова</t>
  </si>
  <si>
    <t>misspanish28@gmail.com</t>
  </si>
  <si>
    <t>+998971770979</t>
  </si>
  <si>
    <t>2022-04-25 10:35:14</t>
  </si>
  <si>
    <t>Назокат Рахмонбердиева</t>
  </si>
  <si>
    <t>nrakhmonberdiyeva@mail.ru</t>
  </si>
  <si>
    <t>+998909262718</t>
  </si>
  <si>
    <t>2022-04-25 10:37:24</t>
  </si>
  <si>
    <t>Гуля Джуманова</t>
  </si>
  <si>
    <t>Dcaramel93@gmail.com</t>
  </si>
  <si>
    <t>2022-04-25 10:40:01</t>
  </si>
  <si>
    <t>Павел Стургес</t>
  </si>
  <si>
    <t>pasha.vip01@mail.ru</t>
  </si>
  <si>
    <t>2022-04-25 10:49:28</t>
  </si>
  <si>
    <t>Денис Крячко</t>
  </si>
  <si>
    <t>Denis1991kra4ko@gmail.com</t>
  </si>
  <si>
    <t>+998999284737</t>
  </si>
  <si>
    <t>2022-04-25 10:51:11</t>
  </si>
  <si>
    <t>Галина Меньщикова</t>
  </si>
  <si>
    <t>mgalinaborisovna@mail.ru</t>
  </si>
  <si>
    <t>2022-04-25 10:51:37</t>
  </si>
  <si>
    <t>Алибек Даулетов</t>
  </si>
  <si>
    <t>1albek@mail.ru</t>
  </si>
  <si>
    <t>2022-04-25 10:51:53</t>
  </si>
  <si>
    <t>Дарья Бледных</t>
  </si>
  <si>
    <t>87rijik@mail.ru</t>
  </si>
  <si>
    <t>2022-04-25 10:53:51</t>
  </si>
  <si>
    <t>Шоирп Зиятова</t>
  </si>
  <si>
    <t>shoiraziyotova@gmail.com</t>
  </si>
  <si>
    <t>+998970088258</t>
  </si>
  <si>
    <t>2022-04-25 10:54:41</t>
  </si>
  <si>
    <t>Nilyufar Maksumova</t>
  </si>
  <si>
    <t>maksumovanilufar886@gmail.com</t>
  </si>
  <si>
    <t>+998946519985</t>
  </si>
  <si>
    <t>2022-04-25 10:56:31</t>
  </si>
  <si>
    <t>Халида Сатканова</t>
  </si>
  <si>
    <t>Xalida.satkanova.85@mail.ru</t>
  </si>
  <si>
    <t>2022-04-25 10:58:02</t>
  </si>
  <si>
    <t>Атоулло Назаров</t>
  </si>
  <si>
    <t>atoxa97@gmail.com</t>
  </si>
  <si>
    <t>+998900008777</t>
  </si>
  <si>
    <t>2022-04-25 11:05:35</t>
  </si>
  <si>
    <t>Виктория Полянская</t>
  </si>
  <si>
    <t>polianskaiav@gmail.com</t>
  </si>
  <si>
    <t>+380938067379</t>
  </si>
  <si>
    <t>2022-04-25 11:08:49</t>
  </si>
  <si>
    <t>Сымбат Абдрахимова</t>
  </si>
  <si>
    <t>Simona_kz@mail.ru</t>
  </si>
  <si>
    <t>2022-04-25 11:09:51</t>
  </si>
  <si>
    <t>Татьяна Паршукова</t>
  </si>
  <si>
    <t>partakis@mail.ru</t>
  </si>
  <si>
    <t>2022-04-25 11:20:56</t>
  </si>
  <si>
    <t>Марьяна Д</t>
  </si>
  <si>
    <t>mariyam.rt81@gmail.com</t>
  </si>
  <si>
    <t>2022-04-25 11:22:10</t>
  </si>
  <si>
    <t>Алена Окатенко</t>
  </si>
  <si>
    <t>elen_141@mail.ru</t>
  </si>
  <si>
    <t>2022-04-25 11:23:46</t>
  </si>
  <si>
    <t>Ева Дик</t>
  </si>
  <si>
    <t>Eva888dik@mail.ru</t>
  </si>
  <si>
    <t>2022-04-25 11:30:54</t>
  </si>
  <si>
    <t>Ильсеяр Соколова</t>
  </si>
  <si>
    <t>ilsik_ya@mail.ru</t>
  </si>
  <si>
    <t>2022-04-25 11:31:13</t>
  </si>
  <si>
    <t>Максуда Кудратова</t>
  </si>
  <si>
    <t>maqsudaqudratova30@gmail.com</t>
  </si>
  <si>
    <t>2022-04-25 11:36:33</t>
  </si>
  <si>
    <t>Фатима Батькаева</t>
  </si>
  <si>
    <t>batkaeva7192@gmail.com</t>
  </si>
  <si>
    <t>+998933784460</t>
  </si>
  <si>
    <t>2022-04-25 11:46:42</t>
  </si>
  <si>
    <t>Нигина Нурмухамедова</t>
  </si>
  <si>
    <t>n.nurmukh92@gmail.com</t>
  </si>
  <si>
    <t>+998983383575</t>
  </si>
  <si>
    <t>2022-04-25 11:49:51</t>
  </si>
  <si>
    <t>Евгений Хрущев</t>
  </si>
  <si>
    <t>hrusevevgenij54@gmail.com</t>
  </si>
  <si>
    <t>+79819775921</t>
  </si>
  <si>
    <t>2022-04-25 11:55:16</t>
  </si>
  <si>
    <t>Айша Тайгоренова</t>
  </si>
  <si>
    <t>aishataigara@mail.ru</t>
  </si>
  <si>
    <t>+77785971749</t>
  </si>
  <si>
    <t>2022-04-25 11:57:05</t>
  </si>
  <si>
    <t>Гульнара Джумабековп</t>
  </si>
  <si>
    <t>gulnara.nur@mail.ru</t>
  </si>
  <si>
    <t>2022-04-25 12:03:46</t>
  </si>
  <si>
    <t>Эля Меллали</t>
  </si>
  <si>
    <t>elay8411@gmail.com</t>
  </si>
  <si>
    <t>+998990004518</t>
  </si>
  <si>
    <t>2022-04-25 12:08:28</t>
  </si>
  <si>
    <t>Альфия Сагимбаева</t>
  </si>
  <si>
    <t>hamitova_1996@mail.ru</t>
  </si>
  <si>
    <t>+77773476378</t>
  </si>
  <si>
    <t>2022-04-25 12:09:06</t>
  </si>
  <si>
    <t>Лидия Константинова</t>
  </si>
  <si>
    <t>ksp-ss.2017@mail.ru</t>
  </si>
  <si>
    <t>+79196362080</t>
  </si>
  <si>
    <t>2022-04-25 12:10:57</t>
  </si>
  <si>
    <t>Саодат Сабурова</t>
  </si>
  <si>
    <t>saburova.saodat@mail.ru</t>
  </si>
  <si>
    <t>+998913005555</t>
  </si>
  <si>
    <t>2022-04-25 12:12:17</t>
  </si>
  <si>
    <t>Анна Прилипко</t>
  </si>
  <si>
    <t>party111@list.ru</t>
  </si>
  <si>
    <t>2022-04-25 12:17:52</t>
  </si>
  <si>
    <t>Майгуль Батхолдина</t>
  </si>
  <si>
    <t>mai_gul74@mail.ru</t>
  </si>
  <si>
    <t>+77756745907</t>
  </si>
  <si>
    <t>2022-04-25 12:19:30</t>
  </si>
  <si>
    <t>Екатерина Пшеничникова</t>
  </si>
  <si>
    <t>Ekatirena.ekatirena@gmail.com</t>
  </si>
  <si>
    <t>+998903470315</t>
  </si>
  <si>
    <t>2022-04-25 12:20:31</t>
  </si>
  <si>
    <t>Малика Таджибаева</t>
  </si>
  <si>
    <t>www.malikatadjivbaeva@gmail.com</t>
  </si>
  <si>
    <t>+998900341693</t>
  </si>
  <si>
    <t>2022-04-25 12:27:38</t>
  </si>
  <si>
    <t>Дмитрий Шагин</t>
  </si>
  <si>
    <t>dimon_07011975@mail.ru</t>
  </si>
  <si>
    <t>2022-04-25 12:31:40</t>
  </si>
  <si>
    <t>Айгуля Омарова</t>
  </si>
  <si>
    <t>aigulya.omarova@mail.ru</t>
  </si>
  <si>
    <t>2022-04-25 12:34:19</t>
  </si>
  <si>
    <t>Эльмира Хивренко</t>
  </si>
  <si>
    <t>mrak8000@rambler.ru</t>
  </si>
  <si>
    <t>+77764274593</t>
  </si>
  <si>
    <t>2022-04-25 12:37:04</t>
  </si>
  <si>
    <t>Окила Умарова</t>
  </si>
  <si>
    <t>regenbogen13@mail.ru</t>
  </si>
  <si>
    <t>+998881881383</t>
  </si>
  <si>
    <t>2022-04-25 12:51:41</t>
  </si>
  <si>
    <t>Nigora Xusanova</t>
  </si>
  <si>
    <t>khusanovanigora32@gmail.com</t>
  </si>
  <si>
    <t>+998900671552</t>
  </si>
  <si>
    <t>2022-04-25 12:57:44</t>
  </si>
  <si>
    <t>Майя Жуманова</t>
  </si>
  <si>
    <t>Tosha_maya@mail.ru</t>
  </si>
  <si>
    <t>2022-04-25 12:57:48</t>
  </si>
  <si>
    <t>Хулкар Эллиева</t>
  </si>
  <si>
    <t>ellievah@gmail.com</t>
  </si>
  <si>
    <t>2022-04-25 13:01:18</t>
  </si>
  <si>
    <t>Естегуль Тлеугожина</t>
  </si>
  <si>
    <t>alya.85.24@inbox.ru</t>
  </si>
  <si>
    <t>2022-04-25 13:01:30</t>
  </si>
  <si>
    <t>Гаухар Ишангалиева</t>
  </si>
  <si>
    <t>ishangaligoha@gmail.com</t>
  </si>
  <si>
    <t>2022-04-25 13:10:20</t>
  </si>
  <si>
    <t>Жансая Закарина</t>
  </si>
  <si>
    <t>Jansik_zak@mail.ru</t>
  </si>
  <si>
    <t>2022-04-25 13:10:42</t>
  </si>
  <si>
    <t>Laura Vanagiene</t>
  </si>
  <si>
    <t>laurux2002@gmail.com</t>
  </si>
  <si>
    <t>+37068757641</t>
  </si>
  <si>
    <t>2022-04-25 13:14:42</t>
  </si>
  <si>
    <t>Dildora Yahyoeva</t>
  </si>
  <si>
    <t>yahyodilya@gmail.com</t>
  </si>
  <si>
    <t>2022-04-25 13:17:44</t>
  </si>
  <si>
    <t>Saya Abylova</t>
  </si>
  <si>
    <t>asaika37@gmail.com</t>
  </si>
  <si>
    <t>2022-04-25 13:21:28</t>
  </si>
  <si>
    <t>Александра Москотова</t>
  </si>
  <si>
    <t>amoskotova@mail.ru</t>
  </si>
  <si>
    <t>2022-04-25 13:26:07</t>
  </si>
  <si>
    <t>Татьяна Явтушенко</t>
  </si>
  <si>
    <t>tatiana3173740@gmail.com</t>
  </si>
  <si>
    <t>+998903173740</t>
  </si>
  <si>
    <t>2022-04-25 13:32:54</t>
  </si>
  <si>
    <t>Шохиста Ёкуббоева</t>
  </si>
  <si>
    <t>shokhista73@mail.ru</t>
  </si>
  <si>
    <t>+998935353935</t>
  </si>
  <si>
    <t>2022-04-25 13:37:57</t>
  </si>
  <si>
    <t>Елизавета Тонких</t>
  </si>
  <si>
    <t>Seoelizaveta@gmail.com</t>
  </si>
  <si>
    <t>+998900976611</t>
  </si>
  <si>
    <t>2022-04-25 13:39:07</t>
  </si>
  <si>
    <t>Пулатова Шахноза</t>
  </si>
  <si>
    <t>Asalchiksh@mail.ru</t>
  </si>
  <si>
    <t>2022-04-25 13:39:40</t>
  </si>
  <si>
    <t>Дарья Беляева</t>
  </si>
  <si>
    <t>daryalapamoya@gmail.com</t>
  </si>
  <si>
    <t>2022-04-25 13:40:50</t>
  </si>
  <si>
    <t>Мадина Калдыбаева</t>
  </si>
  <si>
    <t>Madi_140290@mail.ru</t>
  </si>
  <si>
    <t>+77085088890</t>
  </si>
  <si>
    <t>2022-04-25 13:47:41</t>
  </si>
  <si>
    <t>Галина Галина</t>
  </si>
  <si>
    <t>Pavlyzha@rambler.ru</t>
  </si>
  <si>
    <t>+79646863090</t>
  </si>
  <si>
    <t>2022-04-25 14:33:57</t>
  </si>
  <si>
    <t>Анора Абдураззакова</t>
  </si>
  <si>
    <t>Lapulichka_98@mail.ru</t>
  </si>
  <si>
    <t>+998905997447</t>
  </si>
  <si>
    <t>2022-04-25 14:53:07</t>
  </si>
  <si>
    <t>Ирина Чемоданова</t>
  </si>
  <si>
    <t>Irina.820855@gmail.com</t>
  </si>
  <si>
    <t>2022-04-25 14:58:20</t>
  </si>
  <si>
    <t>Лёка М</t>
  </si>
  <si>
    <t>Sentnt1v@gmail.com</t>
  </si>
  <si>
    <t>2022-04-25 15:01:44</t>
  </si>
  <si>
    <t>Шоира Нигматуллаева</t>
  </si>
  <si>
    <t>nshoira@mail.ru</t>
  </si>
  <si>
    <t>2022-04-25 15:14:19</t>
  </si>
  <si>
    <t>Елена Трубицына</t>
  </si>
  <si>
    <t>trubitsynaelena@rambler.ru</t>
  </si>
  <si>
    <t>+79120457250</t>
  </si>
  <si>
    <t>2022-04-25 15:30:07</t>
  </si>
  <si>
    <t>Мария Лати</t>
  </si>
  <si>
    <t>mukalat@mail.ru</t>
  </si>
  <si>
    <t>+998935806883</t>
  </si>
  <si>
    <t>2022-04-25 16:05:49</t>
  </si>
  <si>
    <t>Нилуфар Шакарова</t>
  </si>
  <si>
    <t>Nilufarshakarova2@gmail.com</t>
  </si>
  <si>
    <t>2022-04-25 16:38:36</t>
  </si>
  <si>
    <t>Елена Мясник</t>
  </si>
  <si>
    <t>melena2772@gmail.com</t>
  </si>
  <si>
    <t>+998935150593</t>
  </si>
  <si>
    <t>2022-04-25 18:03:47</t>
  </si>
  <si>
    <t>Муяссар Асамова</t>
  </si>
  <si>
    <t>muyassar.asamova@icloud.com</t>
  </si>
  <si>
    <t>2022-04-25 18:14:09</t>
  </si>
  <si>
    <t>Ксения Зинченко</t>
  </si>
  <si>
    <t>Sana1509@rambler.ru</t>
  </si>
  <si>
    <t>2022-04-25 18:44:18</t>
  </si>
  <si>
    <t>Фирдания Макарова</t>
  </si>
  <si>
    <t>firdaniyafreedom@gmail.com</t>
  </si>
  <si>
    <t>+79196470203</t>
  </si>
  <si>
    <t>2022-04-25 18:48:35</t>
  </si>
  <si>
    <t>Ильназ Фаткуллин</t>
  </si>
  <si>
    <t>ilnazfatkullin17@gmail.com</t>
  </si>
  <si>
    <t>2022-04-25 18:50:19</t>
  </si>
  <si>
    <t>марина хомутинникова</t>
  </si>
  <si>
    <t>homutinnikovam@yandex.ru</t>
  </si>
  <si>
    <t>2022-04-25 19:01:41</t>
  </si>
  <si>
    <t>Ekaterina Bukharova</t>
  </si>
  <si>
    <t>eab_j@mail.ru</t>
  </si>
  <si>
    <t>2022-04-25 19:03:10</t>
  </si>
  <si>
    <t>Алика Бриз</t>
  </si>
  <si>
    <t>veraviktoriyalika@mail.ru</t>
  </si>
  <si>
    <t>2022-04-25 19:11:07</t>
  </si>
  <si>
    <t>Альфия Муртазина</t>
  </si>
  <si>
    <t>Alfiamur24@ya.ru</t>
  </si>
  <si>
    <t>2022-04-25 19:15:38</t>
  </si>
  <si>
    <t>Юлия Тонева</t>
  </si>
  <si>
    <t>y_toneva@mail.ru</t>
  </si>
  <si>
    <t>2022-04-25 19:25:46</t>
  </si>
  <si>
    <t>Юлия Андреева</t>
  </si>
  <si>
    <t>andreevaulia1987@gmail.com</t>
  </si>
  <si>
    <t>2022-04-25 19:29:07</t>
  </si>
  <si>
    <t>Татьяна Амирова</t>
  </si>
  <si>
    <t>tanyushaamirova@gmail.com</t>
  </si>
  <si>
    <t>2022-04-25 19:37:46</t>
  </si>
  <si>
    <t>Шалауров Николаевич</t>
  </si>
  <si>
    <t>shalaurovmihail@yandex.ru</t>
  </si>
  <si>
    <t>+79115579043</t>
  </si>
  <si>
    <t>2022-04-25 19:39:28</t>
  </si>
  <si>
    <t>Оксана Лойко</t>
  </si>
  <si>
    <t>frau.lojko2015@yandex.ru</t>
  </si>
  <si>
    <t>2022-04-25 19:42:57</t>
  </si>
  <si>
    <t>Вера Полуэктова</t>
  </si>
  <si>
    <t>verpoluektowa@yandex.ru</t>
  </si>
  <si>
    <t>2022-04-25 19:43:56</t>
  </si>
  <si>
    <t>Дмитрий Костылев</t>
  </si>
  <si>
    <t>kostylev77@mail.ru</t>
  </si>
  <si>
    <t>2022-04-25 19:53:44</t>
  </si>
  <si>
    <t>Михаил Швецов</t>
  </si>
  <si>
    <t>Multimish@mail.ru</t>
  </si>
  <si>
    <t>2022-04-25 20:02:49</t>
  </si>
  <si>
    <t>Валентина Рябова</t>
  </si>
  <si>
    <t>vr-ms@yandex.ru</t>
  </si>
  <si>
    <t>+79262880522</t>
  </si>
  <si>
    <t>2022-04-25 20:14:59</t>
  </si>
  <si>
    <t>Ольга Кузнецова</t>
  </si>
  <si>
    <t>iordan05@list.ru</t>
  </si>
  <si>
    <t>2022-04-25 20:23:15</t>
  </si>
  <si>
    <t>Геннадий Томилин</t>
  </si>
  <si>
    <t>genn.spb@yandex.ru</t>
  </si>
  <si>
    <t>+79219324863</t>
  </si>
  <si>
    <t>2022-04-25 20:29:04</t>
  </si>
  <si>
    <t>Алина Неженская</t>
  </si>
  <si>
    <t>Alina4ernova@mail.ru</t>
  </si>
  <si>
    <t>2022-04-25 20:34:04</t>
  </si>
  <si>
    <t>Анна Белая</t>
  </si>
  <si>
    <t>a1153355@yandex.ru</t>
  </si>
  <si>
    <t>2022-04-25 20:47:23</t>
  </si>
  <si>
    <t>Татьяна Татьяна</t>
  </si>
  <si>
    <t>tanuha.u@mail.ru</t>
  </si>
  <si>
    <t>+380713822911</t>
  </si>
  <si>
    <t>2022-04-25 20:54:06</t>
  </si>
  <si>
    <t>Андрей Сончев</t>
  </si>
  <si>
    <t>s.a.v.41080@mail.ru</t>
  </si>
  <si>
    <t>2022-04-25 20:55:18</t>
  </si>
  <si>
    <t>Алевтина Сорокина</t>
  </si>
  <si>
    <t>alia.sorokina@yandex.ru</t>
  </si>
  <si>
    <t>2022-04-25 21:07:09</t>
  </si>
  <si>
    <t>Ольга Назарчук</t>
  </si>
  <si>
    <t>Borisova.51@mail.ru</t>
  </si>
  <si>
    <t>2022-04-25 21:31:58</t>
  </si>
  <si>
    <t>lorca-x72</t>
  </si>
  <si>
    <t>lorca-x72@yandex.ru</t>
  </si>
  <si>
    <t>+375297115917</t>
  </si>
  <si>
    <t>2022-04-25 21:35:30</t>
  </si>
  <si>
    <t>Ольга Иванова</t>
  </si>
  <si>
    <t>sertaki@mail.ru</t>
  </si>
  <si>
    <t>2022-04-25 21:38:36</t>
  </si>
  <si>
    <t>Ольга Акбашева</t>
  </si>
  <si>
    <t>Olga.Akbasheva@mail.ru</t>
  </si>
  <si>
    <t>2022-04-25 21:45:02</t>
  </si>
  <si>
    <t>Alexa Princ</t>
  </si>
  <si>
    <t>alexaprinc2021@gmail.com</t>
  </si>
  <si>
    <t>2022-04-25 22:10:19</t>
  </si>
  <si>
    <t>Юлия Алексеева</t>
  </si>
  <si>
    <t>ulechkaspb89@yandex.ru</t>
  </si>
  <si>
    <t>+79214363576</t>
  </si>
  <si>
    <t>2022-04-25 22:34:20</t>
  </si>
  <si>
    <t>Дмитрий Иванов</t>
  </si>
  <si>
    <t>dima_ida@bk.ru</t>
  </si>
  <si>
    <t>+79093360020</t>
  </si>
  <si>
    <t>2022-04-25 23:34:17</t>
  </si>
  <si>
    <t>Саша Маслов</t>
  </si>
  <si>
    <t>Sasha51047@yandex.ru</t>
  </si>
  <si>
    <t>0685152238</t>
  </si>
  <si>
    <t>2022-04-25 23:46:11</t>
  </si>
  <si>
    <t>Ирина Варвус</t>
  </si>
  <si>
    <t>warwusirina@mail.ru</t>
  </si>
  <si>
    <t>+79602455610</t>
  </si>
  <si>
    <t>2022-04-25 23:54:54</t>
  </si>
  <si>
    <t>Наталья Берликова</t>
  </si>
  <si>
    <t>N.berlikova@mail.ru</t>
  </si>
  <si>
    <t>2022-04-26 04:35:56</t>
  </si>
  <si>
    <t>Иван Данилов</t>
  </si>
  <si>
    <t>daniloff739@gmail.com</t>
  </si>
  <si>
    <t>2022-04-26 04:40:34</t>
  </si>
  <si>
    <t>2022-04-26 04:57:56</t>
  </si>
  <si>
    <t>Анастасия бунина</t>
  </si>
  <si>
    <t>p7.8@yandex.ru</t>
  </si>
  <si>
    <t>2022-04-26 05:47:39</t>
  </si>
  <si>
    <t>Михаил Гладких</t>
  </si>
  <si>
    <t>gladk1h.misha2016@yandex.ru</t>
  </si>
  <si>
    <t>+79228464263</t>
  </si>
  <si>
    <t>2022-04-26 05:53:35</t>
  </si>
  <si>
    <t>Татьяна Стойкова</t>
  </si>
  <si>
    <t>fedotov4646@yandex.ru</t>
  </si>
  <si>
    <t>2022-04-26 07:01:13</t>
  </si>
  <si>
    <t>Наталья Жилкина</t>
  </si>
  <si>
    <t>00natika00@mail.ru</t>
  </si>
  <si>
    <t>+79025861314</t>
  </si>
  <si>
    <t>2022-04-26 07:15:53</t>
  </si>
  <si>
    <t>Ольга Прокудина</t>
  </si>
  <si>
    <t>raduga.o@list.ru</t>
  </si>
  <si>
    <t>2022-04-26 07:32:41</t>
  </si>
  <si>
    <t>Алекс Иванов</t>
  </si>
  <si>
    <t>yakkima04@mail.ru</t>
  </si>
  <si>
    <t>+79654574957</t>
  </si>
  <si>
    <t>2022-04-26 07:34:30</t>
  </si>
  <si>
    <t>Лилия Лилия</t>
  </si>
  <si>
    <t>11177998@mail.ru</t>
  </si>
  <si>
    <t>+79991310997</t>
  </si>
  <si>
    <t>2022-04-26 07:35:45</t>
  </si>
  <si>
    <t>Аида Ефимова</t>
  </si>
  <si>
    <t>efimovaaida13@gmail.com</t>
  </si>
  <si>
    <t>+79179959804</t>
  </si>
  <si>
    <t>2022-04-26 07:43:24</t>
  </si>
  <si>
    <t>Ольга Ляпустина</t>
  </si>
  <si>
    <t>Olyapustina@ya.ru</t>
  </si>
  <si>
    <t>2022-04-26 08:13:48</t>
  </si>
  <si>
    <t>Светлана Музырина</t>
  </si>
  <si>
    <t>Lana-muzyrina@mail.ru</t>
  </si>
  <si>
    <t>2022-04-26 08:44:50</t>
  </si>
  <si>
    <t>Анна Руд</t>
  </si>
  <si>
    <t>Assalanka@gmail.com</t>
  </si>
  <si>
    <t>2022-04-26 09:34:49</t>
  </si>
  <si>
    <t>Дарья Куттумуратова</t>
  </si>
  <si>
    <t>darya.kuttumuratova.85@mail.ru</t>
  </si>
  <si>
    <t>+79272861652</t>
  </si>
  <si>
    <t>2022-04-26 09:48:34</t>
  </si>
  <si>
    <t>Татьяна Юрина</t>
  </si>
  <si>
    <t>Yurina.t.s@mail.ru</t>
  </si>
  <si>
    <t>2022-04-26 09:52:41</t>
  </si>
  <si>
    <t>Ильнур Юсупов</t>
  </si>
  <si>
    <t>ilnurbiz87@gmail.com</t>
  </si>
  <si>
    <t>2022-04-26 10:04:49</t>
  </si>
  <si>
    <t>Сергей Битнер</t>
  </si>
  <si>
    <t>Serega015@gmail.com</t>
  </si>
  <si>
    <t>+79091156643</t>
  </si>
  <si>
    <t>2022-04-26 10:24:11</t>
  </si>
  <si>
    <t>Анна Розынко</t>
  </si>
  <si>
    <t>anna19950413@gmail.com</t>
  </si>
  <si>
    <t>+375447178981</t>
  </si>
  <si>
    <t>2022-04-26 11:03:02</t>
  </si>
  <si>
    <t>Елена Елена</t>
  </si>
  <si>
    <t>shmurygina_es@mail.ru</t>
  </si>
  <si>
    <t>2022-04-26 11:13:18</t>
  </si>
  <si>
    <t>Жанна Елеуова</t>
  </si>
  <si>
    <t>Zhanna_ea@mail.ru</t>
  </si>
  <si>
    <t>2022-04-26 12:19:49</t>
  </si>
  <si>
    <t>Анастасия Нуретдинова</t>
  </si>
  <si>
    <t>7769660@gmail.com</t>
  </si>
  <si>
    <t>2022-04-26 12:36:37</t>
  </si>
  <si>
    <t>Наталья Пасынкова</t>
  </si>
  <si>
    <t>Natalapasik@gmail.com</t>
  </si>
  <si>
    <t>2022-04-26 12:38:00</t>
  </si>
  <si>
    <t>Алена Лизогуб</t>
  </si>
  <si>
    <t>alna-lizogub@rambler.ru</t>
  </si>
  <si>
    <t>2022-04-26 12:38:43</t>
  </si>
  <si>
    <t>Гульнара Ибрагим</t>
  </si>
  <si>
    <t>lunabela105@gmail.com</t>
  </si>
  <si>
    <t>+998998593593</t>
  </si>
  <si>
    <t>2022-04-26 12:53:53</t>
  </si>
  <si>
    <t>Лариса Исаева</t>
  </si>
  <si>
    <t>isaeva.larisa2013@yandex.ru</t>
  </si>
  <si>
    <t>+79295973668</t>
  </si>
  <si>
    <t>2022-04-26 12:54:40</t>
  </si>
  <si>
    <t>Алеся Коляда</t>
  </si>
  <si>
    <t>blackrose101@mail.ru</t>
  </si>
  <si>
    <t>2022-04-26 13:22:53</t>
  </si>
  <si>
    <t>Надя Бабанова</t>
  </si>
  <si>
    <t>babanova.73@inbox.ru</t>
  </si>
  <si>
    <t>+79213177003</t>
  </si>
  <si>
    <t>2022-04-26 13:28:08</t>
  </si>
  <si>
    <t>Лера Воронова</t>
  </si>
  <si>
    <t>v-sysolyatina@bk.ru</t>
  </si>
  <si>
    <t>2022-04-26 14:22:44</t>
  </si>
  <si>
    <t>Лариса Иванова</t>
  </si>
  <si>
    <t>lorik176@yandex.ru</t>
  </si>
  <si>
    <t>+393668966816</t>
  </si>
  <si>
    <t>2022-04-26 15:01:44</t>
  </si>
  <si>
    <t>Елена Тарасова</t>
  </si>
  <si>
    <t>9210976718@mail.ru</t>
  </si>
  <si>
    <t>+79210976718</t>
  </si>
  <si>
    <t>2022-04-26 15:02:57</t>
  </si>
  <si>
    <t>Лина Ибрагимова</t>
  </si>
  <si>
    <t>linayu1221@gmail.com</t>
  </si>
  <si>
    <t>2022-04-26 15:20:16</t>
  </si>
  <si>
    <t>Ирина зубова Зубова</t>
  </si>
  <si>
    <t>Zubovakst1@gmail.com</t>
  </si>
  <si>
    <t>2022-04-26 15:28:01</t>
  </si>
  <si>
    <t>Гульшода Сирожова</t>
  </si>
  <si>
    <t>sirojovagulshoda635@gmail.com</t>
  </si>
  <si>
    <t>2022-04-26 15:34:10</t>
  </si>
  <si>
    <t>Константин Матвеенков</t>
  </si>
  <si>
    <t>mkostya@hotmail.com</t>
  </si>
  <si>
    <t>2022-04-26 16:03:13</t>
  </si>
  <si>
    <t>2022-04-26 16:22:22</t>
  </si>
  <si>
    <t>Галина Попова</t>
  </si>
  <si>
    <t>galasem@yandex.ru</t>
  </si>
  <si>
    <t>2022-04-26 16:45:49</t>
  </si>
  <si>
    <t>Елена Феоктистова</t>
  </si>
  <si>
    <t>feoktictoba@mail.ru</t>
  </si>
  <si>
    <t>+79034717672</t>
  </si>
  <si>
    <t>2022-04-26 17:42:57</t>
  </si>
  <si>
    <t>Сергей Пугачев</t>
  </si>
  <si>
    <t>delovod2@yandex.ru</t>
  </si>
  <si>
    <t>2022-04-26 17:48:50</t>
  </si>
  <si>
    <t>Наталья Кученкова</t>
  </si>
  <si>
    <t>territoria-ru@yandex.ru</t>
  </si>
  <si>
    <t>+79060250309</t>
  </si>
  <si>
    <t>2022-04-26 18:25:29</t>
  </si>
  <si>
    <t>Ольга Словеснова</t>
  </si>
  <si>
    <t>info-rouse@mail.ru</t>
  </si>
  <si>
    <t>+79959623857</t>
  </si>
  <si>
    <t>2022-04-26 18:35:48</t>
  </si>
  <si>
    <t>Павел Сальков</t>
  </si>
  <si>
    <t>Salkov.pavel@icloud.com</t>
  </si>
  <si>
    <t>2022-04-26 19:11:35</t>
  </si>
  <si>
    <t>Олег POV</t>
  </si>
  <si>
    <t>ibm725@mail.ru</t>
  </si>
  <si>
    <t>+375291234667</t>
  </si>
  <si>
    <t>2022-04-26 19:19:26</t>
  </si>
  <si>
    <t>Сергей Шимель</t>
  </si>
  <si>
    <t>s.shimel@yandex.ru</t>
  </si>
  <si>
    <t>+79182445399</t>
  </si>
  <si>
    <t>2022-04-26 19:23:36</t>
  </si>
  <si>
    <t>Екатерина Ивантиева</t>
  </si>
  <si>
    <t>kasy060479@gmail.com</t>
  </si>
  <si>
    <t>+79212303946</t>
  </si>
  <si>
    <t>2022-04-26 19:28:21</t>
  </si>
  <si>
    <t>Наталья Макеева</t>
  </si>
  <si>
    <t>natal_makeeva_78@mail.ru</t>
  </si>
  <si>
    <t>2022-04-26 19:48:03</t>
  </si>
  <si>
    <t>Марианна Федорова</t>
  </si>
  <si>
    <t>dana327@yandex.ru</t>
  </si>
  <si>
    <t>+79219870217</t>
  </si>
  <si>
    <t>2022-04-26 20:44:17</t>
  </si>
  <si>
    <t>2022-04-26 21:01:48</t>
  </si>
  <si>
    <t>2022-04-26 21:02:37</t>
  </si>
  <si>
    <t>Эльвира Багеева</t>
  </si>
  <si>
    <t>bageeva@mail.ru</t>
  </si>
  <si>
    <t>2022-04-26 21:03:31</t>
  </si>
  <si>
    <t>Нина Бигашева</t>
  </si>
  <si>
    <t>n31031942@yandex.ru</t>
  </si>
  <si>
    <t>+79687417072</t>
  </si>
  <si>
    <t>2022-04-26 22:17:23</t>
  </si>
  <si>
    <t>Александр Андреев</t>
  </si>
  <si>
    <t>aeks-1@mail.ru</t>
  </si>
  <si>
    <t>+79819583746</t>
  </si>
  <si>
    <t>2022-04-26 23:39:49</t>
  </si>
  <si>
    <t>Андрей Лысов</t>
  </si>
  <si>
    <t>andreilysov1@gmail.com</t>
  </si>
  <si>
    <t>+79911101313</t>
  </si>
  <si>
    <t>2022-04-27 00:04:20</t>
  </si>
  <si>
    <t>Сергей Фесюнов</t>
  </si>
  <si>
    <t>f12reg@mail.ru</t>
  </si>
  <si>
    <t>+79880117090</t>
  </si>
  <si>
    <t>2022-04-27 02:09:44</t>
  </si>
  <si>
    <t>Татьяна Захарова</t>
  </si>
  <si>
    <t>tatyana-zakharova-7979@mail.ru</t>
  </si>
  <si>
    <t>2022-04-27 02:19:18</t>
  </si>
  <si>
    <t>Соня Риччи</t>
  </si>
  <si>
    <t>Aeroslitos@gmail.com</t>
  </si>
  <si>
    <t>2022-04-27 02:23:49</t>
  </si>
  <si>
    <t>Татьяна Каракулова</t>
  </si>
  <si>
    <t>Tk.5428@mail.ru</t>
  </si>
  <si>
    <t>2022-04-27 05:11:58</t>
  </si>
  <si>
    <t>Наталья Стряпан</t>
  </si>
  <si>
    <t>zagvid@ukr.net</t>
  </si>
  <si>
    <t>+380994670657</t>
  </si>
  <si>
    <t>2022-04-27 06:07:06</t>
  </si>
  <si>
    <t>Марина Иванова</t>
  </si>
  <si>
    <t>ivanovamarina051972@gmail.com</t>
  </si>
  <si>
    <t>2022-04-27 07:21:15</t>
  </si>
  <si>
    <t>Натэлла Мусина</t>
  </si>
  <si>
    <t>natmus@rambler.ru</t>
  </si>
  <si>
    <t>2022-04-27 07:33:49</t>
  </si>
  <si>
    <t>Андрей Андреев</t>
  </si>
  <si>
    <t>mnk35@mail.ru</t>
  </si>
  <si>
    <t>+79219802039</t>
  </si>
  <si>
    <t>2022-04-27 07:41:45</t>
  </si>
  <si>
    <t>Gala Burninova</t>
  </si>
  <si>
    <t>Expert-Gala@yandex.ru</t>
  </si>
  <si>
    <t>2022-04-27 08:08:12</t>
  </si>
  <si>
    <t>Зиля Югорина</t>
  </si>
  <si>
    <t>zilyush@vk.com</t>
  </si>
  <si>
    <t>2022-04-27 08:39:11</t>
  </si>
  <si>
    <t>2022-04-27 09:00:39</t>
  </si>
  <si>
    <t>Юлия Деева</t>
  </si>
  <si>
    <t>Udeeva27@gmail.com</t>
  </si>
  <si>
    <t>2022-04-27 09:24:30</t>
  </si>
  <si>
    <t>Елена Козлова</t>
  </si>
  <si>
    <t>kim_23@mail.ru</t>
  </si>
  <si>
    <t>2022-04-27 10:50:41</t>
  </si>
  <si>
    <t>Александра Слюсарева</t>
  </si>
  <si>
    <t>alexsasha2475@gmail.com</t>
  </si>
  <si>
    <t>+380663473297</t>
  </si>
  <si>
    <t>2022-04-27 10:56:01</t>
  </si>
  <si>
    <t>Vasileva44444@mail.ru</t>
  </si>
  <si>
    <t>2022-04-27 14:29:18</t>
  </si>
  <si>
    <t>Наталья Сафина</t>
  </si>
  <si>
    <t>natashadefender@mail.ru</t>
  </si>
  <si>
    <t>+79141751866</t>
  </si>
  <si>
    <t>2022-04-27 14:51:27</t>
  </si>
  <si>
    <t>Ретрит Дальний Восток Хабаровск 3-8.5.2022</t>
  </si>
  <si>
    <t>Ольга Росивецкая</t>
  </si>
  <si>
    <t>olya.rosi@yandex.ru</t>
  </si>
  <si>
    <t>2022-04-27 15:15:39</t>
  </si>
  <si>
    <t>2022-04-27 16:52:14</t>
  </si>
  <si>
    <t>Юлия Новожидлва</t>
  </si>
  <si>
    <t>novozidlvaulia@gmail.com</t>
  </si>
  <si>
    <t>2022-04-27 20:15:02</t>
  </si>
  <si>
    <t>Ольга Ильина</t>
  </si>
  <si>
    <t>o1959.2011@mail.ru</t>
  </si>
  <si>
    <t>2022-04-27 21:39:38</t>
  </si>
  <si>
    <t>Алма Айбасова</t>
  </si>
  <si>
    <t>alma_sharipova@mail.ru</t>
  </si>
  <si>
    <t>2022-04-28 09:32:54</t>
  </si>
  <si>
    <t>Юлия Жарченкова</t>
  </si>
  <si>
    <t>jserebryakowa@gmail.com</t>
  </si>
  <si>
    <t>+79165010138</t>
  </si>
  <si>
    <t>2022-04-28 13:42:12</t>
  </si>
  <si>
    <t>Madina Dzlieva</t>
  </si>
  <si>
    <t>d-madishka@yandex.ru</t>
  </si>
  <si>
    <t>2022-04-28 15:35:25</t>
  </si>
  <si>
    <t>Марина Тернавчук</t>
  </si>
  <si>
    <t>elige_78@mail.ru</t>
  </si>
  <si>
    <t>+79771977559</t>
  </si>
  <si>
    <t>2022-04-28 17:22:16</t>
  </si>
  <si>
    <t>2022-04-28 17:58:30</t>
  </si>
  <si>
    <t>Софья Павленко</t>
  </si>
  <si>
    <t>sofiapavlenko86@gmail.com</t>
  </si>
  <si>
    <t>2022-04-29 10:15:40</t>
  </si>
  <si>
    <t>Штефан Иванов</t>
  </si>
  <si>
    <t>ivanov.shtefan97@gmail.com</t>
  </si>
  <si>
    <t>+79121642582</t>
  </si>
  <si>
    <t>2022-04-29 11:39:50</t>
  </si>
  <si>
    <t>Денис Ткаченко</t>
  </si>
  <si>
    <t>denyatkachenko88@gmail.com</t>
  </si>
  <si>
    <t>+380713410142</t>
  </si>
  <si>
    <t>2022-04-29 12:39:43</t>
  </si>
  <si>
    <t>ЕВГЕНИЯ Свигач</t>
  </si>
  <si>
    <t>gvelza@yandex.ru</t>
  </si>
  <si>
    <t>+375293446663</t>
  </si>
  <si>
    <t>2022-04-29 13:09:19</t>
  </si>
  <si>
    <t>Марина Кривко</t>
  </si>
  <si>
    <t>marina.dorievna@mail.ru</t>
  </si>
  <si>
    <t>2022-04-29 13:13:05</t>
  </si>
  <si>
    <t>Екатерина Лебедь</t>
  </si>
  <si>
    <t>89526153780@mail.ru</t>
  </si>
  <si>
    <t>+79526153780</t>
  </si>
  <si>
    <t>2022-04-29 13:17:33</t>
  </si>
  <si>
    <t>Елена Рожкова</t>
  </si>
  <si>
    <t>nykis@mail.ru</t>
  </si>
  <si>
    <t>2022-04-29 14:16:07</t>
  </si>
  <si>
    <t>Кирилл Зейтоа</t>
  </si>
  <si>
    <t>kirilllesnoj1@gmail.com</t>
  </si>
  <si>
    <t>+86211346114</t>
  </si>
  <si>
    <t>2022-04-29 14:23:58</t>
  </si>
  <si>
    <t>Сергей Дацко</t>
  </si>
  <si>
    <t>dackosergej14@gmail.com</t>
  </si>
  <si>
    <t>+380721901269</t>
  </si>
  <si>
    <t>2022-04-29 14:57:33</t>
  </si>
  <si>
    <t>ОЛЬГА КОГОДЕЕВА</t>
  </si>
  <si>
    <t>Olga.kogodeeva@mail.ru</t>
  </si>
  <si>
    <t>2022-04-29 15:03:42</t>
  </si>
  <si>
    <t>Жанна Дятлова</t>
  </si>
  <si>
    <t>alexandrovna.zhanna2017@yandex.ru</t>
  </si>
  <si>
    <t>+79053712018</t>
  </si>
  <si>
    <t>2022-04-29 15:52:59</t>
  </si>
  <si>
    <t>Полина Павлова</t>
  </si>
  <si>
    <t>pelageja13@yandex.ru</t>
  </si>
  <si>
    <t>2022-04-29 16:12:12</t>
  </si>
  <si>
    <t>Надежда Кацер</t>
  </si>
  <si>
    <t>katsar91@mail.ru</t>
  </si>
  <si>
    <t>2022-04-29 16:19:20</t>
  </si>
  <si>
    <t>Галина Ивановна</t>
  </si>
  <si>
    <t>gi5823445@gmail.com</t>
  </si>
  <si>
    <t>+79026241147</t>
  </si>
  <si>
    <t>2022-04-29 17:42:46</t>
  </si>
  <si>
    <t>Азиза Раджапова</t>
  </si>
  <si>
    <t>kitti98@bk.ru</t>
  </si>
  <si>
    <t>+998909387552</t>
  </si>
  <si>
    <t>2022-04-29 18:44:56</t>
  </si>
  <si>
    <t>Александра Наумчик</t>
  </si>
  <si>
    <t>Sasha.Naumchik909@mail.ru</t>
  </si>
  <si>
    <t>+375333749253</t>
  </si>
  <si>
    <t>2022-04-30 00:05:52</t>
  </si>
  <si>
    <t>Оксана Салдан</t>
  </si>
  <si>
    <t>Saldanov@gmail.com</t>
  </si>
  <si>
    <t>2022-04-30 00:29:47</t>
  </si>
  <si>
    <t>Irina Shpatkovskaya</t>
  </si>
  <si>
    <t>st_virginia@mail.ru</t>
  </si>
  <si>
    <t>2022-04-30 06:49:43</t>
  </si>
  <si>
    <t>Анна Шипкова</t>
  </si>
  <si>
    <t>annashipka7@yandex.ru</t>
  </si>
  <si>
    <t>2022-04-30 07:20:33</t>
  </si>
  <si>
    <t>Телият Осман</t>
  </si>
  <si>
    <t>evropa13@abv.bg</t>
  </si>
  <si>
    <t>0888332671</t>
  </si>
  <si>
    <t>2022-04-30 07:25:07</t>
  </si>
  <si>
    <t>Гузель Сафина</t>
  </si>
  <si>
    <t>Safina8923@gmail.com</t>
  </si>
  <si>
    <t>+79924047441</t>
  </si>
  <si>
    <t>2022-04-30 08:44:00</t>
  </si>
  <si>
    <t>2022-04-30 09:00:05</t>
  </si>
  <si>
    <t>Даниэль Арутюнов</t>
  </si>
  <si>
    <t>Ivanovets89@mail.ru</t>
  </si>
  <si>
    <t>2022-04-30 09:08:45</t>
  </si>
  <si>
    <t>Евгения Соколова</t>
  </si>
  <si>
    <t>evgeniya15336@gmail.com</t>
  </si>
  <si>
    <t>+996700079423</t>
  </si>
  <si>
    <t>2022-04-30 10:08:11</t>
  </si>
  <si>
    <t>Виктор Галенко</t>
  </si>
  <si>
    <t>Viktor_Halenko@mail.ru</t>
  </si>
  <si>
    <t>+480690533795</t>
  </si>
  <si>
    <t>2022-04-30 10:23:13</t>
  </si>
  <si>
    <t>Facelesssoulmate )</t>
  </si>
  <si>
    <t>Facelesssoulmate@gmail.com</t>
  </si>
  <si>
    <t>2022-04-30 11:44:01</t>
  </si>
  <si>
    <t>Alesia Paulouskaya</t>
  </si>
  <si>
    <t>fish066077@gmail.com</t>
  </si>
  <si>
    <t>2022-04-30 12:04:31</t>
  </si>
  <si>
    <t>Feruza Dadaxojaeva</t>
  </si>
  <si>
    <t>FeZa.Saidxoja@mail.ru</t>
  </si>
  <si>
    <t>2022-04-30 14:28:36</t>
  </si>
  <si>
    <t>Анна Д</t>
  </si>
  <si>
    <t>Annaukr@yandex.ru</t>
  </si>
  <si>
    <t>+375296637550</t>
  </si>
  <si>
    <t>2022-04-30 16:29:03</t>
  </si>
  <si>
    <t>Владимир Фримерман</t>
  </si>
  <si>
    <t>shaman_mail@tut.by</t>
  </si>
  <si>
    <t>+375257461449</t>
  </si>
  <si>
    <t>2022-05-01 00:07:31</t>
  </si>
  <si>
    <t>Евгений Сивоконь</t>
  </si>
  <si>
    <t>esivokon1978@gmail.com</t>
  </si>
  <si>
    <t>+380713402145</t>
  </si>
  <si>
    <t>2022-05-01 00:10:00</t>
  </si>
  <si>
    <t>Екатерина Летко</t>
  </si>
  <si>
    <t>kletko92@gmail.com</t>
  </si>
  <si>
    <t>+375255271687</t>
  </si>
  <si>
    <t>2022-05-01 00:23:13</t>
  </si>
  <si>
    <t>Аслан Калиев</t>
  </si>
  <si>
    <t>Kalievaslan8812@gmail.com</t>
  </si>
  <si>
    <t>2022-05-01 01:05:44</t>
  </si>
  <si>
    <t>Никонов Иван</t>
  </si>
  <si>
    <t>vlenin84@gmail.com</t>
  </si>
  <si>
    <t>2022-05-01 02:16:53</t>
  </si>
  <si>
    <t>Иван Иванов</t>
  </si>
  <si>
    <t>Olesia_tr@mail.ru</t>
  </si>
  <si>
    <t>+77017123000</t>
  </si>
  <si>
    <t>2022-05-01 06:11:10</t>
  </si>
  <si>
    <t>Наталья Юрьевна</t>
  </si>
  <si>
    <t>natalasamutkina@gmail.com</t>
  </si>
  <si>
    <t>2022-05-01 06:29:43</t>
  </si>
  <si>
    <t>Артур Хабибуллин</t>
  </si>
  <si>
    <t>web.job.kod@gmail.com</t>
  </si>
  <si>
    <t>2022-05-01 06:53:20</t>
  </si>
  <si>
    <t>Алдар Очкаев</t>
  </si>
  <si>
    <t>Aldarik-1993@mail.ru</t>
  </si>
  <si>
    <t>+79275936028</t>
  </si>
  <si>
    <t>2022-05-01 10:35:56</t>
  </si>
  <si>
    <t>Сергей Хомяков</t>
  </si>
  <si>
    <t>siarheikhamiakou@gmail.com</t>
  </si>
  <si>
    <t>+79206603780</t>
  </si>
  <si>
    <t>2022-05-01 17:51:15</t>
  </si>
  <si>
    <t>Павел Стихин</t>
  </si>
  <si>
    <t>xaos.zmei@mail.ru</t>
  </si>
  <si>
    <t>2022-05-02 01:42:12</t>
  </si>
  <si>
    <t>Роман Прядко</t>
  </si>
  <si>
    <t>romanpryadko11@gmail.com</t>
  </si>
  <si>
    <t>2022-05-02 02:29:23</t>
  </si>
  <si>
    <t>Olga Gustafsson</t>
  </si>
  <si>
    <t>Pantera.1982.pantera@gmail.com</t>
  </si>
  <si>
    <t>0451500996</t>
  </si>
  <si>
    <t>2022-05-02 04:51:31</t>
  </si>
  <si>
    <t>Дмитрий ДАР</t>
  </si>
  <si>
    <t>dimon-dfl@mail.ru</t>
  </si>
  <si>
    <t>+79109888865</t>
  </si>
  <si>
    <t>2022-05-02 05:05:46</t>
  </si>
  <si>
    <t>Марина Денисова</t>
  </si>
  <si>
    <t>denmar-20@mail.ru</t>
  </si>
  <si>
    <t>2022-05-02 07:07:45</t>
  </si>
  <si>
    <t>Мария Порываева</t>
  </si>
  <si>
    <t>sablina23@bk.ru</t>
  </si>
  <si>
    <t>2022-05-02 09:03:04</t>
  </si>
  <si>
    <t>Радик Зарипов</t>
  </si>
  <si>
    <t>radium1990@mail.ru</t>
  </si>
  <si>
    <t>2022-05-02 09:47:47</t>
  </si>
  <si>
    <t>Елена Любимова</t>
  </si>
  <si>
    <t>elen.lyubimova@gmail.com</t>
  </si>
  <si>
    <t>+79781644281</t>
  </si>
  <si>
    <t>2022-05-02 11:14:55</t>
  </si>
  <si>
    <t>Ольга Кушнир</t>
  </si>
  <si>
    <t>kingasgs555@gmail.com</t>
  </si>
  <si>
    <t>2022-05-02 13:11:38</t>
  </si>
  <si>
    <t>Инна Виноград</t>
  </si>
  <si>
    <t>Vinograd.inna@mail.ru</t>
  </si>
  <si>
    <t>+380714392909</t>
  </si>
  <si>
    <t>2022-05-02 14:29:11</t>
  </si>
  <si>
    <t>2022-05-02 15:23:13</t>
  </si>
  <si>
    <t>Сергей Шубин</t>
  </si>
  <si>
    <t>Shubinoc.ru@yandex.ru</t>
  </si>
  <si>
    <t>2022-05-02 18:23:12</t>
  </si>
  <si>
    <t>Юлия Зыкова</t>
  </si>
  <si>
    <t>zykovazj@gmail.com</t>
  </si>
  <si>
    <t>2022-05-02 19:28:19</t>
  </si>
  <si>
    <t>Юлия Хованская</t>
  </si>
  <si>
    <t>slyusarevayuliya78@gmail.com</t>
  </si>
  <si>
    <t>+79805247432</t>
  </si>
  <si>
    <t>2022-05-02 19:46:21</t>
  </si>
  <si>
    <t>Лидия Зеленская</t>
  </si>
  <si>
    <t>kuleshova_81@mail.ru</t>
  </si>
  <si>
    <t>+380721980080</t>
  </si>
  <si>
    <t>2022-05-02 21:33:07</t>
  </si>
  <si>
    <t>Александр Дивнов</t>
  </si>
  <si>
    <t>aleksandrdivnov1974@gmail.com</t>
  </si>
  <si>
    <t>+79995438669</t>
  </si>
  <si>
    <t>2022-05-02 21:35:59</t>
  </si>
  <si>
    <t>Елена Егорова</t>
  </si>
  <si>
    <t>yelena16yegorova@gmail.com</t>
  </si>
  <si>
    <t>+15127123001</t>
  </si>
  <si>
    <t>2022-05-02 21:44:54</t>
  </si>
  <si>
    <t>Юлия Гринфельд</t>
  </si>
  <si>
    <t>moun23@yandex.ru</t>
  </si>
  <si>
    <t>2022-05-02 21:52:12</t>
  </si>
  <si>
    <t>Ольга Демидчик</t>
  </si>
  <si>
    <t>odemidcik930@gmail.com</t>
  </si>
  <si>
    <t>+375293398261</t>
  </si>
  <si>
    <t>2022-05-02 21:53:38</t>
  </si>
  <si>
    <t>Алексей Десятников</t>
  </si>
  <si>
    <t>a.desyatnikov91@gmail.com</t>
  </si>
  <si>
    <t>+79785622585</t>
  </si>
  <si>
    <t>2022-05-02 22:46:57</t>
  </si>
  <si>
    <t>2022-05-02 22:49:02</t>
  </si>
  <si>
    <t>Ирина Святогорова</t>
  </si>
  <si>
    <t>Svyatogor1974@yandex.ru</t>
  </si>
  <si>
    <t>+79113948002</t>
  </si>
  <si>
    <t>2022-05-02 23:20:45</t>
  </si>
  <si>
    <t>Натали Курочкина</t>
  </si>
  <si>
    <t>kurockinanatali1@gmail.com</t>
  </si>
  <si>
    <t>2022-05-03 06:26:29</t>
  </si>
  <si>
    <t>Светлана Рябова</t>
  </si>
  <si>
    <t>77swettlana88@gmail.com</t>
  </si>
  <si>
    <t>2022-05-03 07:07:27</t>
  </si>
  <si>
    <t>2022-05-03 07:22:30</t>
  </si>
  <si>
    <t>Надежда Полукарова</t>
  </si>
  <si>
    <t>n.polukarova@bk.ru</t>
  </si>
  <si>
    <t>+79885374962</t>
  </si>
  <si>
    <t>2022-05-03 07:50:59</t>
  </si>
  <si>
    <t>Ирина Попова</t>
  </si>
  <si>
    <t>031263@mail.ru</t>
  </si>
  <si>
    <t>+79161292920</t>
  </si>
  <si>
    <t>2022-05-03 08:37:01</t>
  </si>
  <si>
    <t>Валентин Сорочинский</t>
  </si>
  <si>
    <t>vsvalen@ukr.net</t>
  </si>
  <si>
    <t>+380504457747</t>
  </si>
  <si>
    <t>2022-05-03 09:36:15</t>
  </si>
  <si>
    <t>Наталья М</t>
  </si>
  <si>
    <t>Velikajanata@mail.ru</t>
  </si>
  <si>
    <t>+79043959542</t>
  </si>
  <si>
    <t>2022-05-03 09:47:02</t>
  </si>
  <si>
    <t>Екатерина Скрябина</t>
  </si>
  <si>
    <t>kateruna1901@mail.ru</t>
  </si>
  <si>
    <t>+79507299273</t>
  </si>
  <si>
    <t>2022-05-03 10:18:38</t>
  </si>
  <si>
    <t>Артур Болдырев</t>
  </si>
  <si>
    <t>ikhujo48@gmail.com</t>
  </si>
  <si>
    <t>+79633554557</t>
  </si>
  <si>
    <t>2022-05-03 10:19:09</t>
  </si>
  <si>
    <t>Андрей Никоноров</t>
  </si>
  <si>
    <t>gdmastrer@gmail.com</t>
  </si>
  <si>
    <t>2022-05-03 14:48:14</t>
  </si>
  <si>
    <t>Ратникова светлана Сучкова</t>
  </si>
  <si>
    <t>ratnikova77@internet.ru</t>
  </si>
  <si>
    <t>+79533154499</t>
  </si>
  <si>
    <t>2022-05-03 15:00:35</t>
  </si>
  <si>
    <t>Наталья Завадская</t>
  </si>
  <si>
    <t>coffee-tree.nz@docomo.ne.jp</t>
  </si>
  <si>
    <t>2022-05-03 15:26:18</t>
  </si>
  <si>
    <t>2022-05-03 16:42:27</t>
  </si>
  <si>
    <t>2022-05-03 16:45:35</t>
  </si>
  <si>
    <t>2022-05-03 17:08:49</t>
  </si>
  <si>
    <t>Ирина Ар</t>
  </si>
  <si>
    <t>palamarchuk1@yahoo.com</t>
  </si>
  <si>
    <t>+79047841197</t>
  </si>
  <si>
    <t>2022-05-03 18:00:42</t>
  </si>
  <si>
    <t>Андрей Капли</t>
  </si>
  <si>
    <t>mevarnateli@gmail.com</t>
  </si>
  <si>
    <t>+380938256644</t>
  </si>
  <si>
    <t>2022-05-03 19:08:05</t>
  </si>
  <si>
    <t>Наталина Раздобреева</t>
  </si>
  <si>
    <t>natjella@mail.ru</t>
  </si>
  <si>
    <t>+79384708054</t>
  </si>
  <si>
    <t>2022-05-03 19:25:01</t>
  </si>
  <si>
    <t>Олеся Грибенькова</t>
  </si>
  <si>
    <t>gribenkovaoles.78@mail.ru</t>
  </si>
  <si>
    <t>2022-05-03 19:30:58</t>
  </si>
  <si>
    <t>2022-05-03 19:51:28</t>
  </si>
  <si>
    <t>Natalia Fedotova</t>
  </si>
  <si>
    <t>feya2109@gmail.com</t>
  </si>
  <si>
    <t>+79171221772</t>
  </si>
  <si>
    <t>2022-05-03 20:26:19</t>
  </si>
  <si>
    <t>Кристина Камалова</t>
  </si>
  <si>
    <t>Kristay78@mail.ru</t>
  </si>
  <si>
    <t>+77017890838</t>
  </si>
  <si>
    <t>2022-05-03 20:29:54</t>
  </si>
  <si>
    <t>Дмитрий Лаврушкин</t>
  </si>
  <si>
    <t>dlap53@mail.ru</t>
  </si>
  <si>
    <t>2022-05-03 21:19:42</t>
  </si>
  <si>
    <t>Александр Вершинин</t>
  </si>
  <si>
    <t>sanya.vershinin.90@inbox.ru</t>
  </si>
  <si>
    <t>+79126984943</t>
  </si>
  <si>
    <t>2022-05-03 23:04:00</t>
  </si>
  <si>
    <t>cn1900</t>
  </si>
  <si>
    <t>cn1900@mail.ru</t>
  </si>
  <si>
    <t>2022-05-03 23:15:03</t>
  </si>
  <si>
    <t>2022-05-04 06:10:02</t>
  </si>
  <si>
    <t>2022-05-04 08:24:39</t>
  </si>
  <si>
    <t>Андрей Сопов</t>
  </si>
  <si>
    <t>lechuk@yandex.ru</t>
  </si>
  <si>
    <t>+79629499009</t>
  </si>
  <si>
    <t>2022-05-04 16:09:28</t>
  </si>
  <si>
    <t>Владимир Кулавин</t>
  </si>
  <si>
    <t>v.kulawin@yandex.ru</t>
  </si>
  <si>
    <t>+79605651010</t>
  </si>
  <si>
    <t>2022-05-04 16:19:39</t>
  </si>
  <si>
    <t>Ксения Малышкина</t>
  </si>
  <si>
    <t>rs-i0ho@yandex.ru</t>
  </si>
  <si>
    <t>2022-05-04 19:10:24</t>
  </si>
  <si>
    <t>Salomat Bozorova</t>
  </si>
  <si>
    <t>bozorovasalomat1@gmail.com</t>
  </si>
  <si>
    <t>+998993806541</t>
  </si>
  <si>
    <t>2022-05-04 19:44:59</t>
  </si>
  <si>
    <t>Мила Гусейнова</t>
  </si>
  <si>
    <t>GUSEJNOVA_1981@LIST.RU</t>
  </si>
  <si>
    <t>2022-05-04 22:48:15</t>
  </si>
  <si>
    <t>Артём Исайкин</t>
  </si>
  <si>
    <t>artisgrays@yandex.ru</t>
  </si>
  <si>
    <t>+79296474627</t>
  </si>
  <si>
    <t>2022-05-04 22:57:06</t>
  </si>
  <si>
    <t>2022-05-05 02:12:41</t>
  </si>
  <si>
    <t>Абубакар Туршаев</t>
  </si>
  <si>
    <t>abubakarturshaev@gmail.com</t>
  </si>
  <si>
    <t>+79171829682</t>
  </si>
  <si>
    <t>2022-05-05 08:06:35</t>
  </si>
  <si>
    <t>Аксинья Романова</t>
  </si>
  <si>
    <t>Ksu780@mail.ru</t>
  </si>
  <si>
    <t>+79816882525</t>
  </si>
  <si>
    <t>2022-05-05 15:25:07</t>
  </si>
  <si>
    <t>Ольга Каменских</t>
  </si>
  <si>
    <t>kamenskih.olechka@yandex.ru</t>
  </si>
  <si>
    <t>+79822404236</t>
  </si>
  <si>
    <t>2022-05-05 15:36:11</t>
  </si>
  <si>
    <t>2022-05-05 15:57:58</t>
  </si>
  <si>
    <t>Алексей Соколов</t>
  </si>
  <si>
    <t>vozduhru@yandex.ru</t>
  </si>
  <si>
    <t>+79112333947</t>
  </si>
  <si>
    <t>2022-05-05 16:36:54</t>
  </si>
  <si>
    <t>2022-05-05 17:14:11</t>
  </si>
  <si>
    <t>Ксения Капцевич</t>
  </si>
  <si>
    <t>ksenia.kapcevich@mail.ru</t>
  </si>
  <si>
    <t>+79111032132</t>
  </si>
  <si>
    <t>2022-05-05 17:45:02</t>
  </si>
  <si>
    <t>Дарья Минишева</t>
  </si>
  <si>
    <t>dariaminisheva@gmail.com</t>
  </si>
  <si>
    <t>+79500439655</t>
  </si>
  <si>
    <t>2022-05-05 18:32:16</t>
  </si>
  <si>
    <t>Анастасия Квартальнова</t>
  </si>
  <si>
    <t>a.kvartalnova@yandex.ru</t>
  </si>
  <si>
    <t>+79119258928</t>
  </si>
  <si>
    <t>2022-05-05 22:01:03</t>
  </si>
  <si>
    <t>2022-05-06 16:51:00</t>
  </si>
  <si>
    <t>Светлана Кустря</t>
  </si>
  <si>
    <t>svetlana.ks@list.ru</t>
  </si>
  <si>
    <t>+79184513731</t>
  </si>
  <si>
    <t>2022-05-06 17:49:27</t>
  </si>
  <si>
    <t>Ольга Фетисова</t>
  </si>
  <si>
    <t>foto-club@inbox.ru</t>
  </si>
  <si>
    <t>+79032100229</t>
  </si>
  <si>
    <t>2022-05-06 18:32:15</t>
  </si>
  <si>
    <t>Ирина Голдберг</t>
  </si>
  <si>
    <t>otdel-mv@yandex.ru</t>
  </si>
  <si>
    <t>2022-05-06 23:41:14</t>
  </si>
  <si>
    <t>Евгения Михайлова</t>
  </si>
  <si>
    <t>em1401u@gmail.com</t>
  </si>
  <si>
    <t>2022-05-07 09:52:04</t>
  </si>
  <si>
    <t>Елена Думова</t>
  </si>
  <si>
    <t>elena.dumova72@gmail.com</t>
  </si>
  <si>
    <t>+79270791378</t>
  </si>
  <si>
    <t>2022-05-07 11:19:07</t>
  </si>
  <si>
    <t>Игорь Сосунов</t>
  </si>
  <si>
    <t>igor22part@gmail.com</t>
  </si>
  <si>
    <t>+79057123896</t>
  </si>
  <si>
    <t>2022-05-07 12:53:25</t>
  </si>
  <si>
    <t>Татьяна Осипова</t>
  </si>
  <si>
    <t>kuztanch2017@yandex.ru</t>
  </si>
  <si>
    <t>+79899503366</t>
  </si>
  <si>
    <t>2022-05-07 15:31:25</t>
  </si>
  <si>
    <t>2022-05-07 16:15:24</t>
  </si>
  <si>
    <t>Илья Тарасов</t>
  </si>
  <si>
    <t>tarasov.ilya.007@mail.ru</t>
  </si>
  <si>
    <t>2022-05-07 20:28:51</t>
  </si>
  <si>
    <t>Василий Закладной</t>
  </si>
  <si>
    <t>ezakladnaya@yandex.ru</t>
  </si>
  <si>
    <t>+79275681207</t>
  </si>
  <si>
    <t>2022-05-08 19:05:33</t>
  </si>
  <si>
    <t>Obidchenko.nata</t>
  </si>
  <si>
    <t>Obidchenko.nata@mail.ru</t>
  </si>
  <si>
    <t>2022-05-08 20:52:03</t>
  </si>
  <si>
    <t>lina06052001</t>
  </si>
  <si>
    <t>lina06052001@inbox.ru</t>
  </si>
  <si>
    <t>2022-05-08 22:09:14</t>
  </si>
  <si>
    <t>2022-05-08 22:10:51</t>
  </si>
  <si>
    <t>K.ildus76</t>
  </si>
  <si>
    <t>K.ildus76@inbox.ru</t>
  </si>
  <si>
    <t>2022-05-09 06:50:18</t>
  </si>
  <si>
    <t>Анатолий Трифонов</t>
  </si>
  <si>
    <t>trifonov.anat.sin.ivanov@mail.ru</t>
  </si>
  <si>
    <t>2022-05-09 12:34:26</t>
  </si>
  <si>
    <t>Лариса Яковлева</t>
  </si>
  <si>
    <t>lya@rodek.ru</t>
  </si>
  <si>
    <t>+79262725749</t>
  </si>
  <si>
    <t>2022-05-09 12:38:53</t>
  </si>
  <si>
    <t>Марина Блюмина</t>
  </si>
  <si>
    <t>Igilok96@gmail.com</t>
  </si>
  <si>
    <t>2022-05-09 15:50:36</t>
  </si>
  <si>
    <t>Практика Тишины в Питере с В.Пулло 10.5.2022</t>
  </si>
  <si>
    <t>2022|Живое|май|Питер|Практика тишины</t>
  </si>
  <si>
    <t>Павел Тест Когут Тест</t>
  </si>
  <si>
    <t>pavelkohutbox@gmail.com</t>
  </si>
  <si>
    <t>+375296336619</t>
  </si>
  <si>
    <t>2022-05-09 17:32:13</t>
  </si>
  <si>
    <t>Александр Крапивко</t>
  </si>
  <si>
    <t>alexk.81@mail.ru</t>
  </si>
  <si>
    <t>2022-05-09 17:36:19</t>
  </si>
  <si>
    <t>2022-05-09 19:01:32</t>
  </si>
  <si>
    <t>K44512619</t>
  </si>
  <si>
    <t>K44512619@gmail.com</t>
  </si>
  <si>
    <t>2022-05-09 20:54:27</t>
  </si>
  <si>
    <t>Андрей Алесич</t>
  </si>
  <si>
    <t>Andrej.alesicz@gmail.com</t>
  </si>
  <si>
    <t>2022-05-09 21:53:32</t>
  </si>
  <si>
    <t>Andy Тонетели</t>
  </si>
  <si>
    <t>andreatoreli@mail.ru</t>
  </si>
  <si>
    <t>2022-05-10 07:39:25</t>
  </si>
  <si>
    <t>Татьяна Гугуева</t>
  </si>
  <si>
    <t>Gugueva2569@inbox.ru</t>
  </si>
  <si>
    <t>2022-05-10 07:54:57</t>
  </si>
  <si>
    <t>Вика Грошева</t>
  </si>
  <si>
    <t>7260485@list.ru</t>
  </si>
  <si>
    <t>+79037260485</t>
  </si>
  <si>
    <t>2022-05-10 08:33:53</t>
  </si>
  <si>
    <t>vladimirlohrer1</t>
  </si>
  <si>
    <t>vladimirlohrer1@hotmail.com</t>
  </si>
  <si>
    <t>2022-05-10 09:26:06</t>
  </si>
  <si>
    <t>Наталья Миайлова</t>
  </si>
  <si>
    <t>natamix25@mail.ru</t>
  </si>
  <si>
    <t>2022-05-10 10:05:01</t>
  </si>
  <si>
    <t>Лилия Гайфутдинова</t>
  </si>
  <si>
    <t>smilekaktus@icloud.com</t>
  </si>
  <si>
    <t>2022-05-10 10:30:39</t>
  </si>
  <si>
    <t>Оксана Войцех</t>
  </si>
  <si>
    <t>ledislava1984@gmail.com</t>
  </si>
  <si>
    <t>+79897213533</t>
  </si>
  <si>
    <t>2022-05-10 12:37:02</t>
  </si>
  <si>
    <t>Ерофеева ИРИНА</t>
  </si>
  <si>
    <t>eis280482@gmail.com</t>
  </si>
  <si>
    <t>2022-05-10 12:41:43</t>
  </si>
  <si>
    <t>Александр Величко</t>
  </si>
  <si>
    <t>velichko.a@dns-shop.ru</t>
  </si>
  <si>
    <t>+79884966976</t>
  </si>
  <si>
    <t>2022-05-10 14:13:51</t>
  </si>
  <si>
    <t>Ольга Баланчук</t>
  </si>
  <si>
    <t>rs-42c5@mail.ru</t>
  </si>
  <si>
    <t>2022-05-10 18:31:05</t>
  </si>
  <si>
    <t>Алла</t>
  </si>
  <si>
    <t>Alleksi89@bk.ru</t>
  </si>
  <si>
    <t>+79670484148</t>
  </si>
  <si>
    <t>2022-05-10 21:03:00</t>
  </si>
  <si>
    <t>Дмитрий Громов</t>
  </si>
  <si>
    <t>Grbest@mail.ru</t>
  </si>
  <si>
    <t>2022-05-10 22:49:54</t>
  </si>
  <si>
    <t>Сергей Кукушкин</t>
  </si>
  <si>
    <t>rekus-2@yandex.ru</t>
  </si>
  <si>
    <t>+79194458435</t>
  </si>
  <si>
    <t>2022-05-11 03:05:57</t>
  </si>
  <si>
    <t>2022-05-11 05:13:05</t>
  </si>
  <si>
    <t>Patrick Free</t>
  </si>
  <si>
    <t>patrikfree131@gmail.com</t>
  </si>
  <si>
    <t>2022-05-11 13:37:24</t>
  </si>
  <si>
    <t>Ирина Солдатенкова</t>
  </si>
  <si>
    <t>sold4tenkova.i@ya.ru</t>
  </si>
  <si>
    <t>+79040306687</t>
  </si>
  <si>
    <t>2022-05-11 13:43:42</t>
  </si>
  <si>
    <t>2022-05-11 17:00:21</t>
  </si>
  <si>
    <t>2022-05-11 19:58:43</t>
  </si>
  <si>
    <t>Евгений Свиридков</t>
  </si>
  <si>
    <t>sviridkov.j@gmail.com</t>
  </si>
  <si>
    <t>+79232888787</t>
  </si>
  <si>
    <t>2022-05-11 20:38:43</t>
  </si>
  <si>
    <t>Инна Козырева</t>
  </si>
  <si>
    <t>Alexkozy@mail.ru</t>
  </si>
  <si>
    <t>2022-05-11 21:58:57</t>
  </si>
  <si>
    <t>Анжела Кудрявцова</t>
  </si>
  <si>
    <t>angelakud@mail.ru</t>
  </si>
  <si>
    <t>+79636555851</t>
  </si>
  <si>
    <t>2022-05-12 00:40:18</t>
  </si>
  <si>
    <t>2022-05-12 09:19:42</t>
  </si>
  <si>
    <t>Дмитрий Титов</t>
  </si>
  <si>
    <t>dmitriyda777@gmail.com</t>
  </si>
  <si>
    <t>2022-05-12 10:22:32</t>
  </si>
  <si>
    <t>Владимир Соколов</t>
  </si>
  <si>
    <t>falconsk@yandex.ru</t>
  </si>
  <si>
    <t>+79139067789</t>
  </si>
  <si>
    <t>2022-05-12 13:41:34</t>
  </si>
  <si>
    <t>olgaVT2006</t>
  </si>
  <si>
    <t>olgaVT2006@ya.ru</t>
  </si>
  <si>
    <t>2022-05-12 15:48:06</t>
  </si>
  <si>
    <t>Роман Коновалов</t>
  </si>
  <si>
    <t>roman_konovalov_2014@mail.ru</t>
  </si>
  <si>
    <t>2022-05-12 17:27:36</t>
  </si>
  <si>
    <t>2022-05-12 17:29:04</t>
  </si>
  <si>
    <t>Андрей Кот</t>
  </si>
  <si>
    <t>andrkot1996@gmail.com</t>
  </si>
  <si>
    <t>2022-05-12 17:33:41</t>
  </si>
  <si>
    <t>naziagajsina236</t>
  </si>
  <si>
    <t>naziagajsina236@gmail.com</t>
  </si>
  <si>
    <t>2022-05-12 17:34:14</t>
  </si>
  <si>
    <t>2022-05-12 19:14:02</t>
  </si>
  <si>
    <t>Мария Синявская</t>
  </si>
  <si>
    <t>mariasinyavskaya98@gmail.com</t>
  </si>
  <si>
    <t>2022-05-12 20:31:02</t>
  </si>
  <si>
    <t>Олег Северин</t>
  </si>
  <si>
    <t>olegomseveroleg@gmail.com</t>
  </si>
  <si>
    <t>2022-05-12 21:02:39</t>
  </si>
  <si>
    <t>20alexei10</t>
  </si>
  <si>
    <t>20alexei10@list.ru</t>
  </si>
  <si>
    <t>2022-05-12 21:03:39</t>
  </si>
  <si>
    <t>Мирослав</t>
  </si>
  <si>
    <t>79130001123@phone</t>
  </si>
  <si>
    <t>+79130001123</t>
  </si>
  <si>
    <t>2022-05-12 22:24:57</t>
  </si>
  <si>
    <t>Заявка на звонок курс "Пробуждение. Начало."</t>
  </si>
  <si>
    <t>в записи|Заявка</t>
  </si>
  <si>
    <t>Kriminalnoe Ctivo</t>
  </si>
  <si>
    <t>Terkinvasiliy189@gmail.com</t>
  </si>
  <si>
    <t>+972508774471</t>
  </si>
  <si>
    <t>2022-05-13 01:07:16</t>
  </si>
  <si>
    <t>Валерия Рябова</t>
  </si>
  <si>
    <t>blscva88@icloud.com</t>
  </si>
  <si>
    <t>+79112629700</t>
  </si>
  <si>
    <t>2022-05-13 01:23:07</t>
  </si>
  <si>
    <t>Айджемал Айджемал</t>
  </si>
  <si>
    <t>ayjml@mail.ru</t>
  </si>
  <si>
    <t>+375257619979</t>
  </si>
  <si>
    <t>2022-05-13 01:45:16</t>
  </si>
  <si>
    <t>Анастасия Малько</t>
  </si>
  <si>
    <t>nastmalko1540@gmail.com</t>
  </si>
  <si>
    <t>2022-05-13 06:24:04</t>
  </si>
  <si>
    <t>vova_sann</t>
  </si>
  <si>
    <t>vova_sann@mail.ru</t>
  </si>
  <si>
    <t>2022-05-13 06:31:11</t>
  </si>
  <si>
    <t>Irina Te</t>
  </si>
  <si>
    <t>irinamtl@gmail.com</t>
  </si>
  <si>
    <t>2022-05-13 08:15:20</t>
  </si>
  <si>
    <t>2022-05-13 08:18:00</t>
  </si>
  <si>
    <t>2022-05-13 08:23:54</t>
  </si>
  <si>
    <t>Дилора Ходжаева</t>
  </si>
  <si>
    <t>dilora.khodjaeva@abbott.com</t>
  </si>
  <si>
    <t>+998903212067</t>
  </si>
  <si>
    <t>2022-05-13 08:31:42</t>
  </si>
  <si>
    <t>Анастасия Симоненко</t>
  </si>
  <si>
    <t>muzaslav@gmail.com</t>
  </si>
  <si>
    <t>2022-05-13 10:01:56</t>
  </si>
  <si>
    <t>Сергей Усов</t>
  </si>
  <si>
    <t>serj.usow86@yandex.ru</t>
  </si>
  <si>
    <t>2022-05-13 10:28:41</t>
  </si>
  <si>
    <t>Оксана Романова</t>
  </si>
  <si>
    <t>exo.agatebaekhyun@gmail.com</t>
  </si>
  <si>
    <t>2022-05-13 11:55:35</t>
  </si>
  <si>
    <t>Игорь Скоблик</t>
  </si>
  <si>
    <t>skoblikigor.ru@mail.ru</t>
  </si>
  <si>
    <t>+375291111939</t>
  </si>
  <si>
    <t>2022-05-13 14:25:56</t>
  </si>
  <si>
    <t>Ярослав Терехов</t>
  </si>
  <si>
    <t>yaroslav.terehov22.gmail.com@mail.ru</t>
  </si>
  <si>
    <t>2022-05-13 14:29:49</t>
  </si>
  <si>
    <t>2022-05-13 14:31:59</t>
  </si>
  <si>
    <t>Дарья Чегодарь</t>
  </si>
  <si>
    <t>Chegodar.d@yandex.ru</t>
  </si>
  <si>
    <t>+79199900106</t>
  </si>
  <si>
    <t>2022-05-13 15:28:37</t>
  </si>
  <si>
    <t>Ellena Naumenko</t>
  </si>
  <si>
    <t>envipik@gmail.com</t>
  </si>
  <si>
    <t>+79373104305</t>
  </si>
  <si>
    <t>2022-05-13 16:34:55</t>
  </si>
  <si>
    <t>Екатерина Запорожченко</t>
  </si>
  <si>
    <t>katrina_j@mail.ru</t>
  </si>
  <si>
    <t>+79190234593</t>
  </si>
  <si>
    <t>2022-05-13 16:35:02</t>
  </si>
  <si>
    <t>2022-05-13 18:00:30</t>
  </si>
  <si>
    <t>Однодневный онлайн ретрит Европа 14 мая 2022</t>
  </si>
  <si>
    <t>Liudmylaholosok</t>
  </si>
  <si>
    <t>Liudmylaholosok@gmail.com</t>
  </si>
  <si>
    <t>2022-05-13 18:27:22</t>
  </si>
  <si>
    <t>Tatiana Malakhova</t>
  </si>
  <si>
    <t>bella-grazia@mail.ru</t>
  </si>
  <si>
    <t>+79673433143</t>
  </si>
  <si>
    <t>2022-05-13 19:17:25</t>
  </si>
  <si>
    <t>Малика Мирхамидова</t>
  </si>
  <si>
    <t>mirkhamidov86@mail.ru</t>
  </si>
  <si>
    <t>2022-05-13 19:27:14</t>
  </si>
  <si>
    <t>miamway459@gmail.com</t>
  </si>
  <si>
    <t>+79086311436</t>
  </si>
  <si>
    <t>2022-05-13 20:43:35</t>
  </si>
  <si>
    <t>2022-05-13 21:34:44</t>
  </si>
  <si>
    <t>Евгений Ермак</t>
  </si>
  <si>
    <t>Djoniermakk@gmail.com</t>
  </si>
  <si>
    <t>2022-05-13 23:24:55</t>
  </si>
  <si>
    <t>Иван Шейко</t>
  </si>
  <si>
    <t>ivansheko@yandex.ru</t>
  </si>
  <si>
    <t>+79150542691</t>
  </si>
  <si>
    <t>2022-05-13 23:30:56</t>
  </si>
  <si>
    <t>Андрей Айзберг</t>
  </si>
  <si>
    <t>AdamBlackRazord@mail.ru</t>
  </si>
  <si>
    <t>2022-05-14 06:41:51</t>
  </si>
  <si>
    <t>Маргарита Лебедева</t>
  </si>
  <si>
    <t>rita282828@mail.ru</t>
  </si>
  <si>
    <t>+79136566518</t>
  </si>
  <si>
    <t>2022-05-14 09:39:29</t>
  </si>
  <si>
    <t>eulicheva</t>
  </si>
  <si>
    <t>eulicheva@inbox.ru</t>
  </si>
  <si>
    <t>2022-05-14 10:22:15</t>
  </si>
  <si>
    <t>likenbome</t>
  </si>
  <si>
    <t>likenbome@gmail.com</t>
  </si>
  <si>
    <t>2022-05-14 11:10:39</t>
  </si>
  <si>
    <t>Вероника Сулейманова</t>
  </si>
  <si>
    <t>Veronikas1996@mail.ru</t>
  </si>
  <si>
    <t>2022-05-14 12:53:34</t>
  </si>
  <si>
    <t>Demdem Tyr</t>
  </si>
  <si>
    <t>jajajoder@yandex.ru</t>
  </si>
  <si>
    <t>2022-05-14 12:57:13</t>
  </si>
  <si>
    <t>Павел Кравцов</t>
  </si>
  <si>
    <t>ejaminsk@gmail.com</t>
  </si>
  <si>
    <t>+375333568669</t>
  </si>
  <si>
    <t>2022-05-14 14:58:14</t>
  </si>
  <si>
    <t>Оксана Лещенко</t>
  </si>
  <si>
    <t>Oksanalesenko80@gmail.com</t>
  </si>
  <si>
    <t>+380714936919</t>
  </si>
  <si>
    <t>2022-05-14 19:08:00</t>
  </si>
  <si>
    <t>2022-05-14 19:09:16</t>
  </si>
  <si>
    <t>Денис Станишевский</t>
  </si>
  <si>
    <t>denis_stanishevskiy@bk.ru</t>
  </si>
  <si>
    <t>2022-05-14 19:54:26</t>
  </si>
  <si>
    <t>2022-05-14 20:40:48</t>
  </si>
  <si>
    <t>Сергей Терновский</t>
  </si>
  <si>
    <t>Ternovskisergey@gmail.com</t>
  </si>
  <si>
    <t>+375297064018</t>
  </si>
  <si>
    <t>2022-05-15 08:38:00</t>
  </si>
  <si>
    <t>vkasapova1</t>
  </si>
  <si>
    <t>vkasapova1@gmail.com</t>
  </si>
  <si>
    <t>2022-05-15 09:07:19</t>
  </si>
  <si>
    <t>2022-05-15 14:43:42</t>
  </si>
  <si>
    <t>Наталья Старенко</t>
  </si>
  <si>
    <t>n.starenko@mail.ru</t>
  </si>
  <si>
    <t>+77776257601</t>
  </si>
  <si>
    <t>2022-05-15 15:28:49</t>
  </si>
  <si>
    <t xml:space="preserve"> Курс Пробуждение. Начало.</t>
  </si>
  <si>
    <t>в записи|онлайн|Пробуждение. Начало</t>
  </si>
  <si>
    <t>ekaterinakurbatova35</t>
  </si>
  <si>
    <t>ekaterinakurbatova35@gmail.com</t>
  </si>
  <si>
    <t>2022-05-15 17:04:19</t>
  </si>
  <si>
    <t>Дмитрий Симченко</t>
  </si>
  <si>
    <t>dsimchenko@gmail.com</t>
  </si>
  <si>
    <t>+79384405221</t>
  </si>
  <si>
    <t>2022-05-15 23:42:03</t>
  </si>
  <si>
    <t>star-1903@list.ru</t>
  </si>
  <si>
    <t>+375291988546</t>
  </si>
  <si>
    <t>2022-05-16 00:02:57</t>
  </si>
  <si>
    <t>Анастасия Максименко</t>
  </si>
  <si>
    <t>dia_dia_666@mail.ru</t>
  </si>
  <si>
    <t>2022-05-16 06:21:14</t>
  </si>
  <si>
    <t>2022-05-16 06:24:00</t>
  </si>
  <si>
    <t>2022-05-16 16:02:33</t>
  </si>
  <si>
    <t>2022-05-16 17:09:22</t>
  </si>
  <si>
    <t>2022-05-16 22:08:10</t>
  </si>
  <si>
    <t>olga veremeychik</t>
  </si>
  <si>
    <t>veremolga@gmail.com</t>
  </si>
  <si>
    <t>+393204438001</t>
  </si>
  <si>
    <t>2022-05-17 00:13:08</t>
  </si>
  <si>
    <t>2022-05-22 02:47:21</t>
  </si>
  <si>
    <t>2022-05-22 19:29:31</t>
  </si>
  <si>
    <t>2022-05-22 19:53:14</t>
  </si>
  <si>
    <t>2022-05-23 13:59:10</t>
  </si>
  <si>
    <t>2022-05-23 22:23:36</t>
  </si>
  <si>
    <t>2022-05-23 23:30:17</t>
  </si>
  <si>
    <t>2022-05-24 00:40:17</t>
  </si>
  <si>
    <t>2022-05-24 07:01:12</t>
  </si>
  <si>
    <t>2022-05-24 07:35:02</t>
  </si>
  <si>
    <t>2022-05-24 18:55:38</t>
  </si>
  <si>
    <t>2022-05-25 09:42:17</t>
  </si>
  <si>
    <t>2022-05-25 12:57:00</t>
  </si>
  <si>
    <t>2022-05-25 23:30:52</t>
  </si>
  <si>
    <t>2022-05-26 14:52:20</t>
  </si>
  <si>
    <t>2022-05-27 06:34:57</t>
  </si>
  <si>
    <t>2022-05-27 11:39:41</t>
  </si>
  <si>
    <t>2022-05-28 19:32:42</t>
  </si>
  <si>
    <t>2022-05-29 10:18:45</t>
  </si>
  <si>
    <t>2022-05-29 21:06:50</t>
  </si>
  <si>
    <t>2022-05-30 17:39:23</t>
  </si>
  <si>
    <t>2022-05-31 14:07:51</t>
  </si>
  <si>
    <t>bilara61</t>
  </si>
  <si>
    <t>bilara61@mail.ru</t>
  </si>
  <si>
    <t>2022-05-16 06:37:33</t>
  </si>
  <si>
    <t>johnjohn2014@yandex.ru</t>
  </si>
  <si>
    <t>+79967005009</t>
  </si>
  <si>
    <t>2022-05-16 12:22:59</t>
  </si>
  <si>
    <t>ruslanlisenko6</t>
  </si>
  <si>
    <t>ruslanlisenko6@gmail.com</t>
  </si>
  <si>
    <t>2022-05-16 13:48:58</t>
  </si>
  <si>
    <t>Татьяна Соколова</t>
  </si>
  <si>
    <t>tatiana_sokolova_89@mail.ru</t>
  </si>
  <si>
    <t>2022-05-16 15:06:24</t>
  </si>
  <si>
    <t>Александра Шашкова</t>
  </si>
  <si>
    <t>asya.shashkova.03@bk.ru</t>
  </si>
  <si>
    <t>+375291661552</t>
  </si>
  <si>
    <t>2022-05-16 18:13:05</t>
  </si>
  <si>
    <t>Василина Бареко</t>
  </si>
  <si>
    <t>vasilina5402002@gmail.com</t>
  </si>
  <si>
    <t>+375445404245</t>
  </si>
  <si>
    <t>2022-05-16 18:13:13</t>
  </si>
  <si>
    <t>Ольга мальцева</t>
  </si>
  <si>
    <t>Olga568381@mail.ru</t>
  </si>
  <si>
    <t>Мария Кулясова</t>
  </si>
  <si>
    <t>kulyasowam@yandex.ru</t>
  </si>
  <si>
    <t>2022-05-16 20:00:11</t>
  </si>
  <si>
    <t>Жорик Жорик</t>
  </si>
  <si>
    <t>utylmac@yandex.com</t>
  </si>
  <si>
    <t>2022-05-16 20:11:04</t>
  </si>
  <si>
    <t>ALMA AIBASSOVA</t>
  </si>
  <si>
    <t>almaaybasova@gmail.com</t>
  </si>
  <si>
    <t>+77776104857</t>
  </si>
  <si>
    <t>2022-05-17 05:38:34</t>
  </si>
  <si>
    <t>Ирина</t>
  </si>
  <si>
    <t>6506@mail.ru</t>
  </si>
  <si>
    <t>2022-05-17 09:22:34</t>
  </si>
  <si>
    <t>Даня Малинин</t>
  </si>
  <si>
    <t>ganilal.com@gmail.com</t>
  </si>
  <si>
    <t>2022-05-17 11:46:17</t>
  </si>
  <si>
    <t>Наталья Ткаченко</t>
  </si>
  <si>
    <t>niva.nata@gmail.com</t>
  </si>
  <si>
    <t>2022-05-17 12:51:10</t>
  </si>
  <si>
    <t>Практика Тишины Хабаровск</t>
  </si>
  <si>
    <t>Живое|Практика тишины|регулярно|Хабаровск</t>
  </si>
  <si>
    <t>Мария Реутт</t>
  </si>
  <si>
    <t>Reutt@bk.ru</t>
  </si>
  <si>
    <t>2022-05-18 14:19:42</t>
  </si>
  <si>
    <t>2022-05-18 14:39:06</t>
  </si>
  <si>
    <t>2022-05-18 17:26:23</t>
  </si>
  <si>
    <t>Белова</t>
  </si>
  <si>
    <t>opiolga18@gmail.com</t>
  </si>
  <si>
    <t>2022-05-19 00:05:45</t>
  </si>
  <si>
    <t>Ольга Куневич</t>
  </si>
  <si>
    <t>olgakunevich1973@gmail.com</t>
  </si>
  <si>
    <t>+375291539137</t>
  </si>
  <si>
    <t>2022-05-19 16:18:50</t>
  </si>
  <si>
    <t>Асылбек Кожахметов</t>
  </si>
  <si>
    <t>Koj11@mail.ru</t>
  </si>
  <si>
    <t>2022-05-19 21:09:49</t>
  </si>
  <si>
    <t>2022-05-19 21:11:20</t>
  </si>
  <si>
    <t>Елена Мошкова</t>
  </si>
  <si>
    <t>Ashalina@mail.ru</t>
  </si>
  <si>
    <t>2022-05-20 00:36:02</t>
  </si>
  <si>
    <t>2022-05-20 00:36:08</t>
  </si>
  <si>
    <t>Александра Журавлева</t>
  </si>
  <si>
    <t>alex.zhurawlewa@yandex.ru</t>
  </si>
  <si>
    <t>2022-05-20 21:09:54</t>
  </si>
  <si>
    <t>Kara Desu</t>
  </si>
  <si>
    <t>Balybinavaleriy@gmail.com</t>
  </si>
  <si>
    <t>2022-05-20 21:42:41</t>
  </si>
  <si>
    <t>ekaterin.timof@mail.ru</t>
  </si>
  <si>
    <t>+79990342562</t>
  </si>
  <si>
    <t>2022-05-21 17:15:07</t>
  </si>
  <si>
    <t>2022-05-21 20:43:26</t>
  </si>
  <si>
    <t>Vera Andronik</t>
  </si>
  <si>
    <t>Vera.ludinova@gmx.de</t>
  </si>
  <si>
    <t>+4917624458148</t>
  </si>
  <si>
    <t>2022-05-22 06:42:18</t>
  </si>
  <si>
    <t>Ирина Грачева</t>
  </si>
  <si>
    <t>Irina_malaya@inbox.ru</t>
  </si>
  <si>
    <t>+79179678818</t>
  </si>
  <si>
    <t>2022-05-22 12:35:21</t>
  </si>
  <si>
    <t>Индира</t>
  </si>
  <si>
    <t>isupovair@mail.ru</t>
  </si>
  <si>
    <t>+79000891454</t>
  </si>
  <si>
    <t>2022-05-22 21:27:39</t>
  </si>
  <si>
    <t>Зинаида Саплина</t>
  </si>
  <si>
    <t>Saplina.zinaida@gmail.com</t>
  </si>
  <si>
    <t>2022-05-23 00:10:51</t>
  </si>
  <si>
    <t>Антон Ольшванг</t>
  </si>
  <si>
    <t>anton.olshvang@gmail.com</t>
  </si>
  <si>
    <t>+79262680161</t>
  </si>
  <si>
    <t>2022-05-23 00:55:16</t>
  </si>
  <si>
    <t>Ольга Федотоаа</t>
  </si>
  <si>
    <t>abeceda.balkan@gmail.com</t>
  </si>
  <si>
    <t>+38269109516</t>
  </si>
  <si>
    <t>2022-05-23 09:07:08</t>
  </si>
  <si>
    <t>Айварс Бауска</t>
  </si>
  <si>
    <t>shivaramadas@gmail.com</t>
  </si>
  <si>
    <t>+37122405458</t>
  </si>
  <si>
    <t>2022-05-23 11:26:09</t>
  </si>
  <si>
    <t>Лад Заря</t>
  </si>
  <si>
    <t>Zaryape@gmail.com</t>
  </si>
  <si>
    <t>2022-05-23 13:17:58</t>
  </si>
  <si>
    <t>alexsandrr7@gmail.com</t>
  </si>
  <si>
    <t>2022-05-23 21:28:16</t>
  </si>
  <si>
    <t>Лунара Окасова</t>
  </si>
  <si>
    <t>Okasova72kz@mail.ru</t>
  </si>
  <si>
    <t>2022-05-24 05:37:12</t>
  </si>
  <si>
    <t>Вероника Нари</t>
  </si>
  <si>
    <t>nerronika@mail.ru</t>
  </si>
  <si>
    <t>2022-05-24 07:19:49</t>
  </si>
  <si>
    <t>Эльмира Цай</t>
  </si>
  <si>
    <t>elmiratsay@gmail.com</t>
  </si>
  <si>
    <t>2022-05-24 07:26:23</t>
  </si>
  <si>
    <t>Ванесса Конжуева</t>
  </si>
  <si>
    <t>Gkonzhueva@gmail.com</t>
  </si>
  <si>
    <t>2022-05-24 07:44:52</t>
  </si>
  <si>
    <t>Klara Ilyassova</t>
  </si>
  <si>
    <t>klarailyasova666@gmail.com</t>
  </si>
  <si>
    <t>2022-05-24 08:14:49</t>
  </si>
  <si>
    <t>Евгения Андреева</t>
  </si>
  <si>
    <t>Jenia.86@list.ru</t>
  </si>
  <si>
    <t>2022-05-24 08:31:17</t>
  </si>
  <si>
    <t>Елизавета Елизавета</t>
  </si>
  <si>
    <t>Aizhana07@inbox.ru</t>
  </si>
  <si>
    <t>2022-05-24 09:02:21</t>
  </si>
  <si>
    <t>Меруерт Шабденова</t>
  </si>
  <si>
    <t>meru_smk@mail.ru</t>
  </si>
  <si>
    <t>2022-05-24 09:32:56</t>
  </si>
  <si>
    <t>Ирина Денисова</t>
  </si>
  <si>
    <t>Irusikden@mail.ru</t>
  </si>
  <si>
    <t>2022-05-24 09:39:11</t>
  </si>
  <si>
    <t>Кристина Жидкова</t>
  </si>
  <si>
    <t>zhidkova.kristina96@mail.ru</t>
  </si>
  <si>
    <t>2022-05-24 09:52:51</t>
  </si>
  <si>
    <t>Di Taimas</t>
  </si>
  <si>
    <t>Chsherbadiana@gmail.com</t>
  </si>
  <si>
    <t>2022-05-24 10:03:03</t>
  </si>
  <si>
    <t>Чингис Кушекбаев</t>
  </si>
  <si>
    <t>kushekbaevcingis@gmail.com</t>
  </si>
  <si>
    <t>2022-05-24 10:16:15</t>
  </si>
  <si>
    <t>Даша Мако</t>
  </si>
  <si>
    <t>kiss_dasha@bk.ru</t>
  </si>
  <si>
    <t>2022-05-24 10:27:36</t>
  </si>
  <si>
    <t>Акмарал Касымханова</t>
  </si>
  <si>
    <t>akmaral.25.03@mail.ru</t>
  </si>
  <si>
    <t>2022-05-24 10:31:05</t>
  </si>
  <si>
    <t>Бота Заришнюк</t>
  </si>
  <si>
    <t>akosiaa@mail.ru</t>
  </si>
  <si>
    <t>2022-05-24 10:33:37</t>
  </si>
  <si>
    <t>Мария Счастливая</t>
  </si>
  <si>
    <t>mariya.schastlivaya.92@mail.ru</t>
  </si>
  <si>
    <t>2022-05-24 11:23:55</t>
  </si>
  <si>
    <t>Жанара Баймуканова</t>
  </si>
  <si>
    <t>Z777mmm@bk.ru</t>
  </si>
  <si>
    <t>2022-05-24 11:39:36</t>
  </si>
  <si>
    <t>Меруерт Тасенова</t>
  </si>
  <si>
    <t>Hi_mira@mail.ru</t>
  </si>
  <si>
    <t>2022-05-24 11:41:47</t>
  </si>
  <si>
    <t>Мадияр Керимкулов</t>
  </si>
  <si>
    <t>Madiyar901016@gmail.com</t>
  </si>
  <si>
    <t>2022-05-24 12:09:23</t>
  </si>
  <si>
    <t>Ильмира Нургалиева</t>
  </si>
  <si>
    <t>tixero86@mail.ru</t>
  </si>
  <si>
    <t>+77010594715</t>
  </si>
  <si>
    <t>2022-05-24 12:33:55</t>
  </si>
  <si>
    <t>Аида Байгалиева</t>
  </si>
  <si>
    <t>ab.baigali@gmail.com</t>
  </si>
  <si>
    <t>2022-05-24 12:56:33</t>
  </si>
  <si>
    <t>Gulmira Tulegenova</t>
  </si>
  <si>
    <t>Tulegenova.mag@gmail.com</t>
  </si>
  <si>
    <t>2022-05-24 12:59:00</t>
  </si>
  <si>
    <t>Нелли Л</t>
  </si>
  <si>
    <t>nelly.lee777@gmail.com</t>
  </si>
  <si>
    <t>2022-05-24 14:00:23</t>
  </si>
  <si>
    <t>Марго Иванникова</t>
  </si>
  <si>
    <t>margomargaritova48@gmail.com</t>
  </si>
  <si>
    <t>2022-05-24 15:35:42</t>
  </si>
  <si>
    <t>Ольга СЕРГЕЕВА</t>
  </si>
  <si>
    <t>Aglokostia@gmail.com</t>
  </si>
  <si>
    <t>2022-05-24 16:54:51</t>
  </si>
  <si>
    <t>Евгения Ильина</t>
  </si>
  <si>
    <t>evgeniya.ilina@gmail.com</t>
  </si>
  <si>
    <t>2022-05-24 17:05:18</t>
  </si>
  <si>
    <t>Ольга Дмитриева</t>
  </si>
  <si>
    <t>89601579629@mail.ru</t>
  </si>
  <si>
    <t>2022-05-24 17:45:01</t>
  </si>
  <si>
    <t>stesi04021983@gmail.com</t>
  </si>
  <si>
    <t>2022-05-24 17:52:07</t>
  </si>
  <si>
    <t>Айжамал Даулеткулова</t>
  </si>
  <si>
    <t>ayzhamaldauletkulova@gmail.com</t>
  </si>
  <si>
    <t>2022-05-24 17:58:06</t>
  </si>
  <si>
    <t>Галина Широкова</t>
  </si>
  <si>
    <t>galina.shirokova@mail.ru</t>
  </si>
  <si>
    <t>2022-05-24 19:49:33</t>
  </si>
  <si>
    <t>Анастасия Малевич</t>
  </si>
  <si>
    <t>Nastya_sati@mail.ru</t>
  </si>
  <si>
    <t>2022-05-24 19:59:23</t>
  </si>
  <si>
    <t>Tair_ioga Zen</t>
  </si>
  <si>
    <t>mr.baisartov@mail.ru</t>
  </si>
  <si>
    <t>2022-05-24 20:40:51</t>
  </si>
  <si>
    <t>Мария Прудник</t>
  </si>
  <si>
    <t>prudnik.mariya@mail.ru</t>
  </si>
  <si>
    <t>2022-05-24 20:51:43</t>
  </si>
  <si>
    <t>Лейла Исмаилова</t>
  </si>
  <si>
    <t>leilaism69@gmail.com</t>
  </si>
  <si>
    <t>2022-05-24 20:57:48</t>
  </si>
  <si>
    <t>Гульмира Каримова</t>
  </si>
  <si>
    <t>Gulmira.karim93@mail.ru</t>
  </si>
  <si>
    <t>2022-05-24 21:06:48</t>
  </si>
  <si>
    <t>Аида Юсупова</t>
  </si>
  <si>
    <t>aidayussupova@gmail.com</t>
  </si>
  <si>
    <t>2022-05-24 21:10:35</t>
  </si>
  <si>
    <t>Пархат Атбакиев</t>
  </si>
  <si>
    <t>Faraatbakiev@gmail.com</t>
  </si>
  <si>
    <t>2022-05-24 21:20:01</t>
  </si>
  <si>
    <t>Анара Абдиманапова</t>
  </si>
  <si>
    <t>anara.abdimanapova@mail.ru</t>
  </si>
  <si>
    <t>2022-05-24 21:50:30</t>
  </si>
  <si>
    <t>Валентина Смагина</t>
  </si>
  <si>
    <t>Valuta_opa@mail.ru</t>
  </si>
  <si>
    <t>2022-05-24 22:24:56</t>
  </si>
  <si>
    <t>Iurii Savin</t>
  </si>
  <si>
    <t>iur.aicido73@yandex.ru</t>
  </si>
  <si>
    <t>2022-05-24 22:30:28</t>
  </si>
  <si>
    <t>Олеся Масленникова</t>
  </si>
  <si>
    <t>olesya_korovina_1993@mail.ru</t>
  </si>
  <si>
    <t>2022-05-24 22:31:12</t>
  </si>
  <si>
    <t>Airo Fr</t>
  </si>
  <si>
    <t>assay1988@mail.ru</t>
  </si>
  <si>
    <t>2022-05-24 22:54:32</t>
  </si>
  <si>
    <t>Саша Колдоркина</t>
  </si>
  <si>
    <t>a.koldorkina@gmail.com</t>
  </si>
  <si>
    <t>2022-05-25 01:27:45</t>
  </si>
  <si>
    <t>Бота Тулекбаева</t>
  </si>
  <si>
    <t>bota8609@gmail.com</t>
  </si>
  <si>
    <t>2022-05-25 01:52:28</t>
  </si>
  <si>
    <t>Михаил Плискин</t>
  </si>
  <si>
    <t>daemonsireks@bk.ru</t>
  </si>
  <si>
    <t>+77057760253</t>
  </si>
  <si>
    <t>2022-05-25 03:32:13</t>
  </si>
  <si>
    <t>Жанна Пак</t>
  </si>
  <si>
    <t>rarik1606@mail.ru</t>
  </si>
  <si>
    <t>2022-05-25 06:21:01</t>
  </si>
  <si>
    <t>Эльнара Алекперова</t>
  </si>
  <si>
    <t>afrodita190585@mail.ru</t>
  </si>
  <si>
    <t>2022-05-25 06:42:53</t>
  </si>
  <si>
    <t>Рустам Натяганчук</t>
  </si>
  <si>
    <t>rusnavi1991@gmail.com</t>
  </si>
  <si>
    <t>2022-05-25 06:49:20</t>
  </si>
  <si>
    <t>Гульмира Гимаденова</t>
  </si>
  <si>
    <t>gimadenovagulmira@gmail.com</t>
  </si>
  <si>
    <t>2022-05-25 07:22:14</t>
  </si>
  <si>
    <t>Кристина Еремеева</t>
  </si>
  <si>
    <t>2807199797k73@gmail.com</t>
  </si>
  <si>
    <t>2022-05-25 07:30:31</t>
  </si>
  <si>
    <t>Darya Mai</t>
  </si>
  <si>
    <t>daria.maizel@gmail.com</t>
  </si>
  <si>
    <t>2022-05-25 08:40:59</t>
  </si>
  <si>
    <t>Tatjana Jermakova</t>
  </si>
  <si>
    <t>Terma29@gmail.com</t>
  </si>
  <si>
    <t>2022-05-25 08:58:28</t>
  </si>
  <si>
    <t>Динара Динар</t>
  </si>
  <si>
    <t>dinar87@mail.ru</t>
  </si>
  <si>
    <t>+77011877676</t>
  </si>
  <si>
    <t>2022-05-25 09:23:33</t>
  </si>
  <si>
    <t>Ася Ахмедова</t>
  </si>
  <si>
    <t>Akh-asiyat@yandex.ru</t>
  </si>
  <si>
    <t>2022-05-25 09:49:12</t>
  </si>
  <si>
    <t>Frida Lisnyansky</t>
  </si>
  <si>
    <t>f.fridalis@gmail.com</t>
  </si>
  <si>
    <t>0504244576</t>
  </si>
  <si>
    <t>2022-05-25 10:17:31</t>
  </si>
  <si>
    <t>Курс Творческого Развития "Скульптура и Керамика - Целостность"</t>
  </si>
  <si>
    <t>2022|Антошина|Коммерческий проект|Курс|май|Таня Антошина</t>
  </si>
  <si>
    <t>Анель Амандосова</t>
  </si>
  <si>
    <t>amandosova.anel@mail.ru</t>
  </si>
  <si>
    <t>2022-05-25 11:15:56</t>
  </si>
  <si>
    <t>Надия Жумабай</t>
  </si>
  <si>
    <t>zumabajnadia@gmail.com</t>
  </si>
  <si>
    <t>2022-05-25 11:50:26</t>
  </si>
  <si>
    <t>Олег Калугин</t>
  </si>
  <si>
    <t>kalugin66@ya.ru</t>
  </si>
  <si>
    <t>2022-05-25 12:59:35</t>
  </si>
  <si>
    <t>Akmal Xujimov</t>
  </si>
  <si>
    <t>giyoh-navoiy@mail.ru</t>
  </si>
  <si>
    <t>2022-05-25 14:22:56</t>
  </si>
  <si>
    <t>Гульбаршин Мут</t>
  </si>
  <si>
    <t>gulbarshinmut24@gmail.com</t>
  </si>
  <si>
    <t>2022-05-25 15:01:16</t>
  </si>
  <si>
    <t>Эмидь Муртазаев</t>
  </si>
  <si>
    <t>emmyy03@mail.ru</t>
  </si>
  <si>
    <t>2022-05-25 15:38:05</t>
  </si>
  <si>
    <t>Гаухар Саламатова</t>
  </si>
  <si>
    <t>gauharsalamatova@gmail.com</t>
  </si>
  <si>
    <t>2022-05-25 16:27:25</t>
  </si>
  <si>
    <t>Жанна Пфундт</t>
  </si>
  <si>
    <t>kadzerio@gmail.com</t>
  </si>
  <si>
    <t>2022-05-25 17:01:07</t>
  </si>
  <si>
    <t>2022-05-25 17:02:00</t>
  </si>
  <si>
    <t>Денис Ли</t>
  </si>
  <si>
    <t>Ecams@inbox.ru</t>
  </si>
  <si>
    <t>2022-05-25 18:19:22</t>
  </si>
  <si>
    <t>Анара Ускембаева</t>
  </si>
  <si>
    <t>anara1101@mail.ru</t>
  </si>
  <si>
    <t>+77071947087</t>
  </si>
  <si>
    <t>2022-05-25 19:04:19</t>
  </si>
  <si>
    <t>Наталья Нецветаева</t>
  </si>
  <si>
    <t>Netsvetaeva_n@mail.ru</t>
  </si>
  <si>
    <t>2022-05-25 19:13:01</t>
  </si>
  <si>
    <t>Ирина Фомина</t>
  </si>
  <si>
    <t>fomina_step@mail.ru</t>
  </si>
  <si>
    <t>2022-05-25 19:38:42</t>
  </si>
  <si>
    <t>Гульнур Асанбекова</t>
  </si>
  <si>
    <t>Baibulova.g@mail.ru</t>
  </si>
  <si>
    <t>2022-05-25 21:57:22</t>
  </si>
  <si>
    <t>Dina Kus</t>
  </si>
  <si>
    <t>kusainova_d@inbox.ru</t>
  </si>
  <si>
    <t>2022-05-26 03:53:54</t>
  </si>
  <si>
    <t>Ирина Полкова</t>
  </si>
  <si>
    <t>polkovai@gmail.com</t>
  </si>
  <si>
    <t>2022-05-26 06:37:17</t>
  </si>
  <si>
    <t>Актилек Калидолдаева</t>
  </si>
  <si>
    <t>Aktilek@mail.ru</t>
  </si>
  <si>
    <t>2022-05-26 06:39:33</t>
  </si>
  <si>
    <t>Едиля KR</t>
  </si>
  <si>
    <t>Edilyai@yandex.kz</t>
  </si>
  <si>
    <t>2022-05-26 07:09:55</t>
  </si>
  <si>
    <t>Dilnaz Isa</t>
  </si>
  <si>
    <t>dilnaz_90@mail.ru</t>
  </si>
  <si>
    <t>2022-05-26 08:17:39</t>
  </si>
  <si>
    <t>Елена Стрюкова</t>
  </si>
  <si>
    <t>Stryelena@yandex.ru</t>
  </si>
  <si>
    <t>2022-05-26 09:13:04</t>
  </si>
  <si>
    <t>Saniya S</t>
  </si>
  <si>
    <t>Sydykovasaniyam@gmail.com</t>
  </si>
  <si>
    <t>2022-05-26 11:27:46</t>
  </si>
  <si>
    <t>Илиана Ар</t>
  </si>
  <si>
    <t>iliana-l@mail.ru</t>
  </si>
  <si>
    <t>2022-05-26 11:36:21</t>
  </si>
  <si>
    <t>Дарина Сыразденова</t>
  </si>
  <si>
    <t>Syrazdenova@gmail.com</t>
  </si>
  <si>
    <t>2022-05-26 12:16:36</t>
  </si>
  <si>
    <t>Наталья Анварова</t>
  </si>
  <si>
    <t>n-anvarova@mail.ru</t>
  </si>
  <si>
    <t>2022-05-26 12:30:05</t>
  </si>
  <si>
    <t>Shambala Украина</t>
  </si>
  <si>
    <t>ukrainashg@gmail.com</t>
  </si>
  <si>
    <t>+380977542007</t>
  </si>
  <si>
    <t>2022-05-26 12:46:36</t>
  </si>
  <si>
    <t>Салтанат Бажаканова</t>
  </si>
  <si>
    <t>Bazhakanova.s@icloud.com</t>
  </si>
  <si>
    <t>2022-05-26 12:59:36</t>
  </si>
  <si>
    <t>Ирина Трубинова</t>
  </si>
  <si>
    <t>irishechkairinka@mail.ru</t>
  </si>
  <si>
    <t>+79523322833</t>
  </si>
  <si>
    <t>2022-05-26 17:14:52</t>
  </si>
  <si>
    <t>Евгений Сергеевич</t>
  </si>
  <si>
    <t>johny_s89@mail.ru</t>
  </si>
  <si>
    <t>2022-05-26 17:44:58</t>
  </si>
  <si>
    <t>Марина Носова</t>
  </si>
  <si>
    <t>manjasha_89@mail.ru</t>
  </si>
  <si>
    <t>2022-05-26 18:17:17</t>
  </si>
  <si>
    <t>Татьяна Огриенко</t>
  </si>
  <si>
    <t>tanya_dj@inbox.ru</t>
  </si>
  <si>
    <t>2022-05-26 19:03:08</t>
  </si>
  <si>
    <t>Анара Абдильденова</t>
  </si>
  <si>
    <t>Chocolate-garnet@bk.ru</t>
  </si>
  <si>
    <t>2022-05-26 19:58:47</t>
  </si>
  <si>
    <t>Таня Чаркова</t>
  </si>
  <si>
    <t>tanya221085@mail.ru</t>
  </si>
  <si>
    <t>2022-05-26 20:38:30</t>
  </si>
  <si>
    <t>Кристина Ткаченко</t>
  </si>
  <si>
    <t>ammalgamma3@gmail.com</t>
  </si>
  <si>
    <t>2022-05-26 21:03:14</t>
  </si>
  <si>
    <t>Лариса Дорогян</t>
  </si>
  <si>
    <t>laridoro@rambler.ru</t>
  </si>
  <si>
    <t>+79109710867</t>
  </si>
  <si>
    <t>2022-05-26 21:52:57</t>
  </si>
  <si>
    <t>Юлия Патанина</t>
  </si>
  <si>
    <t>patanina_y@mail.ru</t>
  </si>
  <si>
    <t>2022-05-26 22:29:30</t>
  </si>
  <si>
    <t>Ситнова Юлия</t>
  </si>
  <si>
    <t>Sitnova.yu@yandex.ru</t>
  </si>
  <si>
    <t>2022-05-26 22:32:47</t>
  </si>
  <si>
    <t>Жанат Доспаев</t>
  </si>
  <si>
    <t>dospaev@mail.ru</t>
  </si>
  <si>
    <t>2022-05-26 22:33:22</t>
  </si>
  <si>
    <t>Olga Shadrina</t>
  </si>
  <si>
    <t>5101661@gmail.com</t>
  </si>
  <si>
    <t>2022-05-27 06:39:54</t>
  </si>
  <si>
    <t>Кристина Кристина</t>
  </si>
  <si>
    <t>8schastlivaya888@gmail.com</t>
  </si>
  <si>
    <t>2022-05-27 08:27:25</t>
  </si>
  <si>
    <t>Шинара Бутумбаева</t>
  </si>
  <si>
    <t>shibu@list.ru</t>
  </si>
  <si>
    <t>2022-05-27 08:30:41</t>
  </si>
  <si>
    <t>Айгуль Уристембекова</t>
  </si>
  <si>
    <t>uristembekova@mail.ru</t>
  </si>
  <si>
    <t>+77027778083</t>
  </si>
  <si>
    <t>2022-05-27 09:01:43</t>
  </si>
  <si>
    <t>Ольга</t>
  </si>
  <si>
    <t>oluskafix@gmail.com</t>
  </si>
  <si>
    <t>2022-05-27 09:45:55</t>
  </si>
  <si>
    <t>Карина Арчакова</t>
  </si>
  <si>
    <t>kariliar@gmail.com</t>
  </si>
  <si>
    <t>+37120672104</t>
  </si>
  <si>
    <t>2022-05-27 10:57:53</t>
  </si>
  <si>
    <t>Крис Зарембо</t>
  </si>
  <si>
    <t>Krissomnambulist@gmail.com</t>
  </si>
  <si>
    <t>2022-05-27 11:28:14</t>
  </si>
  <si>
    <t>Aislu Hamitova</t>
  </si>
  <si>
    <t>Srym.h1981@gmail.com</t>
  </si>
  <si>
    <t>2022-05-27 11:36:03</t>
  </si>
  <si>
    <t>Дарья Харитонова</t>
  </si>
  <si>
    <t>dasha.kharitonova.02@internet.ru</t>
  </si>
  <si>
    <t>2022-05-27 11:41:53</t>
  </si>
  <si>
    <t>Татьяна Никитина</t>
  </si>
  <si>
    <t>miss_creative@mail.ru</t>
  </si>
  <si>
    <t>2022-05-27 11:48:42</t>
  </si>
  <si>
    <t>Саша</t>
  </si>
  <si>
    <t>sarodngs@gmail.com</t>
  </si>
  <si>
    <t>+79137302031</t>
  </si>
  <si>
    <t>2022-05-27 12:05:48</t>
  </si>
  <si>
    <t>Сауле Божеева</t>
  </si>
  <si>
    <t>Bozheyeva@mail.ru</t>
  </si>
  <si>
    <t>2022-05-27 13:53:43</t>
  </si>
  <si>
    <t>Аймана Мухамбетова</t>
  </si>
  <si>
    <t>m_aimana@mail.ru</t>
  </si>
  <si>
    <t>2022-05-27 14:04:37</t>
  </si>
  <si>
    <t>Анастасия Кот</t>
  </si>
  <si>
    <t>dmitriyevna_1990@inbox.ru</t>
  </si>
  <si>
    <t>2022-05-27 14:26:52</t>
  </si>
  <si>
    <t>Xenia Alex</t>
  </si>
  <si>
    <t>xenia.alex@inbox.ru</t>
  </si>
  <si>
    <t>2022-05-27 14:51:22</t>
  </si>
  <si>
    <t>Ainari Kapina</t>
  </si>
  <si>
    <t>ainara.kapina23@gmail.com</t>
  </si>
  <si>
    <t>2022-05-27 15:05:07</t>
  </si>
  <si>
    <t>Сергей Барин</t>
  </si>
  <si>
    <t>sergei-astana@mail.ru</t>
  </si>
  <si>
    <t>2022-05-27 15:50:25</t>
  </si>
  <si>
    <t>Жансая Тлеубергенова</t>
  </si>
  <si>
    <t>Zhansaya-96.12@mail.ru</t>
  </si>
  <si>
    <t>2022-05-27 16:28:11</t>
  </si>
  <si>
    <t>Ляззат АДИЛБАЙКЫЗЫ</t>
  </si>
  <si>
    <t>Adilbaikyzy.777@mail.ru</t>
  </si>
  <si>
    <t>2022-05-27 18:07:51</t>
  </si>
  <si>
    <t>Мадина Абдикешова</t>
  </si>
  <si>
    <t>madina_anidam@mail.ru</t>
  </si>
  <si>
    <t>2022-05-27 18:12:08</t>
  </si>
  <si>
    <t>Мария</t>
  </si>
  <si>
    <t>Maria-kor@mail.ru</t>
  </si>
  <si>
    <t>+79057457775</t>
  </si>
  <si>
    <t>2022-05-27 19:23:34</t>
  </si>
  <si>
    <t>Алия Амиреева</t>
  </si>
  <si>
    <t>aleshenka_1603@list.ru</t>
  </si>
  <si>
    <t>2022-05-27 19:24:07</t>
  </si>
  <si>
    <t>Айсулу Бисариева</t>
  </si>
  <si>
    <t>aisulu_84@mail.ru</t>
  </si>
  <si>
    <t>+77474223015</t>
  </si>
  <si>
    <t>2022-05-27 20:17:10</t>
  </si>
  <si>
    <t>Terner Lizabet</t>
  </si>
  <si>
    <t>Lizabetterner@yandex.ru</t>
  </si>
  <si>
    <t>2022-05-27 22:01:11</t>
  </si>
  <si>
    <t>Асель Атагелдиева</t>
  </si>
  <si>
    <t>aselatageldieva83@gmail.com</t>
  </si>
  <si>
    <t>2022-05-27 22:37:25</t>
  </si>
  <si>
    <t>Кристине Оганесян</t>
  </si>
  <si>
    <t>Kity-hovhannisian@rambler.ru</t>
  </si>
  <si>
    <t>2022-05-27 23:08:56</t>
  </si>
  <si>
    <t>Диархан Досаев</t>
  </si>
  <si>
    <t>Diarxan@mail.ru</t>
  </si>
  <si>
    <t>2022-05-28 03:01:54</t>
  </si>
  <si>
    <t>Ирина Н</t>
  </si>
  <si>
    <t>Irinanevskaya@list.ru</t>
  </si>
  <si>
    <t>2022-05-28 05:00:34</t>
  </si>
  <si>
    <t>ivan star</t>
  </si>
  <si>
    <t>ivanstar75@mail.ru</t>
  </si>
  <si>
    <t>2022-05-28 05:22:15</t>
  </si>
  <si>
    <t>Татьяна Кутнякова</t>
  </si>
  <si>
    <t>tder63@mail.ru</t>
  </si>
  <si>
    <t>2022-05-28 05:26:56</t>
  </si>
  <si>
    <t>Сания Рыскулбекова</t>
  </si>
  <si>
    <t>R.saniya777@gmail.com</t>
  </si>
  <si>
    <t>2022-05-28 06:23:50</t>
  </si>
  <si>
    <t>Юлия Бапабаш</t>
  </si>
  <si>
    <t>yuliya.v.barabash@gmail.com</t>
  </si>
  <si>
    <t>2022-05-28 06:26:59</t>
  </si>
  <si>
    <t>Элеонора Валькова</t>
  </si>
  <si>
    <t>n0ra69@yandex.ru</t>
  </si>
  <si>
    <t>2022-05-28 07:37:46</t>
  </si>
  <si>
    <t>Акмарал Битимбаева</t>
  </si>
  <si>
    <t>maral83@mail.ru</t>
  </si>
  <si>
    <t>2022-05-28 08:09:14</t>
  </si>
  <si>
    <t>Татьяна Гоглачёва</t>
  </si>
  <si>
    <t>Petr-1-@mail.ru</t>
  </si>
  <si>
    <t>2022-05-28 08:48:07</t>
  </si>
  <si>
    <t>2022-05-28 10:36:41</t>
  </si>
  <si>
    <t>РУШАНА Беккажинова</t>
  </si>
  <si>
    <t>Bekkazhinova@inbox.ru</t>
  </si>
  <si>
    <t>2022-05-28 10:38:36</t>
  </si>
  <si>
    <t>Ирина Малогулко</t>
  </si>
  <si>
    <t>malogulko.ira2014@yandex.ru</t>
  </si>
  <si>
    <t>2022-05-28 11:02:30</t>
  </si>
  <si>
    <t>Зулия Азат</t>
  </si>
  <si>
    <t>zulyacipa@gmail.com</t>
  </si>
  <si>
    <t>2022-05-28 11:20:30</t>
  </si>
  <si>
    <t>Павел</t>
  </si>
  <si>
    <t>povel1980@gmail.com</t>
  </si>
  <si>
    <t>+79619728678</t>
  </si>
  <si>
    <t>2022-05-28 11:51:14</t>
  </si>
  <si>
    <t>Тереза Оганисян</t>
  </si>
  <si>
    <t>rodn-77f@mail.ru</t>
  </si>
  <si>
    <t>2022-05-28 12:08:33</t>
  </si>
  <si>
    <t>Aizhan Soul</t>
  </si>
  <si>
    <t>a.rivelote@gmail.com</t>
  </si>
  <si>
    <t>2022-05-28 13:56:17</t>
  </si>
  <si>
    <t>Обиван Кеноби</t>
  </si>
  <si>
    <t>pleaseplaycsgo@gmail.com</t>
  </si>
  <si>
    <t>2022-05-28 14:22:41</t>
  </si>
  <si>
    <t>2022-05-28 14:48:58</t>
  </si>
  <si>
    <t>Динара Иманбердиева</t>
  </si>
  <si>
    <t>Imanberdydinara@gmail.com</t>
  </si>
  <si>
    <t>2022-05-28 14:54:35</t>
  </si>
  <si>
    <t>ze22bo@yandex.ru</t>
  </si>
  <si>
    <t>+79779649951</t>
  </si>
  <si>
    <t>2022-05-28 17:06:09</t>
  </si>
  <si>
    <t>Ирина Ночнюк</t>
  </si>
  <si>
    <t>irinanoch@bk.ru</t>
  </si>
  <si>
    <t>2022-05-28 18:23:06</t>
  </si>
  <si>
    <t>elena-fedorova-66@bk.ru</t>
  </si>
  <si>
    <t>2022-05-28 18:23:31</t>
  </si>
  <si>
    <t>Екатерина Игнатюк</t>
  </si>
  <si>
    <t>keadr81@yandex.ru</t>
  </si>
  <si>
    <t>2022-05-28 18:25:36</t>
  </si>
  <si>
    <t>Елена Филина</t>
  </si>
  <si>
    <t>as.derbina@gmail.com</t>
  </si>
  <si>
    <t>+79591738441</t>
  </si>
  <si>
    <t>2022-05-28 18:31:01</t>
  </si>
  <si>
    <t>Алена Головинова</t>
  </si>
  <si>
    <t>misszaoz51@gmail.com</t>
  </si>
  <si>
    <t>2022-05-28 18:34:52</t>
  </si>
  <si>
    <t>Нурия Репницкая</t>
  </si>
  <si>
    <t>Blu-berry@ya.ru</t>
  </si>
  <si>
    <t>2022-05-28 18:40:10</t>
  </si>
  <si>
    <t>Ульяна Бузинская</t>
  </si>
  <si>
    <t>galunshikovauly@gmail.com</t>
  </si>
  <si>
    <t>2022-05-28 18:48:11</t>
  </si>
  <si>
    <t>Алтынай Бекжаркенова</t>
  </si>
  <si>
    <t>Alka_1987@mail.ru</t>
  </si>
  <si>
    <t>2022-05-28 19:09:05</t>
  </si>
  <si>
    <t>Галина</t>
  </si>
  <si>
    <t>Finalist-ka@yandex.ru</t>
  </si>
  <si>
    <t>2022-05-28 19:10:31</t>
  </si>
  <si>
    <t>Мухамед Курайши</t>
  </si>
  <si>
    <t>medikos007@yandex.ru</t>
  </si>
  <si>
    <t>2022-05-28 19:13:41</t>
  </si>
  <si>
    <t>Практика Тишины Москва</t>
  </si>
  <si>
    <t>Алёна Архипова</t>
  </si>
  <si>
    <t>alena8860@gmail.com</t>
  </si>
  <si>
    <t>2022-05-28 20:32:48</t>
  </si>
  <si>
    <t>Максим Макаров</t>
  </si>
  <si>
    <t>maksim.makarov1982@gmail.com</t>
  </si>
  <si>
    <t>2022-05-28 20:38:41</t>
  </si>
  <si>
    <t>2022-05-28 20:39:10</t>
  </si>
  <si>
    <t>Анна Зорина</t>
  </si>
  <si>
    <t>anyi_80@mail.ru</t>
  </si>
  <si>
    <t>2022-05-28 20:41:16</t>
  </si>
  <si>
    <t>2tktys@mail.ru</t>
  </si>
  <si>
    <t>2022-05-28 20:44:12</t>
  </si>
  <si>
    <t>Юлия Чеснокова</t>
  </si>
  <si>
    <t>yuliansk@icloud.com</t>
  </si>
  <si>
    <t>2022-05-28 20:47:36</t>
  </si>
  <si>
    <t>Олеся Швецова</t>
  </si>
  <si>
    <t>olesya_shvecova@inbox.ru</t>
  </si>
  <si>
    <t>2022-05-28 21:22:39</t>
  </si>
  <si>
    <t>Елизавета Сар</t>
  </si>
  <si>
    <t>K_liza@mail.ru</t>
  </si>
  <si>
    <t>2022-05-28 21:48:22</t>
  </si>
  <si>
    <t>Александра Некрасова</t>
  </si>
  <si>
    <t>alexaa4x4chan@gmail.com</t>
  </si>
  <si>
    <t>2022-05-28 22:08:09</t>
  </si>
  <si>
    <t>Михаил Митрофанов</t>
  </si>
  <si>
    <t>mitrofanovmihail21@gmail.com</t>
  </si>
  <si>
    <t>2022-05-28 22:10:26</t>
  </si>
  <si>
    <t>Виталия Середенко</t>
  </si>
  <si>
    <t>seredenkovitalia61@gmail.com</t>
  </si>
  <si>
    <t>2022-05-28 22:23:40</t>
  </si>
  <si>
    <t>Елена Белкина</t>
  </si>
  <si>
    <t>belkinlena2015@yandex.ru</t>
  </si>
  <si>
    <t>2022-05-28 22:32:13</t>
  </si>
  <si>
    <t>Татьяна Белкина</t>
  </si>
  <si>
    <t>bandrianov@yandex.ru</t>
  </si>
  <si>
    <t>2022-05-28 22:37:36</t>
  </si>
  <si>
    <t>Натали Сагив</t>
  </si>
  <si>
    <t>Sagivnatali2017@yandex.com</t>
  </si>
  <si>
    <t>2022-05-28 23:16:39</t>
  </si>
  <si>
    <t>Olesia Salnikova</t>
  </si>
  <si>
    <t>Zajchonok@inbox.ru</t>
  </si>
  <si>
    <t>2022-05-28 23:36:05</t>
  </si>
  <si>
    <t>Юлия Болотина</t>
  </si>
  <si>
    <t>Malishok2607@mail.ru</t>
  </si>
  <si>
    <t>2022-05-29 00:33:13</t>
  </si>
  <si>
    <t>Николай Козырин</t>
  </si>
  <si>
    <t>Nikas_@mail.ru</t>
  </si>
  <si>
    <t>2022-05-29 02:17:34</t>
  </si>
  <si>
    <t>Татьяна Лаврентьева</t>
  </si>
  <si>
    <t>Madam.lawrentjewa2013@yandex.ru</t>
  </si>
  <si>
    <t>2022-05-29 02:44:23</t>
  </si>
  <si>
    <t>Ольга Захарова</t>
  </si>
  <si>
    <t>Olia777_06@mail.ru</t>
  </si>
  <si>
    <t>2022-05-29 02:53:48</t>
  </si>
  <si>
    <t>Ирина Ашуркова</t>
  </si>
  <si>
    <t>balirinka306@gmail.com</t>
  </si>
  <si>
    <t>2022-05-29 04:17:56</t>
  </si>
  <si>
    <t>Анара Раис</t>
  </si>
  <si>
    <t>rais_anara@mail.ru</t>
  </si>
  <si>
    <t>2022-05-29 04:18:48</t>
  </si>
  <si>
    <t>Дарья Бутина</t>
  </si>
  <si>
    <t>darya.rubleva2013@yandex.ru</t>
  </si>
  <si>
    <t>2022-05-29 04:53:24</t>
  </si>
  <si>
    <t>С С</t>
  </si>
  <si>
    <t>Said76@internet.ru</t>
  </si>
  <si>
    <t>2022-05-29 07:32:42</t>
  </si>
  <si>
    <t>Андрей Санников</t>
  </si>
  <si>
    <t>aspect-15@yandex.ru</t>
  </si>
  <si>
    <t>2022-05-29 07:41:05</t>
  </si>
  <si>
    <t>Ольга Ширшова</t>
  </si>
  <si>
    <t>shirshova.25_78@mail.ru</t>
  </si>
  <si>
    <t>+79231135170</t>
  </si>
  <si>
    <t>2022-05-29 07:41:52</t>
  </si>
  <si>
    <t>Olga Rossikhina</t>
  </si>
  <si>
    <t>rossikhina@mail.ru</t>
  </si>
  <si>
    <t>2022-05-29 08:37:30</t>
  </si>
  <si>
    <t>Лязат Нусупбекова</t>
  </si>
  <si>
    <t>miss_liza_best@mail.ru</t>
  </si>
  <si>
    <t>2022-05-29 09:12:10</t>
  </si>
  <si>
    <t>Надежда Шулепина</t>
  </si>
  <si>
    <t>nv.shulepina@yandex.ru</t>
  </si>
  <si>
    <t>2022-05-29 09:13:02</t>
  </si>
  <si>
    <t>Айнура Абсалямова</t>
  </si>
  <si>
    <t>luchik6891@mail.ru</t>
  </si>
  <si>
    <t>2022-05-29 09:16:06</t>
  </si>
  <si>
    <t>Ксения Беляева</t>
  </si>
  <si>
    <t>kb145450@gmail.com</t>
  </si>
  <si>
    <t>2022-05-29 11:00:22</t>
  </si>
  <si>
    <t>Елена Смирнова</t>
  </si>
  <si>
    <t>e.cem79@mail.ru</t>
  </si>
  <si>
    <t>2022-05-29 12:13:48</t>
  </si>
  <si>
    <t>Дора Егорова</t>
  </si>
  <si>
    <t>edorae@mail.ru</t>
  </si>
  <si>
    <t>+79142902225</t>
  </si>
  <si>
    <t>2022-05-29 12:42:10</t>
  </si>
  <si>
    <t>Анна Лалетина</t>
  </si>
  <si>
    <t>anyavorobyeva@icloud.com</t>
  </si>
  <si>
    <t>2022-05-29 13:40:55</t>
  </si>
  <si>
    <t>Alişa Abil</t>
  </si>
  <si>
    <t>abilaliya4@gmail.com</t>
  </si>
  <si>
    <t>2022-05-29 15:30:46</t>
  </si>
  <si>
    <t>Soliha Musaeva</t>
  </si>
  <si>
    <t>Pirlanta77pantera@gmail.com</t>
  </si>
  <si>
    <t>2022-05-29 16:16:41</t>
  </si>
  <si>
    <t>Adiya A</t>
  </si>
  <si>
    <t>adiusha07@mail.ru</t>
  </si>
  <si>
    <t>2022-05-29 20:19:08</t>
  </si>
  <si>
    <t>Елена Королькова</t>
  </si>
  <si>
    <t>lenochka-2740@mail.ru</t>
  </si>
  <si>
    <t>2022-05-29 20:27:25</t>
  </si>
  <si>
    <t>Баян Егемберди</t>
  </si>
  <si>
    <t>bayanahmet00@mail.ru</t>
  </si>
  <si>
    <t>2022-05-29 20:42:41</t>
  </si>
  <si>
    <t>Алия Канапьянова</t>
  </si>
  <si>
    <t>ganym1978@gmail.com</t>
  </si>
  <si>
    <t>2022-05-29 20:55:03</t>
  </si>
  <si>
    <t>Семён Посканной</t>
  </si>
  <si>
    <t>sposkannoy0@mail.ru</t>
  </si>
  <si>
    <t>2022-05-29 21:11:01</t>
  </si>
  <si>
    <t>Елена Любина</t>
  </si>
  <si>
    <t>dolganova_elena17@mail.ru</t>
  </si>
  <si>
    <t>2022-05-29 21:33:38</t>
  </si>
  <si>
    <t>Гаухар Нагимова</t>
  </si>
  <si>
    <t>gauhar.nagimova@mail.ru</t>
  </si>
  <si>
    <t>2022-05-29 21:48:36</t>
  </si>
  <si>
    <t>Надежда Титаренко</t>
  </si>
  <si>
    <t>ColeNa1@rambler.ru</t>
  </si>
  <si>
    <t>2022-05-30 01:45:17</t>
  </si>
  <si>
    <t>2022-05-30 06:59:25</t>
  </si>
  <si>
    <t>Алуа Садуакасова</t>
  </si>
  <si>
    <t>Mudzhaeva_ainura@mail.ru</t>
  </si>
  <si>
    <t>2022-05-30 08:02:44</t>
  </si>
  <si>
    <t>Елена Вахрушев</t>
  </si>
  <si>
    <t>elena01.06@mail.ru</t>
  </si>
  <si>
    <t>2022-05-30 08:11:25</t>
  </si>
  <si>
    <t>Костя Константинович</t>
  </si>
  <si>
    <t>julius_cesar@mail.ru</t>
  </si>
  <si>
    <t>+972547645678</t>
  </si>
  <si>
    <t>2022-05-30 08:18:06</t>
  </si>
  <si>
    <t>Анастасия Ганзвинд</t>
  </si>
  <si>
    <t>anastasiaganzvind97@gmail.com</t>
  </si>
  <si>
    <t>2022-05-30 08:19:23</t>
  </si>
  <si>
    <t>Алена Зайцева</t>
  </si>
  <si>
    <t>lenel.kis@yandex.ru</t>
  </si>
  <si>
    <t>2022-05-30 09:56:08</t>
  </si>
  <si>
    <t>Елена Пазюра</t>
  </si>
  <si>
    <t>Paziuraelena@gmail.com</t>
  </si>
  <si>
    <t>+79147760306</t>
  </si>
  <si>
    <t>2022-05-30 13:01:14</t>
  </si>
  <si>
    <t>Илья</t>
  </si>
  <si>
    <t>Prioritet@bk.ru</t>
  </si>
  <si>
    <t>+79284192686</t>
  </si>
  <si>
    <t>2022-05-30 13:53:01</t>
  </si>
  <si>
    <t>Лариса Ковалева</t>
  </si>
  <si>
    <t>lora_kovaleva@inbox.ru</t>
  </si>
  <si>
    <t>2022-05-30 16:38:05</t>
  </si>
  <si>
    <t>Анна Миронова</t>
  </si>
  <si>
    <t>Linelive92@mail.ru</t>
  </si>
  <si>
    <t>2022-05-30 17:08:48</t>
  </si>
  <si>
    <t>saboxat juraeva</t>
  </si>
  <si>
    <t>cklovekpauk@gmail.com</t>
  </si>
  <si>
    <t>2022-05-30 17:15:41</t>
  </si>
  <si>
    <t>Анна Волкова</t>
  </si>
  <si>
    <t>sabertoothediceax@gmail.com</t>
  </si>
  <si>
    <t>2022-05-30 17:45:47</t>
  </si>
  <si>
    <t>2022-05-30 18:03:57</t>
  </si>
  <si>
    <t>Милана Цыбулькина</t>
  </si>
  <si>
    <t>Milanacybulkina84@gmail.com</t>
  </si>
  <si>
    <t>2022-05-30 18:24:23</t>
  </si>
  <si>
    <t>Ирина Стычева</t>
  </si>
  <si>
    <t>Istycheva@yandex.ru</t>
  </si>
  <si>
    <t>+79891659239</t>
  </si>
  <si>
    <t>2022-05-30 18:51:43</t>
  </si>
  <si>
    <t>Александра Яковлева</t>
  </si>
  <si>
    <t>Sasha-Oat@mail.ru</t>
  </si>
  <si>
    <t>2022-05-30 20:29:37</t>
  </si>
  <si>
    <t>Елена Силютина</t>
  </si>
  <si>
    <t>Phontan@rambler.ru</t>
  </si>
  <si>
    <t>2022-05-30 21:17:05</t>
  </si>
  <si>
    <t>Наталья Шипилова</t>
  </si>
  <si>
    <t>ms.nataly.77@mail.ru</t>
  </si>
  <si>
    <t>2022-05-30 22:23:35</t>
  </si>
  <si>
    <t>Владислав Кичура</t>
  </si>
  <si>
    <t>Varxanter@gmail.com</t>
  </si>
  <si>
    <t>+79144096186</t>
  </si>
  <si>
    <t>2022-05-31 04:43:49</t>
  </si>
  <si>
    <t>Екатерина Чуфистова</t>
  </si>
  <si>
    <t>Katerina.chu@gmail.com</t>
  </si>
  <si>
    <t>2022-05-31 11:21:37</t>
  </si>
  <si>
    <t>Lyudmila Savon</t>
  </si>
  <si>
    <t>milsa887755@gmail.com</t>
  </si>
  <si>
    <t>2022-05-31 12:48:04</t>
  </si>
  <si>
    <t>2022-05-31 13:05:22</t>
  </si>
  <si>
    <t>Татьяна Николаевна</t>
  </si>
  <si>
    <t>dubovicova01@gmail.com</t>
  </si>
  <si>
    <t>Victoria Kotova</t>
  </si>
  <si>
    <t>vikikot@gmail.com</t>
  </si>
  <si>
    <t>2022-05-31 14:18:37</t>
  </si>
  <si>
    <t>Светлана Шарифуллина</t>
  </si>
  <si>
    <t>Svetlana-air71@mail.ru</t>
  </si>
  <si>
    <t>2022-05-31 15:50:34</t>
  </si>
  <si>
    <t>Lee Life</t>
  </si>
  <si>
    <t>alinadolgopolov28@gmail.com</t>
  </si>
  <si>
    <t>2022-05-31 17:07:27</t>
  </si>
  <si>
    <t>Полина Гольдштейн</t>
  </si>
  <si>
    <t>Polina.loginova@bk.ru</t>
  </si>
  <si>
    <t>2022-05-31 18:06:10</t>
  </si>
  <si>
    <t>2022-05-31 18:09:10</t>
  </si>
  <si>
    <t>Венера Фелиз</t>
  </si>
  <si>
    <t>Venerafeliz@gmail.com</t>
  </si>
  <si>
    <t>2022-05-31 19:12:50</t>
  </si>
  <si>
    <t>Алексей Чураков</t>
  </si>
  <si>
    <t>alexej.maill@yandex.ru</t>
  </si>
  <si>
    <t>2022-05-31 22:21:21</t>
  </si>
  <si>
    <t>id</t>
  </si>
  <si>
    <t>Имя</t>
  </si>
  <si>
    <t>Фамилия</t>
  </si>
  <si>
    <t>Дата рождения</t>
  </si>
  <si>
    <t>Возраст</t>
  </si>
  <si>
    <t>Город</t>
  </si>
  <si>
    <t>top2</t>
  </si>
  <si>
    <t>Antiego</t>
  </si>
  <si>
    <t>top</t>
  </si>
  <si>
    <t>retrit_gorod</t>
  </si>
  <si>
    <t>retrit_dom</t>
  </si>
  <si>
    <t>retrit_vyezdnoy</t>
  </si>
  <si>
    <t>obuchenie_v_DSH</t>
  </si>
  <si>
    <t>Intensiv</t>
  </si>
  <si>
    <t>Nichego</t>
  </si>
  <si>
    <t>НАДЯ</t>
  </si>
  <si>
    <t>РОТА</t>
  </si>
  <si>
    <t>nadia@rotanet.com</t>
  </si>
  <si>
    <t>США</t>
  </si>
  <si>
    <t>Palo Alto</t>
  </si>
  <si>
    <t>@nadiarota</t>
  </si>
  <si>
    <t>Продолжаю обучение в сообществе Друзья</t>
  </si>
  <si>
    <t>Anna</t>
  </si>
  <si>
    <t>Русановская</t>
  </si>
  <si>
    <t>Россия</t>
  </si>
  <si>
    <t>Москва</t>
  </si>
  <si>
    <t>@rusanovskaya_anna</t>
  </si>
  <si>
    <t>АнтиЭго или Онлайн клуб</t>
  </si>
  <si>
    <t>Погружение  (бывший ТОП)</t>
  </si>
  <si>
    <t>Ретрит городской</t>
  </si>
  <si>
    <t>Ретрит домашний</t>
  </si>
  <si>
    <t>Ретрит выездной</t>
  </si>
  <si>
    <t>Наталия</t>
  </si>
  <si>
    <t>Кобелева</t>
  </si>
  <si>
    <t>Ростов-на-Дону</t>
  </si>
  <si>
    <t>@Natashine88</t>
  </si>
  <si>
    <t>Шаг к Пробуждению</t>
  </si>
  <si>
    <t>ВЛАДИМИР</t>
  </si>
  <si>
    <t>ЗИНЬКОВСКИЙ</t>
  </si>
  <si>
    <t>Израиль</t>
  </si>
  <si>
    <t>Тель-Авив</t>
  </si>
  <si>
    <t>ДАНИЛ</t>
  </si>
  <si>
    <t>БОЧКАРЁВ</t>
  </si>
  <si>
    <t>Германия</t>
  </si>
  <si>
    <t>Берлин</t>
  </si>
  <si>
    <t>@DanilBerlin</t>
  </si>
  <si>
    <t>Александр</t>
  </si>
  <si>
    <t>Малашевский</t>
  </si>
  <si>
    <t>Франкфурт-на-Майне</t>
  </si>
  <si>
    <t>Ярослав</t>
  </si>
  <si>
    <t>Мусланов</t>
  </si>
  <si>
    <t>Сочи</t>
  </si>
  <si>
    <t>ТАТЬЯНА</t>
  </si>
  <si>
    <t>БЕЛОУС</t>
  </si>
  <si>
    <t>Израиль Молдавия</t>
  </si>
  <si>
    <t>Тел-Авив (работа) Кишинев (живу)</t>
  </si>
  <si>
    <t>@Tania1965Moldova</t>
  </si>
  <si>
    <t>Андрей</t>
  </si>
  <si>
    <t>Ан</t>
  </si>
  <si>
    <t>Южная Корея</t>
  </si>
  <si>
    <t>Сеул</t>
  </si>
  <si>
    <t>НАТАЛЬЯ</t>
  </si>
  <si>
    <t>МИРОНЮК</t>
  </si>
  <si>
    <t>@nvm</t>
  </si>
  <si>
    <t>Рудавина</t>
  </si>
  <si>
    <t>Владивосток</t>
  </si>
  <si>
    <t>Елена</t>
  </si>
  <si>
    <t>Кутусова</t>
  </si>
  <si>
    <t>Санкт-Петербург</t>
  </si>
  <si>
    <t>Lydia</t>
  </si>
  <si>
    <t>Gorstein</t>
  </si>
  <si>
    <t>ЕЛЕНА</t>
  </si>
  <si>
    <t>ПЕРМИНОВА</t>
  </si>
  <si>
    <t>Япония</t>
  </si>
  <si>
    <t>Краснодар</t>
  </si>
  <si>
    <t>@YlenaPerminova</t>
  </si>
  <si>
    <t>Ильдар</t>
  </si>
  <si>
    <t>Гибадуллин</t>
  </si>
  <si>
    <t>Moskov</t>
  </si>
  <si>
    <t>@ildarsvet</t>
  </si>
  <si>
    <t>ВЯЧЕСЛАВ</t>
  </si>
  <si>
    <t>ПЛЫШЕВСКИЙ</t>
  </si>
  <si>
    <t>Беларусь</t>
  </si>
  <si>
    <t>Гродно</t>
  </si>
  <si>
    <t>@Slavapls</t>
  </si>
  <si>
    <t>АЛЕКСАНДР</t>
  </si>
  <si>
    <t>ВЕЛИЧКО</t>
  </si>
  <si>
    <t>Волгоград</t>
  </si>
  <si>
    <t>@fenix2027</t>
  </si>
  <si>
    <t>Роман</t>
  </si>
  <si>
    <t>Пак</t>
  </si>
  <si>
    <t>ХИЖНЯК</t>
  </si>
  <si>
    <t>Партизанск</t>
  </si>
  <si>
    <t>@Tatyana_Hizhnyak</t>
  </si>
  <si>
    <t>Анастасия</t>
  </si>
  <si>
    <t>Доценко</t>
  </si>
  <si>
    <t>1985-06-11</t>
  </si>
  <si>
    <t>Лондон</t>
  </si>
  <si>
    <t>Nastenka1106</t>
  </si>
  <si>
    <t>Пинчук</t>
  </si>
  <si>
    <t>1977-06-05</t>
  </si>
  <si>
    <t>Казахстан</t>
  </si>
  <si>
    <t>Нур-Султан</t>
  </si>
  <si>
    <t>ДАРЬЯ</t>
  </si>
  <si>
    <t>ФУРСЕНКО</t>
  </si>
  <si>
    <t>г.Москва и Московская область</t>
  </si>
  <si>
    <t>Darygrim</t>
  </si>
  <si>
    <t>СЕРГЕЙ</t>
  </si>
  <si>
    <t>ВАСИЛЬЕВ</t>
  </si>
  <si>
    <t>1970-05-24</t>
  </si>
  <si>
    <t>Чебоксары</t>
  </si>
  <si>
    <t>@sergei_nv</t>
  </si>
  <si>
    <t>Антон</t>
  </si>
  <si>
    <t>Анучин</t>
  </si>
  <si>
    <t>Калининград2</t>
  </si>
  <si>
    <t>@k00mar</t>
  </si>
  <si>
    <t>ВАСИЛИЙ</t>
  </si>
  <si>
    <t>КАРАЖЕЛЯСКОВ</t>
  </si>
  <si>
    <t>Лобня</t>
  </si>
  <si>
    <t xml:space="preserve">@karazhelyaskov </t>
  </si>
  <si>
    <t>Оля</t>
  </si>
  <si>
    <t>Федотова</t>
  </si>
  <si>
    <t>Эстония</t>
  </si>
  <si>
    <t>Таллин</t>
  </si>
  <si>
    <t>ЯРОСЛАВ</t>
  </si>
  <si>
    <t>КОВАЛЬЧУК</t>
  </si>
  <si>
    <t>1987-09-10</t>
  </si>
  <si>
    <t>Украина</t>
  </si>
  <si>
    <t>Винница</t>
  </si>
  <si>
    <t>@yarik0s</t>
  </si>
  <si>
    <t>Федосеева</t>
  </si>
  <si>
    <t>1970-05-09</t>
  </si>
  <si>
    <t>Одесса</t>
  </si>
  <si>
    <t>@fedoseevairina</t>
  </si>
  <si>
    <t>нина</t>
  </si>
  <si>
    <t>Яковлева</t>
  </si>
  <si>
    <t>Новосибирск</t>
  </si>
  <si>
    <t>Владимир</t>
  </si>
  <si>
    <t>Захаров</t>
  </si>
  <si>
    <t>Денис</t>
  </si>
  <si>
    <t>Полозенко</t>
  </si>
  <si>
    <t>Алматы</t>
  </si>
  <si>
    <t>-</t>
  </si>
  <si>
    <t>Оксана</t>
  </si>
  <si>
    <t>Самарская</t>
  </si>
  <si>
    <t>1973-11-09</t>
  </si>
  <si>
    <t>Макеевка</t>
  </si>
  <si>
    <t>@Oksana_Samarskaya</t>
  </si>
  <si>
    <t>Лилия</t>
  </si>
  <si>
    <t>Сабирова</t>
  </si>
  <si>
    <t>Азнакаево</t>
  </si>
  <si>
    <t>Парфенова</t>
  </si>
  <si>
    <t>1956-11-22</t>
  </si>
  <si>
    <t>Самара</t>
  </si>
  <si>
    <t>Мельниченко</t>
  </si>
  <si>
    <t>Murmansk</t>
  </si>
  <si>
    <t>Синюкова</t>
  </si>
  <si>
    <t>1983-10-16</t>
  </si>
  <si>
    <t>Португалия</t>
  </si>
  <si>
    <t>Албуфейра</t>
  </si>
  <si>
    <t>@oceanikka</t>
  </si>
  <si>
    <t>Виталий</t>
  </si>
  <si>
    <t>Ветлугин</t>
  </si>
  <si>
    <t>Обухов</t>
  </si>
  <si>
    <t>Наталья</t>
  </si>
  <si>
    <t>Ульянова</t>
  </si>
  <si>
    <t>роман</t>
  </si>
  <si>
    <t>Белдиман</t>
  </si>
  <si>
    <t>1972-10-06</t>
  </si>
  <si>
    <t>Молдавия</t>
  </si>
  <si>
    <t>кишинев</t>
  </si>
  <si>
    <t>Николай</t>
  </si>
  <si>
    <t>Череасов</t>
  </si>
  <si>
    <t>1959-01-05</t>
  </si>
  <si>
    <t>россия</t>
  </si>
  <si>
    <t>город краснокамск пермский край</t>
  </si>
  <si>
    <t>Мастафанова</t>
  </si>
  <si>
    <t>Петрозаводск</t>
  </si>
  <si>
    <t>zaharov@givinschool.org</t>
  </si>
  <si>
    <t>р.п. Ордынское</t>
  </si>
  <si>
    <t>@Zakharov_Vladimir94</t>
  </si>
  <si>
    <t>Василий</t>
  </si>
  <si>
    <t>Капустин</t>
  </si>
  <si>
    <t>1984-10-08</t>
  </si>
  <si>
    <t>Санкт Петербург</t>
  </si>
  <si>
    <t>Дмитрий</t>
  </si>
  <si>
    <t>Зерко</t>
  </si>
  <si>
    <t>2000-11-21</t>
  </si>
  <si>
    <t>ПУРВИНА</t>
  </si>
  <si>
    <t>1974-12-12</t>
  </si>
  <si>
    <t>@Tatiana12124</t>
  </si>
  <si>
    <t>Кравченко</t>
  </si>
  <si>
    <t>1995-11-14</t>
  </si>
  <si>
    <t>Алдан</t>
  </si>
  <si>
    <t>Димитрий</t>
  </si>
  <si>
    <t>Вагнер</t>
  </si>
  <si>
    <t>1974-09-16</t>
  </si>
  <si>
    <t>Дюссельдорф</t>
  </si>
  <si>
    <t>Валентина</t>
  </si>
  <si>
    <t>Мещанова</t>
  </si>
  <si>
    <t>Ульяновск</t>
  </si>
  <si>
    <t>Михаил</t>
  </si>
  <si>
    <t>Лебедев</t>
  </si>
  <si>
    <t>Индонезия</t>
  </si>
  <si>
    <t>@mihey_lebedev</t>
  </si>
  <si>
    <t>Гулидова</t>
  </si>
  <si>
    <t>Walerij</t>
  </si>
  <si>
    <t>Walerij Poleonow</t>
  </si>
  <si>
    <t>1970-01-11</t>
  </si>
  <si>
    <t>Germany</t>
  </si>
  <si>
    <t>Plön</t>
  </si>
  <si>
    <t>Pole</t>
  </si>
  <si>
    <t>ОЛЬГА</t>
  </si>
  <si>
    <t>КОРОЛЕВА</t>
  </si>
  <si>
    <t>olaolala76@mail.ru</t>
  </si>
  <si>
    <t>1973-03-21</t>
  </si>
  <si>
    <t>РФ</t>
  </si>
  <si>
    <t>@KOLE4KO</t>
  </si>
  <si>
    <t>Булатов</t>
  </si>
  <si>
    <t>Ildar_Bulatov</t>
  </si>
  <si>
    <t>НАТАЛИ</t>
  </si>
  <si>
    <t>САРТС</t>
  </si>
  <si>
    <t>Ireland</t>
  </si>
  <si>
    <t>Cork</t>
  </si>
  <si>
    <t>@sartanata</t>
  </si>
  <si>
    <t>Екатерина</t>
  </si>
  <si>
    <t>Соснина</t>
  </si>
  <si>
    <t>sosnina@givinschool.org</t>
  </si>
  <si>
    <t>@KaterinaSosnina</t>
  </si>
  <si>
    <t>Нина</t>
  </si>
  <si>
    <t>Маркова</t>
  </si>
  <si>
    <t>markova_nina@givinschool.org</t>
  </si>
  <si>
    <t>+359879105108</t>
  </si>
  <si>
    <t>Надежда</t>
  </si>
  <si>
    <t>Джаннитти</t>
  </si>
  <si>
    <t>giannitti@givinschool.org</t>
  </si>
  <si>
    <t>@giannittinadia</t>
  </si>
  <si>
    <t>Мищенко</t>
  </si>
  <si>
    <t>1951-08-12</t>
  </si>
  <si>
    <t>станица Калининская  Краснодарский край</t>
  </si>
  <si>
    <t>валентина</t>
  </si>
  <si>
    <t>Балакина</t>
  </si>
  <si>
    <t>1948-08-20</t>
  </si>
  <si>
    <t>Мечислав</t>
  </si>
  <si>
    <t>Романовски</t>
  </si>
  <si>
    <t>2023-09-27</t>
  </si>
  <si>
    <t>Литва</t>
  </si>
  <si>
    <t>Вильнюс</t>
  </si>
  <si>
    <t>Дубовик</t>
  </si>
  <si>
    <t xml:space="preserve">Минск </t>
  </si>
  <si>
    <t>Алексей</t>
  </si>
  <si>
    <t>Лузганов</t>
  </si>
  <si>
    <t>Десногорск</t>
  </si>
  <si>
    <t>Вероника</t>
  </si>
  <si>
    <t>Ворожбит</t>
  </si>
  <si>
    <t>1984-02-26</t>
  </si>
  <si>
    <t>Лубны</t>
  </si>
  <si>
    <t>nika_vysh</t>
  </si>
  <si>
    <t>Мила</t>
  </si>
  <si>
    <t>Прилепина</t>
  </si>
  <si>
    <t>Батарин</t>
  </si>
  <si>
    <t>1985-01-08</t>
  </si>
  <si>
    <t>Серпухов</t>
  </si>
  <si>
    <t>Кучинский</t>
  </si>
  <si>
    <t>1975-11-04</t>
  </si>
  <si>
    <t>Minsk</t>
  </si>
  <si>
    <t>@zubrania</t>
  </si>
  <si>
    <t>Артём</t>
  </si>
  <si>
    <t>Ершов</t>
  </si>
  <si>
    <t>@ShivArtOum</t>
  </si>
  <si>
    <t>Дарья</t>
  </si>
  <si>
    <t>Дубовская</t>
  </si>
  <si>
    <t>Минск</t>
  </si>
  <si>
    <t>Мутина</t>
  </si>
  <si>
    <t>Екатеринбург</t>
  </si>
  <si>
    <t>Тете</t>
  </si>
  <si>
    <t>1987-06-02</t>
  </si>
  <si>
    <t>Дущенко</t>
  </si>
  <si>
    <t>Фунтова</t>
  </si>
  <si>
    <t>1987-01-11</t>
  </si>
  <si>
    <t xml:space="preserve">Сызрань </t>
  </si>
  <si>
    <t>Коровина</t>
  </si>
  <si>
    <t>1949-04-20</t>
  </si>
  <si>
    <t>Каменск-Уральский</t>
  </si>
  <si>
    <t>Гульнара</t>
  </si>
  <si>
    <t>Нигматуллина</t>
  </si>
  <si>
    <t>Актобе</t>
  </si>
  <si>
    <t>ЕКАТЕРИНА</t>
  </si>
  <si>
    <t>МОКРЕЦОВА</t>
  </si>
  <si>
    <t>1966-02-21</t>
  </si>
  <si>
    <t>@katrinrenz</t>
  </si>
  <si>
    <t>Светлана</t>
  </si>
  <si>
    <t>Павленко</t>
  </si>
  <si>
    <t>Яблонская</t>
  </si>
  <si>
    <t>Сергей</t>
  </si>
  <si>
    <t>Денисенко</t>
  </si>
  <si>
    <t>1963-06-20</t>
  </si>
  <si>
    <t>Красноярск</t>
  </si>
  <si>
    <t>Олег</t>
  </si>
  <si>
    <t>Каблучный</t>
  </si>
  <si>
    <t>1972-03-30</t>
  </si>
  <si>
    <t>Челябинск</t>
  </si>
  <si>
    <t>Sedykh</t>
  </si>
  <si>
    <t>Izmail</t>
  </si>
  <si>
    <t>Жанна</t>
  </si>
  <si>
    <t>Мелис</t>
  </si>
  <si>
    <t>Мануйлова</t>
  </si>
  <si>
    <t>Калининград</t>
  </si>
  <si>
    <t>Руслан</t>
  </si>
  <si>
    <t>Заболотец</t>
  </si>
  <si>
    <t>1979-07-19</t>
  </si>
  <si>
    <t>@zabolotrus</t>
  </si>
  <si>
    <t>Вячеслав</t>
  </si>
  <si>
    <t>Тимофеев</t>
  </si>
  <si>
    <t>1958-03-05</t>
  </si>
  <si>
    <t>Петрова</t>
  </si>
  <si>
    <t>Пермский край, Березники</t>
  </si>
  <si>
    <t>ДЕНИС</t>
  </si>
  <si>
    <t>МОРГУНОВ</t>
  </si>
  <si>
    <t>1998-08-05</t>
  </si>
  <si>
    <t>Таллинн</t>
  </si>
  <si>
    <t>@d_mrgunov</t>
  </si>
  <si>
    <t>Ушакова</t>
  </si>
  <si>
    <t>Узбекистан</t>
  </si>
  <si>
    <t>Ташкент</t>
  </si>
  <si>
    <t>Валерия</t>
  </si>
  <si>
    <t>Артемьева</t>
  </si>
  <si>
    <t>Нижний Новгород</t>
  </si>
  <si>
    <t>@valeryartem</t>
  </si>
  <si>
    <t>Арина</t>
  </si>
  <si>
    <t>Баранова</t>
  </si>
  <si>
    <t>Италия</t>
  </si>
  <si>
    <t>Удине</t>
  </si>
  <si>
    <t>Arina_spb</t>
  </si>
  <si>
    <t>Войткевич</t>
  </si>
  <si>
    <t>1981-01-01</t>
  </si>
  <si>
    <t>Покров</t>
  </si>
  <si>
    <t>Рина</t>
  </si>
  <si>
    <t>Лисица</t>
  </si>
  <si>
    <t>Татьяна</t>
  </si>
  <si>
    <t>Проскурина</t>
  </si>
  <si>
    <t>Ващенко</t>
  </si>
  <si>
    <t>1983-07-31</t>
  </si>
  <si>
    <t>Оренбург</t>
  </si>
  <si>
    <t>николай</t>
  </si>
  <si>
    <t>звягин</t>
  </si>
  <si>
    <t>Ставрополь</t>
  </si>
  <si>
    <t>ХРЕНОВА</t>
  </si>
  <si>
    <t>1966-01-19</t>
  </si>
  <si>
    <t>Пушкино</t>
  </si>
  <si>
    <t>Нафиса</t>
  </si>
  <si>
    <t>Рисбаева</t>
  </si>
  <si>
    <t>Узбекистан г.Гулистан</t>
  </si>
  <si>
    <t>Nafis_love369</t>
  </si>
  <si>
    <t>Nelli</t>
  </si>
  <si>
    <t>Taylor</t>
  </si>
  <si>
    <t>Speyer</t>
  </si>
  <si>
    <t>@Nelli8</t>
  </si>
  <si>
    <t>Белянина</t>
  </si>
  <si>
    <t>Пермь</t>
  </si>
  <si>
    <t>Пётр</t>
  </si>
  <si>
    <t>Проц</t>
  </si>
  <si>
    <t>1978-07-07</t>
  </si>
  <si>
    <t>Бонн</t>
  </si>
  <si>
    <t>@koktejlj</t>
  </si>
  <si>
    <t>Грачёв</t>
  </si>
  <si>
    <t>москва</t>
  </si>
  <si>
    <t>Грэзвик</t>
  </si>
  <si>
    <t>1963-05-20</t>
  </si>
  <si>
    <t>Швеция</t>
  </si>
  <si>
    <t xml:space="preserve">Кируна </t>
  </si>
  <si>
    <t>Жиленко</t>
  </si>
  <si>
    <t xml:space="preserve">Ростов-на-дону </t>
  </si>
  <si>
    <t>Roman</t>
  </si>
  <si>
    <t>Антуан</t>
  </si>
  <si>
    <t>Дибан</t>
  </si>
  <si>
    <t>1980-10-27</t>
  </si>
  <si>
    <t>Краснодар г</t>
  </si>
  <si>
    <t>+79676577020</t>
  </si>
  <si>
    <t>Mirosław</t>
  </si>
  <si>
    <t>Białecki</t>
  </si>
  <si>
    <t>1971-02-26</t>
  </si>
  <si>
    <t>Польша</t>
  </si>
  <si>
    <t>Wrocław</t>
  </si>
  <si>
    <t>Черноскутова</t>
  </si>
  <si>
    <t>1962-01-26</t>
  </si>
  <si>
    <t>Бразовская</t>
  </si>
  <si>
    <t>@brazovskaya</t>
  </si>
  <si>
    <t>Белобородов</t>
  </si>
  <si>
    <t>Юлиана</t>
  </si>
  <si>
    <t>Кемичиджиева</t>
  </si>
  <si>
    <t xml:space="preserve">Ростов-на-Дону </t>
  </si>
  <si>
    <t>Ираида</t>
  </si>
  <si>
    <t>Юдичева</t>
  </si>
  <si>
    <t>Ростов на Дону</t>
  </si>
  <si>
    <t>Кулишова</t>
  </si>
  <si>
    <t>Саратов</t>
  </si>
  <si>
    <t>Волгина</t>
  </si>
  <si>
    <t xml:space="preserve">Санкт-Петербург </t>
  </si>
  <si>
    <t>Валерий</t>
  </si>
  <si>
    <t>Попеску</t>
  </si>
  <si>
    <t>2020-05-22</t>
  </si>
  <si>
    <t>Молдова</t>
  </si>
  <si>
    <t>Кишинев</t>
  </si>
  <si>
    <t>@ValeriiPopesku</t>
  </si>
  <si>
    <t>Балашов</t>
  </si>
  <si>
    <t>1972-11-28</t>
  </si>
  <si>
    <t>Испания</t>
  </si>
  <si>
    <t xml:space="preserve">Barcelona </t>
  </si>
  <si>
    <t>Моджиевская</t>
  </si>
  <si>
    <t>Вилькицкая</t>
  </si>
  <si>
    <t>Бельгия</t>
  </si>
  <si>
    <t>Gent</t>
  </si>
  <si>
    <t>Ч</t>
  </si>
  <si>
    <t>Дима</t>
  </si>
  <si>
    <t>Черногор</t>
  </si>
  <si>
    <t>Пузравина</t>
  </si>
  <si>
    <t>1965-10-10</t>
  </si>
  <si>
    <t>Латвия</t>
  </si>
  <si>
    <t>Рига</t>
  </si>
  <si>
    <t>Ефимова</t>
  </si>
  <si>
    <t>Псковская область</t>
  </si>
  <si>
    <t>Levan</t>
  </si>
  <si>
    <t>Arsenishvili</t>
  </si>
  <si>
    <t>1976-07-24</t>
  </si>
  <si>
    <t>Georgia</t>
  </si>
  <si>
    <t>Tbilisi</t>
  </si>
  <si>
    <t>Водолажская</t>
  </si>
  <si>
    <t>Несмелов</t>
  </si>
  <si>
    <t>1980-07-16</t>
  </si>
  <si>
    <t>Asel</t>
  </si>
  <si>
    <t>Алиахмеь</t>
  </si>
  <si>
    <t>Боровикова</t>
  </si>
  <si>
    <t>Daiga</t>
  </si>
  <si>
    <t>Дайга Узбека</t>
  </si>
  <si>
    <t>Ткач</t>
  </si>
  <si>
    <t>1973-09-07</t>
  </si>
  <si>
    <t>Гузель</t>
  </si>
  <si>
    <t>Шарипова</t>
  </si>
  <si>
    <t>Кристина</t>
  </si>
  <si>
    <t>Врещ</t>
  </si>
  <si>
    <t>Юлия</t>
  </si>
  <si>
    <t>Matys</t>
  </si>
  <si>
    <t>Тарасова</t>
  </si>
  <si>
    <t>Египет</t>
  </si>
  <si>
    <t>Каир</t>
  </si>
  <si>
    <t>Leila</t>
  </si>
  <si>
    <t>Letin</t>
  </si>
  <si>
    <t>Мангейм</t>
  </si>
  <si>
    <t>Юра</t>
  </si>
  <si>
    <t>Гурский</t>
  </si>
  <si>
    <t>Бровары</t>
  </si>
  <si>
    <t>Лукашевич</t>
  </si>
  <si>
    <t>Metodi</t>
  </si>
  <si>
    <t>Mantchenko</t>
  </si>
  <si>
    <t>Болгария</t>
  </si>
  <si>
    <t>София</t>
  </si>
  <si>
    <t>Veronica</t>
  </si>
  <si>
    <t>Druta</t>
  </si>
  <si>
    <t>1983-01-16</t>
  </si>
  <si>
    <t>Франция</t>
  </si>
  <si>
    <t>annecy</t>
  </si>
  <si>
    <t>Иван Дрёмин</t>
  </si>
  <si>
    <t>Дремин</t>
  </si>
  <si>
    <t>Marina</t>
  </si>
  <si>
    <t>Barabanova</t>
  </si>
  <si>
    <t>1984-01-28</t>
  </si>
  <si>
    <t>Клайпеда</t>
  </si>
  <si>
    <t>Эрдлей</t>
  </si>
  <si>
    <t>Соломкин</t>
  </si>
  <si>
    <t>Катя</t>
  </si>
  <si>
    <t>Белякова</t>
  </si>
  <si>
    <t>Кононец</t>
  </si>
  <si>
    <t>1966-10-13</t>
  </si>
  <si>
    <t>Константин</t>
  </si>
  <si>
    <t>Дубовцев</t>
  </si>
  <si>
    <t>Волжский</t>
  </si>
  <si>
    <t>Воробьев</t>
  </si>
  <si>
    <t>Дрожжино</t>
  </si>
  <si>
    <t>Евгений</t>
  </si>
  <si>
    <t>Голдобин</t>
  </si>
  <si>
    <t xml:space="preserve">Пермь </t>
  </si>
  <si>
    <t>@EvgeniyGoldobin</t>
  </si>
  <si>
    <t>Добай</t>
  </si>
  <si>
    <t>Haifa</t>
  </si>
  <si>
    <t>Дилорам</t>
  </si>
  <si>
    <t>Гегельман</t>
  </si>
  <si>
    <t>Хильдэн/Германия</t>
  </si>
  <si>
    <t>Феруза</t>
  </si>
  <si>
    <t>Нормамедова</t>
  </si>
  <si>
    <t>Овсянникова</t>
  </si>
  <si>
    <t>Влад</t>
  </si>
  <si>
    <t>Плотников</t>
  </si>
  <si>
    <t>Пахомов</t>
  </si>
  <si>
    <t>Demir</t>
  </si>
  <si>
    <t>Инга</t>
  </si>
  <si>
    <t>Габ</t>
  </si>
  <si>
    <t>Витебск</t>
  </si>
  <si>
    <t>Лена</t>
  </si>
  <si>
    <t>Казакова</t>
  </si>
  <si>
    <t>Жасмин</t>
  </si>
  <si>
    <t>Приступа</t>
  </si>
  <si>
    <t>Республика Карелия</t>
  </si>
  <si>
    <t>Марина</t>
  </si>
  <si>
    <t>Абольник</t>
  </si>
  <si>
    <t>marlen01@mail.ru</t>
  </si>
  <si>
    <t>LaRa</t>
  </si>
  <si>
    <t>Obanina</t>
  </si>
  <si>
    <t>1967-05-05</t>
  </si>
  <si>
    <t>СПб</t>
  </si>
  <si>
    <t>Гапеев</t>
  </si>
  <si>
    <t>Рождественская</t>
  </si>
  <si>
    <t>Панама</t>
  </si>
  <si>
    <t>@sunnybird_507</t>
  </si>
  <si>
    <t>Anja</t>
  </si>
  <si>
    <t>Laugsch</t>
  </si>
  <si>
    <t>Диченко</t>
  </si>
  <si>
    <t>Новокубанск</t>
  </si>
  <si>
    <t>Faleeva</t>
  </si>
  <si>
    <t>Karina</t>
  </si>
  <si>
    <t>Родевич</t>
  </si>
  <si>
    <t>Афанасенкова</t>
  </si>
  <si>
    <t>1972-08-20</t>
  </si>
  <si>
    <t>Санкт - Петербург</t>
  </si>
  <si>
    <t>Неля</t>
  </si>
  <si>
    <t>Неля Камалова</t>
  </si>
  <si>
    <t>1971-04-24</t>
  </si>
  <si>
    <t>Титова</t>
  </si>
  <si>
    <t>Химки</t>
  </si>
  <si>
    <t>Ардак</t>
  </si>
  <si>
    <t>Бейсенова</t>
  </si>
  <si>
    <t>Костанай</t>
  </si>
  <si>
    <t>@ardak_79</t>
  </si>
  <si>
    <t>Китасова</t>
  </si>
  <si>
    <t>Луиза</t>
  </si>
  <si>
    <t>Камалова</t>
  </si>
  <si>
    <t>Республика Башкортостан</t>
  </si>
  <si>
    <t>Альберт</t>
  </si>
  <si>
    <t>Цой</t>
  </si>
  <si>
    <t>1971-01-16</t>
  </si>
  <si>
    <t>Akopyan</t>
  </si>
  <si>
    <t>минск</t>
  </si>
  <si>
    <t>Olga</t>
  </si>
  <si>
    <t>Leis</t>
  </si>
  <si>
    <t>Максим</t>
  </si>
  <si>
    <t>Temnikov</t>
  </si>
  <si>
    <t>1991-11-01</t>
  </si>
  <si>
    <t>Левина</t>
  </si>
  <si>
    <t>ol_ga_levina</t>
  </si>
  <si>
    <t>Марат</t>
  </si>
  <si>
    <t>Брызгин</t>
  </si>
  <si>
    <t>Козлов</t>
  </si>
  <si>
    <t>1970-08-01</t>
  </si>
  <si>
    <t>Рф</t>
  </si>
  <si>
    <t>Виктория</t>
  </si>
  <si>
    <t>Крылова</t>
  </si>
  <si>
    <t>Смоленск</t>
  </si>
  <si>
    <t>Irina</t>
  </si>
  <si>
    <t>Аносова</t>
  </si>
  <si>
    <t>Воронеж</t>
  </si>
  <si>
    <t>Baxitli</t>
  </si>
  <si>
    <t>Asemetdinova</t>
  </si>
  <si>
    <t>1985-10-12</t>
  </si>
  <si>
    <t>Нукус</t>
  </si>
  <si>
    <t>Радик</t>
  </si>
  <si>
    <t>Насыров</t>
  </si>
  <si>
    <t>1968-12-04</t>
  </si>
  <si>
    <t>Уфа</t>
  </si>
  <si>
    <t>Юлианна</t>
  </si>
  <si>
    <t>Кучай</t>
  </si>
  <si>
    <t>Барселона</t>
  </si>
  <si>
    <t>Сиказан</t>
  </si>
  <si>
    <t>1968-04-26</t>
  </si>
  <si>
    <t>@MarinaSikazan</t>
  </si>
  <si>
    <t>Латыпова</t>
  </si>
  <si>
    <t>Саудовская Аравия</t>
  </si>
  <si>
    <t>Гармаш</t>
  </si>
  <si>
    <t>Анна</t>
  </si>
  <si>
    <t>Ростовцева</t>
  </si>
  <si>
    <t>Нидерланды</t>
  </si>
  <si>
    <t xml:space="preserve">Благовещенск </t>
  </si>
  <si>
    <t>Ксения</t>
  </si>
  <si>
    <t>Франтова</t>
  </si>
  <si>
    <t>Безименный</t>
  </si>
  <si>
    <t>Херсон</t>
  </si>
  <si>
    <t>Бузунова</t>
  </si>
  <si>
    <t>Polubatonova</t>
  </si>
  <si>
    <t>1966-05-31</t>
  </si>
  <si>
    <t xml:space="preserve">Казахстан </t>
  </si>
  <si>
    <t>Ситников</t>
  </si>
  <si>
    <t>1984-09-20</t>
  </si>
  <si>
    <t>Кира</t>
  </si>
  <si>
    <t>Лыхман</t>
  </si>
  <si>
    <t>1982-07-19</t>
  </si>
  <si>
    <t>Арслан</t>
  </si>
  <si>
    <t>А</t>
  </si>
  <si>
    <t>Шаталов</t>
  </si>
  <si>
    <t>Шарая</t>
  </si>
  <si>
    <t xml:space="preserve">Тверь </t>
  </si>
  <si>
    <t>@IrenaMirram</t>
  </si>
  <si>
    <t>Кожевников</t>
  </si>
  <si>
    <t>@KozhevnikoV_AN</t>
  </si>
  <si>
    <t>Перизат</t>
  </si>
  <si>
    <t>Отеп</t>
  </si>
  <si>
    <t>Шеломанова</t>
  </si>
  <si>
    <t>Жердевка</t>
  </si>
  <si>
    <t xml:space="preserve">Надежда </t>
  </si>
  <si>
    <t>Дали</t>
  </si>
  <si>
    <t>Айгуль</t>
  </si>
  <si>
    <t>Аязбаева</t>
  </si>
  <si>
    <t>aigul.rumina@mail.ru</t>
  </si>
  <si>
    <t>грабовская</t>
  </si>
  <si>
    <t>olga_grabovska</t>
  </si>
  <si>
    <t>Любовь</t>
  </si>
  <si>
    <t>Занова</t>
  </si>
  <si>
    <t>Ирма</t>
  </si>
  <si>
    <t>Нюшкова</t>
  </si>
  <si>
    <t>Квасова</t>
  </si>
  <si>
    <t>1985-05-18</t>
  </si>
  <si>
    <t>Липецк</t>
  </si>
  <si>
    <t>Лариса</t>
  </si>
  <si>
    <t>Трусевич</t>
  </si>
  <si>
    <t>355931967@mail.ru</t>
  </si>
  <si>
    <t>Trusevich Larisa</t>
  </si>
  <si>
    <t>Viktorija</t>
  </si>
  <si>
    <t>Ginko</t>
  </si>
  <si>
    <t>Зольтау</t>
  </si>
  <si>
    <t>Ruchman</t>
  </si>
  <si>
    <t>Малыш</t>
  </si>
  <si>
    <t>1975-05-18</t>
  </si>
  <si>
    <t>@tbrazovskaya</t>
  </si>
  <si>
    <t>Дина</t>
  </si>
  <si>
    <t>Алфёрова</t>
  </si>
  <si>
    <t>Динара</t>
  </si>
  <si>
    <t>Рахимова</t>
  </si>
  <si>
    <t>test2@tets.ru</t>
  </si>
  <si>
    <t>Кооль</t>
  </si>
  <si>
    <t>Yona</t>
  </si>
  <si>
    <t>Yokay</t>
  </si>
  <si>
    <t>Басуева</t>
  </si>
  <si>
    <t>Республика Казахстан</t>
  </si>
  <si>
    <t>Степногорск</t>
  </si>
  <si>
    <t>Таисия</t>
  </si>
  <si>
    <t>Солодкая</t>
  </si>
  <si>
    <t>Evgeny</t>
  </si>
  <si>
    <t>Kuznetsov</t>
  </si>
  <si>
    <t xml:space="preserve">Москва </t>
  </si>
  <si>
    <t>Долина</t>
  </si>
  <si>
    <t>1977-08-25</t>
  </si>
  <si>
    <t xml:space="preserve">Россия </t>
  </si>
  <si>
    <t>Буденновск</t>
  </si>
  <si>
    <t>Соколянская</t>
  </si>
  <si>
    <t>1982-11-02</t>
  </si>
  <si>
    <t>Пластуновская</t>
  </si>
  <si>
    <t>3559319@mail.ru</t>
  </si>
  <si>
    <t>Михей</t>
  </si>
  <si>
    <t>1981-12-01</t>
  </si>
  <si>
    <t>Сайёра</t>
  </si>
  <si>
    <t>Аллаева</t>
  </si>
  <si>
    <t xml:space="preserve">Узбекистан </t>
  </si>
  <si>
    <t>Васильева</t>
  </si>
  <si>
    <t>1989-08-16</t>
  </si>
  <si>
    <t>Язданова</t>
  </si>
  <si>
    <t>1972-05-31</t>
  </si>
  <si>
    <t>Бурченко</t>
  </si>
  <si>
    <t>Донецк</t>
  </si>
  <si>
    <t>Макеева</t>
  </si>
  <si>
    <t xml:space="preserve">Екатерина Макеева </t>
  </si>
  <si>
    <t>Коршунов</t>
  </si>
  <si>
    <t>1968-08-18</t>
  </si>
  <si>
    <t>Финляндия</t>
  </si>
  <si>
    <t>Хельсинк</t>
  </si>
  <si>
    <t>Голубев</t>
  </si>
  <si>
    <t>1987-03-19</t>
  </si>
  <si>
    <t>Каштанов</t>
  </si>
  <si>
    <t>1966-08-31</t>
  </si>
  <si>
    <t>украина</t>
  </si>
  <si>
    <t>киев</t>
  </si>
  <si>
    <t>Елана</t>
  </si>
  <si>
    <t>Полетаева</t>
  </si>
  <si>
    <t>Даниил</t>
  </si>
  <si>
    <t>Коробов</t>
  </si>
  <si>
    <t>1987-08-04</t>
  </si>
  <si>
    <t>@lev04_Daniil_87</t>
  </si>
  <si>
    <t>Iveta</t>
  </si>
  <si>
    <t>Cimiņa</t>
  </si>
  <si>
    <t>1966-12-19</t>
  </si>
  <si>
    <t>Latvija</t>
  </si>
  <si>
    <t>Rīga</t>
  </si>
  <si>
    <t>GUNTA</t>
  </si>
  <si>
    <t>POŠEIKO</t>
  </si>
  <si>
    <t>1960-11-16</t>
  </si>
  <si>
    <t>Великобритания</t>
  </si>
  <si>
    <t>Milton Keynes</t>
  </si>
  <si>
    <t>Челябинская область</t>
  </si>
  <si>
    <t>Бабина</t>
  </si>
  <si>
    <t>1976-12-01</t>
  </si>
  <si>
    <t>Каменкс-Уральский</t>
  </si>
  <si>
    <t>Кокин</t>
  </si>
  <si>
    <t>@kokin97</t>
  </si>
  <si>
    <t>Фокина</t>
  </si>
  <si>
    <t>2000-11-15</t>
  </si>
  <si>
    <t>Иваново</t>
  </si>
  <si>
    <t>Булдакова</t>
  </si>
  <si>
    <t>Василенко</t>
  </si>
  <si>
    <t>Давид</t>
  </si>
  <si>
    <t>Николов</t>
  </si>
  <si>
    <t>2002-09-24</t>
  </si>
  <si>
    <t>Федун</t>
  </si>
  <si>
    <t>2069-07-21</t>
  </si>
  <si>
    <t>@feduntana</t>
  </si>
  <si>
    <t>Dmitriy</t>
  </si>
  <si>
    <t>Vlasov</t>
  </si>
  <si>
    <t>2021-06-11</t>
  </si>
  <si>
    <t>Элла</t>
  </si>
  <si>
    <t>Киселева</t>
  </si>
  <si>
    <t>2021-07-01</t>
  </si>
  <si>
    <t>Маргарита</t>
  </si>
  <si>
    <t>1972-02-06</t>
  </si>
  <si>
    <t>Черкассы</t>
  </si>
  <si>
    <t>@AlferovaM</t>
  </si>
  <si>
    <t>Алексанян</t>
  </si>
  <si>
    <t>Алена</t>
  </si>
  <si>
    <t>Ткаченко</t>
  </si>
  <si>
    <t>Алена Ткаченко @alyonadaiva</t>
  </si>
  <si>
    <t>Погружение 2.0</t>
  </si>
  <si>
    <t>Евгения</t>
  </si>
  <si>
    <t>Зарубина</t>
  </si>
  <si>
    <t xml:space="preserve">Челябинск </t>
  </si>
  <si>
    <t>@janezarubina</t>
  </si>
  <si>
    <t>Фистикан</t>
  </si>
  <si>
    <t>@Chumachenko8888</t>
  </si>
  <si>
    <t>Agnese</t>
  </si>
  <si>
    <t>P?ra</t>
  </si>
  <si>
    <t>Юрий</t>
  </si>
  <si>
    <t>Харчистов</t>
  </si>
  <si>
    <t>Ewa</t>
  </si>
  <si>
    <t>Pokorny</t>
  </si>
  <si>
    <t>Polska</t>
  </si>
  <si>
    <t>Буравлева</t>
  </si>
  <si>
    <t>Ахремчук</t>
  </si>
  <si>
    <t>1982-11-09</t>
  </si>
  <si>
    <t>мокина</t>
  </si>
  <si>
    <t>Мадина</t>
  </si>
  <si>
    <t>Кучменова</t>
  </si>
  <si>
    <t>1968-07-20</t>
  </si>
  <si>
    <t>Нальчик</t>
  </si>
  <si>
    <t>@Madina_Kuchmenova</t>
  </si>
  <si>
    <t>Natalja</t>
  </si>
  <si>
    <t>Bobõljova</t>
  </si>
  <si>
    <t>1977-07-30</t>
  </si>
  <si>
    <t>@vland777</t>
  </si>
  <si>
    <t>Мирный</t>
  </si>
  <si>
    <t>Harke</t>
  </si>
  <si>
    <t>Оберхаузен</t>
  </si>
  <si>
    <t>Алёна</t>
  </si>
  <si>
    <t>Кокина</t>
  </si>
  <si>
    <t>2000-07-19</t>
  </si>
  <si>
    <t>tom</t>
  </si>
  <si>
    <t>Бабкина</t>
  </si>
  <si>
    <t>Попова</t>
  </si>
  <si>
    <t>татьяна</t>
  </si>
  <si>
    <t>tanya.popova.1972@internet.ru</t>
  </si>
  <si>
    <t>Инна</t>
  </si>
  <si>
    <t>Орен</t>
  </si>
  <si>
    <t>Беэр-Шева</t>
  </si>
  <si>
    <t>Галлямова</t>
  </si>
  <si>
    <t>1985-01-05</t>
  </si>
  <si>
    <t>Тюлюкина</t>
  </si>
  <si>
    <t>Лебедева</t>
  </si>
  <si>
    <t>Игорь Lucky Chucky</t>
  </si>
  <si>
    <t>Чекмарев</t>
  </si>
  <si>
    <t>1974-06-19</t>
  </si>
  <si>
    <t>Коннова</t>
  </si>
  <si>
    <t>Землянских</t>
  </si>
  <si>
    <t>Магнитогорск</t>
  </si>
  <si>
    <t>Зубченко</t>
  </si>
  <si>
    <t>Alena</t>
  </si>
  <si>
    <t>Krasnopolsky</t>
  </si>
  <si>
    <t>1971-12-24</t>
  </si>
  <si>
    <t>Дубровин</t>
  </si>
  <si>
    <t>Одинцово</t>
  </si>
  <si>
    <t>Константинов</t>
  </si>
  <si>
    <t>1985-01-04</t>
  </si>
  <si>
    <t>Голландия</t>
  </si>
  <si>
    <t>Амстердам</t>
  </si>
  <si>
    <t>@alexanderkonst</t>
  </si>
  <si>
    <t>Никульшин</t>
  </si>
  <si>
    <t>Туапсе</t>
  </si>
  <si>
    <t>@lazy_kos</t>
  </si>
  <si>
    <t>Вера</t>
  </si>
  <si>
    <t>Булдыгина</t>
  </si>
  <si>
    <t>1965-04-02</t>
  </si>
  <si>
    <t>Хургада</t>
  </si>
  <si>
    <t>@VeraB02</t>
  </si>
  <si>
    <t>Шарабакина</t>
  </si>
  <si>
    <t>1994-01-14</t>
  </si>
  <si>
    <t>Светличная</t>
  </si>
  <si>
    <t>1988-12-16</t>
  </si>
  <si>
    <t>Васильев</t>
  </si>
  <si>
    <t>1984-11-30</t>
  </si>
  <si>
    <t xml:space="preserve">Славянск на Кубани </t>
  </si>
  <si>
    <t>Малика</t>
  </si>
  <si>
    <t>1983-08-17</t>
  </si>
  <si>
    <t>Артур</t>
  </si>
  <si>
    <t>Сабитов</t>
  </si>
  <si>
    <t>1988-04-20</t>
  </si>
  <si>
    <t>Кармазина</t>
  </si>
  <si>
    <t>1974-05-13</t>
  </si>
  <si>
    <t>Архипов</t>
  </si>
  <si>
    <t>Пронина</t>
  </si>
  <si>
    <t>1979-02-13</t>
  </si>
  <si>
    <t>Trigubovich</t>
  </si>
  <si>
    <t>Aira</t>
  </si>
  <si>
    <t>Cimdina</t>
  </si>
  <si>
    <t>Rita</t>
  </si>
  <si>
    <t>Reiha</t>
  </si>
  <si>
    <t>1985-06-17</t>
  </si>
  <si>
    <t>Ķimse</t>
  </si>
  <si>
    <t>Evita</t>
  </si>
  <si>
    <t>Tidmane</t>
  </si>
  <si>
    <t>1985-06-27</t>
  </si>
  <si>
    <t>Вентспилс</t>
  </si>
  <si>
    <t>Skaidrite</t>
  </si>
  <si>
    <t>Savicka</t>
  </si>
  <si>
    <t>skaidritedofija@inbox.lv</t>
  </si>
  <si>
    <t>Софья</t>
  </si>
  <si>
    <t>Корсакова</t>
  </si>
  <si>
    <t>1985-03-23</t>
  </si>
  <si>
    <t>Виктор</t>
  </si>
  <si>
    <t>Фуклев</t>
  </si>
  <si>
    <t>1953-06-17</t>
  </si>
  <si>
    <t>Киев</t>
  </si>
  <si>
    <t>Мельник</t>
  </si>
  <si>
    <t>1972-08-19</t>
  </si>
  <si>
    <t>Австралия</t>
  </si>
  <si>
    <t xml:space="preserve">Gold Coast </t>
  </si>
  <si>
    <t>Пышненко</t>
  </si>
  <si>
    <t>1985-08-26</t>
  </si>
  <si>
    <t xml:space="preserve">Томск </t>
  </si>
  <si>
    <t xml:space="preserve">Влалимир </t>
  </si>
  <si>
    <t>Романова</t>
  </si>
  <si>
    <t>Елизавета</t>
  </si>
  <si>
    <t>Косарева</t>
  </si>
  <si>
    <t>1994-09-30</t>
  </si>
  <si>
    <t>Ступино</t>
  </si>
  <si>
    <t>Новожилова</t>
  </si>
  <si>
    <t>1986-05-04</t>
  </si>
  <si>
    <t>Ася</t>
  </si>
  <si>
    <t>Даневич</t>
  </si>
  <si>
    <t>1984-11-10</t>
  </si>
  <si>
    <t>Ринат</t>
  </si>
  <si>
    <t>Исмагилов</t>
  </si>
  <si>
    <t>ГерМан</t>
  </si>
  <si>
    <t>Ман</t>
  </si>
  <si>
    <t>1990-01-01</t>
  </si>
  <si>
    <t>GerMan GrGr</t>
  </si>
  <si>
    <t>Гусарова</t>
  </si>
  <si>
    <t>1969-07-20</t>
  </si>
  <si>
    <t>Хамзахон</t>
  </si>
  <si>
    <t>Бекмирзаева</t>
  </si>
  <si>
    <t>amzahonbekmirzaeva@gmail.com</t>
  </si>
  <si>
    <t>+998911445401</t>
  </si>
  <si>
    <t>Celina</t>
  </si>
  <si>
    <t>Vesely</t>
  </si>
  <si>
    <t>Снежана</t>
  </si>
  <si>
    <t>Костюк</t>
  </si>
  <si>
    <t>1978-01-31</t>
  </si>
  <si>
    <t>Магадан</t>
  </si>
  <si>
    <t>Федосеев</t>
  </si>
  <si>
    <t>Janine</t>
  </si>
  <si>
    <t>Reimann</t>
  </si>
  <si>
    <t>1986-04-12</t>
  </si>
  <si>
    <t>Breuberg</t>
  </si>
  <si>
    <t>Поспелова</t>
  </si>
  <si>
    <t>1972-05-10</t>
  </si>
  <si>
    <t>Косачева</t>
  </si>
  <si>
    <t>1955-02-24</t>
  </si>
  <si>
    <t>Гомель</t>
  </si>
  <si>
    <t>Фотеев</t>
  </si>
  <si>
    <t>Ruzica</t>
  </si>
  <si>
    <t>Marinkovic</t>
  </si>
  <si>
    <t>Manuela</t>
  </si>
  <si>
    <t>Rüfner</t>
  </si>
  <si>
    <t>Malden-2007@mail.ru</t>
  </si>
  <si>
    <t xml:space="preserve">Мадина Кучменов </t>
  </si>
  <si>
    <t>Diana</t>
  </si>
  <si>
    <t>Nikitina</t>
  </si>
  <si>
    <t>1991-08-06</t>
  </si>
  <si>
    <t>Latvia</t>
  </si>
  <si>
    <t>Riga</t>
  </si>
  <si>
    <t>Малина</t>
  </si>
  <si>
    <t>svitlnamalina@gmail.com</t>
  </si>
  <si>
    <t>+4917634456493</t>
  </si>
  <si>
    <t>Анжелика</t>
  </si>
  <si>
    <t>Евгенова</t>
  </si>
  <si>
    <t>Жарких</t>
  </si>
  <si>
    <t>Ниссо</t>
  </si>
  <si>
    <t>Мамадасанова</t>
  </si>
  <si>
    <t>Marianna</t>
  </si>
  <si>
    <t>Berina</t>
  </si>
  <si>
    <t>Белозёрова</t>
  </si>
  <si>
    <t>Лойко</t>
  </si>
  <si>
    <t>1998-08-17</t>
  </si>
  <si>
    <t>Лиза</t>
  </si>
  <si>
    <t>Голенок</t>
  </si>
  <si>
    <t>Анджела</t>
  </si>
  <si>
    <t>Линкевич</t>
  </si>
  <si>
    <t>Чернышова</t>
  </si>
  <si>
    <t>Соболева</t>
  </si>
  <si>
    <t>Ника</t>
  </si>
  <si>
    <t>Пекарская</t>
  </si>
  <si>
    <t>2003-06-05</t>
  </si>
  <si>
    <t>Christiane</t>
  </si>
  <si>
    <t>Ch</t>
  </si>
  <si>
    <t>Evangelos</t>
  </si>
  <si>
    <t>Karopoulos</t>
  </si>
  <si>
    <t>Test</t>
  </si>
  <si>
    <t>Renee</t>
  </si>
  <si>
    <t>Meijer</t>
  </si>
  <si>
    <t>Eleni</t>
  </si>
  <si>
    <t>Papadopoulou</t>
  </si>
  <si>
    <t>Gunjan</t>
  </si>
  <si>
    <t>Lal</t>
  </si>
  <si>
    <t>Joana</t>
  </si>
  <si>
    <t>Papa</t>
  </si>
  <si>
    <t>Sacha</t>
  </si>
  <si>
    <t>Haas</t>
  </si>
  <si>
    <t>Susanne</t>
  </si>
  <si>
    <t>VISSER</t>
  </si>
  <si>
    <t>Marjolie</t>
  </si>
  <si>
    <t>Verbraak</t>
  </si>
  <si>
    <t>Ieva</t>
  </si>
  <si>
    <t>Mikijanska</t>
  </si>
  <si>
    <t>Inga</t>
  </si>
  <si>
    <t>Kozaka</t>
  </si>
  <si>
    <t>Ilze</t>
  </si>
  <si>
    <t>Brauna</t>
  </si>
  <si>
    <t>Vija</t>
  </si>
  <si>
    <t>Ūdre</t>
  </si>
  <si>
    <t>Ana</t>
  </si>
  <si>
    <t>Vieira</t>
  </si>
  <si>
    <t>Beāte</t>
  </si>
  <si>
    <t>Sila</t>
  </si>
  <si>
    <t>Drevinska</t>
  </si>
  <si>
    <t>Ирландия</t>
  </si>
  <si>
    <t>Дублин</t>
  </si>
  <si>
    <t>Bárbara</t>
  </si>
  <si>
    <t>Costa</t>
  </si>
  <si>
    <t>Григорьева</t>
  </si>
  <si>
    <t>Kristiāna</t>
  </si>
  <si>
    <t>Sokova</t>
  </si>
  <si>
    <t>Абакумова</t>
  </si>
  <si>
    <t>1971-09-13</t>
  </si>
  <si>
    <t>+375295023880</t>
  </si>
  <si>
    <t>Vita</t>
  </si>
  <si>
    <t>Ormane</t>
  </si>
  <si>
    <t>Лубана</t>
  </si>
  <si>
    <t>Vineta</t>
  </si>
  <si>
    <t>Riekstiņa</t>
  </si>
  <si>
    <t>Галимова</t>
  </si>
  <si>
    <t>Sandra</t>
  </si>
  <si>
    <t>Sarmiņa</t>
  </si>
  <si>
    <t>2021-12-08</t>
  </si>
  <si>
    <t>Falkou</t>
  </si>
  <si>
    <t>Marion</t>
  </si>
  <si>
    <t>Spintzou</t>
  </si>
  <si>
    <t>Ina</t>
  </si>
  <si>
    <t>Tīdemane</t>
  </si>
  <si>
    <t>1962-05-13</t>
  </si>
  <si>
    <t>Тукумс</t>
  </si>
  <si>
    <t>test</t>
  </si>
  <si>
    <t>Julie</t>
  </si>
  <si>
    <t>Rogers</t>
  </si>
  <si>
    <t>Шавлюк</t>
  </si>
  <si>
    <t>Зульфия</t>
  </si>
  <si>
    <t>Иззетова</t>
  </si>
  <si>
    <t>Левшукова</t>
  </si>
  <si>
    <t>Evaghelia</t>
  </si>
  <si>
    <t>Charizani</t>
  </si>
  <si>
    <t>Inese</t>
  </si>
  <si>
    <t>Kanska-Gelo</t>
  </si>
  <si>
    <t>Δημητρης</t>
  </si>
  <si>
    <t>ΛΑΙΟΣ</t>
  </si>
  <si>
    <t>Saskia</t>
  </si>
  <si>
    <t>Drenth</t>
  </si>
  <si>
    <t>Eirini</t>
  </si>
  <si>
    <t>Karagiannidou</t>
  </si>
  <si>
    <t>Mona</t>
  </si>
  <si>
    <t>Stancu</t>
  </si>
  <si>
    <t>Ilona</t>
  </si>
  <si>
    <t>Jansone</t>
  </si>
  <si>
    <t>1970-10-23</t>
  </si>
  <si>
    <t>Ināra</t>
  </si>
  <si>
    <t>Muižniece</t>
  </si>
  <si>
    <t>1973-07-27</t>
  </si>
  <si>
    <t>Liga</t>
  </si>
  <si>
    <t>Krastina-Damianaki</t>
  </si>
  <si>
    <t>Трир</t>
  </si>
  <si>
    <t>Ева</t>
  </si>
  <si>
    <t>Мухамад</t>
  </si>
  <si>
    <t>Попович</t>
  </si>
  <si>
    <t>Архипова</t>
  </si>
  <si>
    <t>1989-09-30</t>
  </si>
  <si>
    <t xml:space="preserve">Липецк </t>
  </si>
  <si>
    <t>Иван</t>
  </si>
  <si>
    <t>Попеня</t>
  </si>
  <si>
    <t>1993-09-02</t>
  </si>
  <si>
    <t>Yulii</t>
  </si>
  <si>
    <t>Glow</t>
  </si>
  <si>
    <t>1992-05-10</t>
  </si>
  <si>
    <t>Ryskul</t>
  </si>
  <si>
    <t>Abduvalieva</t>
  </si>
  <si>
    <t>Киргизия</t>
  </si>
  <si>
    <t>Бишкек</t>
  </si>
  <si>
    <t>Полина</t>
  </si>
  <si>
    <t>Лёвина</t>
  </si>
  <si>
    <t>Александра</t>
  </si>
  <si>
    <t>Степанюк</t>
  </si>
  <si>
    <t>Маенкова</t>
  </si>
  <si>
    <t>rs-he6c@yandex.ru</t>
  </si>
  <si>
    <t>Тула</t>
  </si>
  <si>
    <t>Ларикова</t>
  </si>
  <si>
    <t>Вика</t>
  </si>
  <si>
    <t>Бейнарович</t>
  </si>
  <si>
    <t>beynarovuch-00@mail.ru</t>
  </si>
  <si>
    <t>Мосолов</t>
  </si>
  <si>
    <t>mosolow.sasha@yandex.ru</t>
  </si>
  <si>
    <t>+79969751318</t>
  </si>
  <si>
    <t>Малаховка</t>
  </si>
  <si>
    <t>Коробейникова</t>
  </si>
  <si>
    <t>1952-04-21</t>
  </si>
  <si>
    <t>Нижнекамск</t>
  </si>
  <si>
    <t>Alexander</t>
  </si>
  <si>
    <t>Huschka</t>
  </si>
  <si>
    <t>1975-05-07</t>
  </si>
  <si>
    <t>Дрезден</t>
  </si>
  <si>
    <t>Лукьянова</t>
  </si>
  <si>
    <t>@MashaLy21</t>
  </si>
  <si>
    <t>Toms</t>
  </si>
  <si>
    <t>Gineitis</t>
  </si>
  <si>
    <t>2003-03-10</t>
  </si>
  <si>
    <t>Эля</t>
  </si>
  <si>
    <t>Темникова</t>
  </si>
  <si>
    <t>elyatemnikova@ibox.ru</t>
  </si>
  <si>
    <t>+79090900008</t>
  </si>
  <si>
    <t>Власов</t>
  </si>
  <si>
    <t>dimanim@mai.ru</t>
  </si>
  <si>
    <t>Лана</t>
  </si>
  <si>
    <t>Внукова</t>
  </si>
  <si>
    <t>1979-06-20</t>
  </si>
  <si>
    <t>Хакимов</t>
  </si>
  <si>
    <t>Дьяченко</t>
  </si>
  <si>
    <t>2003-09-11</t>
  </si>
  <si>
    <t>Никита</t>
  </si>
  <si>
    <t>Никачев</t>
  </si>
  <si>
    <t>2021-05-07</t>
  </si>
  <si>
    <t>Алина</t>
  </si>
  <si>
    <t>Лапина</t>
  </si>
  <si>
    <t>1998-06-08</t>
  </si>
  <si>
    <t>Вахрушев</t>
  </si>
  <si>
    <t>1990-01-16</t>
  </si>
  <si>
    <t>Нижний Тагил</t>
  </si>
  <si>
    <t>максим</t>
  </si>
  <si>
    <t>жданов</t>
  </si>
  <si>
    <t>1991-05-16</t>
  </si>
  <si>
    <t>липецк</t>
  </si>
  <si>
    <t>Братская</t>
  </si>
  <si>
    <t>Мешечко</t>
  </si>
  <si>
    <t>Климачева</t>
  </si>
  <si>
    <t>Лина</t>
  </si>
  <si>
    <t>Науменко</t>
  </si>
  <si>
    <t>Грузия</t>
  </si>
  <si>
    <t>Диля</t>
  </si>
  <si>
    <t>Болтуева</t>
  </si>
  <si>
    <t>Алейников</t>
  </si>
  <si>
    <t>79809801234@yandex.ru</t>
  </si>
  <si>
    <t>+79809801234</t>
  </si>
  <si>
    <t>ruslan8800</t>
  </si>
  <si>
    <t>Анисимов</t>
  </si>
  <si>
    <t>Олейник</t>
  </si>
  <si>
    <t>Ковальчук</t>
  </si>
  <si>
    <t>Хабаровск</t>
  </si>
  <si>
    <t>@KovalchukPR</t>
  </si>
  <si>
    <t>Тищенко</t>
  </si>
  <si>
    <t>Валентина Геннадьевна Коржаева</t>
  </si>
  <si>
    <t>Russia</t>
  </si>
  <si>
    <t>Барнаул</t>
  </si>
  <si>
    <t>Горюнов</t>
  </si>
  <si>
    <t>1989-03-07</t>
  </si>
  <si>
    <t>Третьякова</t>
  </si>
  <si>
    <t>Jekuma</t>
  </si>
  <si>
    <t>1990-10-25</t>
  </si>
  <si>
    <t>Smiltene</t>
  </si>
  <si>
    <t>Глеб</t>
  </si>
  <si>
    <t>ГЛЕБ</t>
  </si>
  <si>
    <t>Пьянкова</t>
  </si>
  <si>
    <t>Ушанов</t>
  </si>
  <si>
    <t>Колеров</t>
  </si>
  <si>
    <t>Литвиненко</t>
  </si>
  <si>
    <t>Мытищи</t>
  </si>
  <si>
    <t>Кособуцкая</t>
  </si>
  <si>
    <t>Нехвядович</t>
  </si>
  <si>
    <t>ileran2000@mail.ru</t>
  </si>
  <si>
    <t>Надя</t>
  </si>
  <si>
    <t>Микулич</t>
  </si>
  <si>
    <t>Ульяна</t>
  </si>
  <si>
    <t>Казановская</t>
  </si>
  <si>
    <t>Лера</t>
  </si>
  <si>
    <t>Кибисова</t>
  </si>
  <si>
    <t>Никищеко</t>
  </si>
  <si>
    <t>rs-4upl@yandex.ru</t>
  </si>
  <si>
    <t>Кашина</t>
  </si>
  <si>
    <t>Raimonds</t>
  </si>
  <si>
    <t>Dreijers</t>
  </si>
  <si>
    <t>Domile</t>
  </si>
  <si>
    <t>Semeskeviciute</t>
  </si>
  <si>
    <t>Margarita</t>
  </si>
  <si>
    <t>JOCHIM</t>
  </si>
  <si>
    <t>Бургхаузен</t>
  </si>
  <si>
    <t>Аврамова</t>
  </si>
  <si>
    <t>yulia</t>
  </si>
  <si>
    <t>chaikoffskaya</t>
  </si>
  <si>
    <t>Sabine</t>
  </si>
  <si>
    <t>Krebs</t>
  </si>
  <si>
    <t>Швейцария</t>
  </si>
  <si>
    <t>Савчук</t>
  </si>
  <si>
    <t>sleepingdog.dev@gmail.com</t>
  </si>
  <si>
    <t>+375336407514</t>
  </si>
  <si>
    <t>Демидова</t>
  </si>
  <si>
    <t>Анастасія</t>
  </si>
  <si>
    <t>Барабаш</t>
  </si>
  <si>
    <t>@iloverabbits00</t>
  </si>
  <si>
    <t>Медных</t>
  </si>
  <si>
    <t>Тюмень</t>
  </si>
  <si>
    <t>Vukoman</t>
  </si>
  <si>
    <t>Varagic</t>
  </si>
  <si>
    <t>Гамбург</t>
  </si>
  <si>
    <t>samuel2@brainzm.awsapps.com</t>
  </si>
  <si>
    <t>+375295207941</t>
  </si>
  <si>
    <t>1977-12-03</t>
  </si>
  <si>
    <t>samuel3@brainzm.awsapps.com</t>
  </si>
  <si>
    <t>1999-06-16</t>
  </si>
  <si>
    <t>Герасимов</t>
  </si>
  <si>
    <t>Дыбова</t>
  </si>
  <si>
    <t>Вадим</t>
  </si>
  <si>
    <t>Шакиров</t>
  </si>
  <si>
    <t>Ахметшина</t>
  </si>
  <si>
    <t>Габдулловна</t>
  </si>
  <si>
    <t>Касьяненко</t>
  </si>
  <si>
    <t>1986-08-30</t>
  </si>
  <si>
    <t>Настя</t>
  </si>
  <si>
    <t>Грекова</t>
  </si>
  <si>
    <t>yournassstya@icloud.com</t>
  </si>
  <si>
    <t>+375445178071</t>
  </si>
  <si>
    <t>2003-01-27</t>
  </si>
  <si>
    <t>B</t>
  </si>
  <si>
    <t>Ozoliņa</t>
  </si>
  <si>
    <t>1979-02-18</t>
  </si>
  <si>
    <t>Андреев</t>
  </si>
  <si>
    <t>Аляксандр Iванавiч</t>
  </si>
  <si>
    <t>Старосценка</t>
  </si>
  <si>
    <t>Соленюк</t>
  </si>
  <si>
    <t>Иванов</t>
  </si>
  <si>
    <t>6189266@gmail.com</t>
  </si>
  <si>
    <t>+3752960308000</t>
  </si>
  <si>
    <t>Шибко</t>
  </si>
  <si>
    <t>Dace</t>
  </si>
  <si>
    <t>Saulenberga</t>
  </si>
  <si>
    <t>olga</t>
  </si>
  <si>
    <t>Миронова</t>
  </si>
  <si>
    <t>Череповец</t>
  </si>
  <si>
    <t>1970-08-20</t>
  </si>
  <si>
    <t>Трафимович</t>
  </si>
  <si>
    <t>Лукошина</t>
  </si>
  <si>
    <t>1968-10-12</t>
  </si>
  <si>
    <t>Вишневое</t>
  </si>
  <si>
    <t>Громыко</t>
  </si>
  <si>
    <t>Вихров</t>
  </si>
  <si>
    <t>Т</t>
  </si>
  <si>
    <t>Youliatos@gmail.com</t>
  </si>
  <si>
    <t>+380673457542</t>
  </si>
  <si>
    <t>Ритория</t>
  </si>
  <si>
    <t>!</t>
  </si>
  <si>
    <t>ir66@rambler.ru</t>
  </si>
  <si>
    <t>+79214446597</t>
  </si>
  <si>
    <t>Корнева</t>
  </si>
  <si>
    <t>Аппарбекова</t>
  </si>
  <si>
    <t>1978-04-29</t>
  </si>
  <si>
    <t>Шовкат</t>
  </si>
  <si>
    <t>Ходжаев</t>
  </si>
  <si>
    <t>1985-07-07</t>
  </si>
  <si>
    <t>Медведев</t>
  </si>
  <si>
    <t>andreymedbv6000@gmail.com</t>
  </si>
  <si>
    <t>+79841539421</t>
  </si>
  <si>
    <t>1975-11-03</t>
  </si>
  <si>
    <t>Дунаев</t>
  </si>
  <si>
    <t>2072-01-23</t>
  </si>
  <si>
    <t>Глухова</t>
  </si>
  <si>
    <t>Llama-g77@yandex.ru</t>
  </si>
  <si>
    <t>+79145569087</t>
  </si>
  <si>
    <t>Благовещенск</t>
  </si>
  <si>
    <t>Тес</t>
  </si>
  <si>
    <t>Черемина</t>
  </si>
  <si>
    <t>l.cheremina@pb10.ru</t>
  </si>
  <si>
    <t>Зорихина</t>
  </si>
  <si>
    <t>zorihina79@mail.ru</t>
  </si>
  <si>
    <t>+79143819230</t>
  </si>
  <si>
    <t>Мокроусова</t>
  </si>
  <si>
    <t>1988-02-28</t>
  </si>
  <si>
    <t>Радченко</t>
  </si>
  <si>
    <t>Алавердова (Макарова)</t>
  </si>
  <si>
    <t>Olga Makarova</t>
  </si>
  <si>
    <t>Shoxista</t>
  </si>
  <si>
    <t>Sadullayeva</t>
  </si>
  <si>
    <t>2022-01-16</t>
  </si>
  <si>
    <t>Vasileva</t>
  </si>
  <si>
    <t>@OliyVa</t>
  </si>
  <si>
    <t>Людмила</t>
  </si>
  <si>
    <t>Рассолоаа</t>
  </si>
  <si>
    <t>rlyudmilap.51@mail.ru</t>
  </si>
  <si>
    <t>Дербенёва</t>
  </si>
  <si>
    <t>Шевченко</t>
  </si>
  <si>
    <t>Шупенко</t>
  </si>
  <si>
    <t>Батуми</t>
  </si>
  <si>
    <t>Алексий</t>
  </si>
  <si>
    <t>Пашкевич</t>
  </si>
  <si>
    <t>mat2@ya.ru</t>
  </si>
  <si>
    <t>+375259434825</t>
  </si>
  <si>
    <t>Федорук</t>
  </si>
  <si>
    <t>1989-05-28</t>
  </si>
  <si>
    <t>Велижанина</t>
  </si>
  <si>
    <t>eva.eliseeva08@gmail.ru</t>
  </si>
  <si>
    <t>+79853940183</t>
  </si>
  <si>
    <t>Рамиля</t>
  </si>
  <si>
    <t>Сатаева</t>
  </si>
  <si>
    <t>Закревский</t>
  </si>
  <si>
    <t>Прокудина</t>
  </si>
  <si>
    <t>Анапа</t>
  </si>
  <si>
    <t>Артем</t>
  </si>
  <si>
    <t>Летин</t>
  </si>
  <si>
    <t>1972-01-03</t>
  </si>
  <si>
    <t>Sokolova</t>
  </si>
  <si>
    <t>Давыдова</t>
  </si>
  <si>
    <t>Natalidavydova@yandex.ru</t>
  </si>
  <si>
    <t>Самусенко</t>
  </si>
  <si>
    <t>Янис</t>
  </si>
  <si>
    <t>Легздиншь</t>
  </si>
  <si>
    <t>Ласточкина</t>
  </si>
  <si>
    <t>Донченко</t>
  </si>
  <si>
    <t>Романенко</t>
  </si>
  <si>
    <t>Кулдыркаева</t>
  </si>
  <si>
    <t>Кобец</t>
  </si>
  <si>
    <t>Lolita</t>
  </si>
  <si>
    <t>Liepa</t>
  </si>
  <si>
    <t>1967-01-25</t>
  </si>
  <si>
    <t>Пименов</t>
  </si>
  <si>
    <t>Lidija</t>
  </si>
  <si>
    <t>Trusele</t>
  </si>
  <si>
    <t>1969-03-27</t>
  </si>
  <si>
    <t>Ганецкая</t>
  </si>
  <si>
    <t>v.ganetskaya@gmail.com</t>
  </si>
  <si>
    <t>+380509634138</t>
  </si>
  <si>
    <t>1961-10-09</t>
  </si>
  <si>
    <t xml:space="preserve"> Кропивницкий </t>
  </si>
  <si>
    <t>Jānis</t>
  </si>
  <si>
    <t>Albrekts</t>
  </si>
  <si>
    <t>1991-06-19</t>
  </si>
  <si>
    <t>Dace Ursula</t>
  </si>
  <si>
    <t>Akmentina</t>
  </si>
  <si>
    <t>1970-02-01</t>
  </si>
  <si>
    <t>Владислав</t>
  </si>
  <si>
    <t>Андрушкевич</t>
  </si>
  <si>
    <t>Мудите</t>
  </si>
  <si>
    <t>Русакова</t>
  </si>
  <si>
    <t>Gundega</t>
  </si>
  <si>
    <t>Kronberga</t>
  </si>
  <si>
    <t>Беляев</t>
  </si>
  <si>
    <t>1988-07-15</t>
  </si>
  <si>
    <t>Амалия</t>
  </si>
  <si>
    <t>Азатян</t>
  </si>
  <si>
    <t>Юшманова</t>
  </si>
  <si>
    <t>janis</t>
  </si>
  <si>
    <t>sedjukevics</t>
  </si>
  <si>
    <t>Maija</t>
  </si>
  <si>
    <t>Horste</t>
  </si>
  <si>
    <t>Elke</t>
  </si>
  <si>
    <t>Bäumges</t>
  </si>
  <si>
    <t>Людвигсбург</t>
  </si>
  <si>
    <t>Цапусова</t>
  </si>
  <si>
    <t>Elena2019-06@yndex.ru</t>
  </si>
  <si>
    <t>Игорь</t>
  </si>
  <si>
    <t>Davit</t>
  </si>
  <si>
    <t>Simonyan</t>
  </si>
  <si>
    <t>1995-01-10</t>
  </si>
  <si>
    <t>Армения</t>
  </si>
  <si>
    <t>Ереван</t>
  </si>
  <si>
    <t>Яна</t>
  </si>
  <si>
    <t>Штевская</t>
  </si>
  <si>
    <t>Ростов</t>
  </si>
  <si>
    <t>Елизарова</t>
  </si>
  <si>
    <t>Ник</t>
  </si>
  <si>
    <t>Климова</t>
  </si>
  <si>
    <t>1982-05-16</t>
  </si>
  <si>
    <t>Джамалия</t>
  </si>
  <si>
    <t>Гатауллина</t>
  </si>
  <si>
    <t>gatallina.djama@gmail.com</t>
  </si>
  <si>
    <t>TATYANA</t>
  </si>
  <si>
    <t>EVDOKIMOVA</t>
  </si>
  <si>
    <t>Киселев</t>
  </si>
  <si>
    <t>Ангелина</t>
  </si>
  <si>
    <t>Костадинова</t>
  </si>
  <si>
    <t>1968-07-03</t>
  </si>
  <si>
    <t>Пономарёв</t>
  </si>
  <si>
    <t>1985-12-28</t>
  </si>
  <si>
    <t>Тазовский (ЯНАО)</t>
  </si>
  <si>
    <t>Panamera</t>
  </si>
  <si>
    <t>Вологда</t>
  </si>
  <si>
    <t>Ермолова</t>
  </si>
  <si>
    <t>Александров</t>
  </si>
  <si>
    <t>1983-04-28</t>
  </si>
  <si>
    <t>Шер</t>
  </si>
  <si>
    <t>Саевич</t>
  </si>
  <si>
    <t>Малащенко</t>
  </si>
  <si>
    <t>Джафарова</t>
  </si>
  <si>
    <t>Maryna</t>
  </si>
  <si>
    <t>Brazinskaya</t>
  </si>
  <si>
    <t>Трофимова</t>
  </si>
  <si>
    <t>1954-06-11</t>
  </si>
  <si>
    <t>Париж</t>
  </si>
  <si>
    <t>Довгалева</t>
  </si>
  <si>
    <t>Бажуков</t>
  </si>
  <si>
    <t>1986-10-27</t>
  </si>
  <si>
    <t>Курган</t>
  </si>
  <si>
    <t>Подгорная</t>
  </si>
  <si>
    <t>1964-06-04</t>
  </si>
  <si>
    <t>Лев</t>
  </si>
  <si>
    <t>Гордон</t>
  </si>
  <si>
    <t>Кембридж</t>
  </si>
  <si>
    <t>Румянцева</t>
  </si>
  <si>
    <t>Гульназ</t>
  </si>
  <si>
    <t>Шагеева</t>
  </si>
  <si>
    <t>Казань</t>
  </si>
  <si>
    <t>Катюшина</t>
  </si>
  <si>
    <t>Брянск</t>
  </si>
  <si>
    <t>Иванова</t>
  </si>
  <si>
    <t>89272753434@mail.ru</t>
  </si>
  <si>
    <t>+79961190929</t>
  </si>
  <si>
    <t>Svetlana</t>
  </si>
  <si>
    <t>Grant</t>
  </si>
  <si>
    <t>Сингапур</t>
  </si>
  <si>
    <t>Алиса</t>
  </si>
  <si>
    <t>Соловых</t>
  </si>
  <si>
    <t>Алекс</t>
  </si>
  <si>
    <t>Сандар</t>
  </si>
  <si>
    <t>Лика</t>
  </si>
  <si>
    <t>1980-04-01</t>
  </si>
  <si>
    <t>Комарова</t>
  </si>
  <si>
    <t>Элиана</t>
  </si>
  <si>
    <t>Аарон</t>
  </si>
  <si>
    <t>1972-08-08</t>
  </si>
  <si>
    <t>Israel</t>
  </si>
  <si>
    <t>Петах-Тиква</t>
  </si>
  <si>
    <t>rs-4c20@yandex.ru</t>
  </si>
  <si>
    <t>Алексеева</t>
  </si>
  <si>
    <t>Наташа</t>
  </si>
  <si>
    <t>Грицук</t>
  </si>
  <si>
    <t>Арутюнян</t>
  </si>
  <si>
    <t>pru301@mail.ru</t>
  </si>
  <si>
    <t>+79255151769</t>
  </si>
  <si>
    <t>1980-10-29</t>
  </si>
  <si>
    <t>Ш</t>
  </si>
  <si>
    <t>voiceofmind667@gmail.com</t>
  </si>
  <si>
    <t>+375292532269</t>
  </si>
  <si>
    <t>eva.zaribina.1995@gmail.com</t>
  </si>
  <si>
    <t>Мартыненко</t>
  </si>
  <si>
    <t>Святогорск</t>
  </si>
  <si>
    <t>людмила</t>
  </si>
  <si>
    <t>в</t>
  </si>
  <si>
    <t>late-news@yand3x.ru</t>
  </si>
  <si>
    <t>+79277249325</t>
  </si>
  <si>
    <t>nataliakultchitsks@gmail.com</t>
  </si>
  <si>
    <t>Карина</t>
  </si>
  <si>
    <t>Фалеева</t>
  </si>
  <si>
    <t>m@bk.ru</t>
  </si>
  <si>
    <t>Дергунов</t>
  </si>
  <si>
    <t>Музыченко</t>
  </si>
  <si>
    <t>Зимовская</t>
  </si>
  <si>
    <t>Хлопова</t>
  </si>
  <si>
    <t>Szurlej</t>
  </si>
  <si>
    <t>1967-04-01</t>
  </si>
  <si>
    <t>Вроцлав</t>
  </si>
  <si>
    <t>ya.pulkesha@yandex.ru</t>
  </si>
  <si>
    <t>Карпенко</t>
  </si>
  <si>
    <t>Потанина</t>
  </si>
  <si>
    <t>Ван</t>
  </si>
  <si>
    <t>ПЕТРОВА</t>
  </si>
  <si>
    <t>1959-04-29</t>
  </si>
  <si>
    <t>Аксай</t>
  </si>
  <si>
    <t>СВЕТЛАНА</t>
  </si>
  <si>
    <t>ПАВЛУХИНА</t>
  </si>
  <si>
    <t>1965-05-10</t>
  </si>
  <si>
    <t>Ооо</t>
  </si>
  <si>
    <t>Ксеня</t>
  </si>
  <si>
    <t>Ралько</t>
  </si>
  <si>
    <t>Лебская</t>
  </si>
  <si>
    <t>Горбунова</t>
  </si>
  <si>
    <t>Егорова</t>
  </si>
  <si>
    <t>Ильина</t>
  </si>
  <si>
    <t>1972-11-15</t>
  </si>
  <si>
    <t>Нечаева</t>
  </si>
  <si>
    <t>Железногорск</t>
  </si>
  <si>
    <t>Wootton</t>
  </si>
  <si>
    <t>Olgawootton@gmail.com</t>
  </si>
  <si>
    <t>+79103478087</t>
  </si>
  <si>
    <t>1971-03-29</t>
  </si>
  <si>
    <t>1990-06-27</t>
  </si>
  <si>
    <t>Stankova</t>
  </si>
  <si>
    <t>Нюрнберг</t>
  </si>
  <si>
    <t>Кузьмина</t>
  </si>
  <si>
    <t>Ижевск</t>
  </si>
  <si>
    <t>Шогенова</t>
  </si>
  <si>
    <t>Oksana</t>
  </si>
  <si>
    <t>MaLova</t>
  </si>
  <si>
    <t>Tatiana</t>
  </si>
  <si>
    <t>Denisenko</t>
  </si>
  <si>
    <t>Савдид</t>
  </si>
  <si>
    <t>1981-11-04</t>
  </si>
  <si>
    <t>Нирав</t>
  </si>
  <si>
    <t>Караманян</t>
  </si>
  <si>
    <t>Руднева</t>
  </si>
  <si>
    <t>onrudneva@mail.ru</t>
  </si>
  <si>
    <t>Никифорова</t>
  </si>
  <si>
    <t>Джава</t>
  </si>
  <si>
    <t>Egle</t>
  </si>
  <si>
    <t>Petrosiene</t>
  </si>
  <si>
    <t>1987-01-28</t>
  </si>
  <si>
    <t>Шяуляй</t>
  </si>
  <si>
    <t>Rima</t>
  </si>
  <si>
    <t>Cirt</t>
  </si>
  <si>
    <t>Фугелова</t>
  </si>
  <si>
    <t>Милена</t>
  </si>
  <si>
    <t>Хлопина</t>
  </si>
  <si>
    <t>Великий Устюг</t>
  </si>
  <si>
    <t>Daine</t>
  </si>
  <si>
    <t>Noru</t>
  </si>
  <si>
    <t>ЛЮБчИк</t>
  </si>
  <si>
    <t>ЖИВчИк</t>
  </si>
  <si>
    <t>Milda</t>
  </si>
  <si>
    <t>Griezyte</t>
  </si>
  <si>
    <t>Колесник</t>
  </si>
  <si>
    <t>1989-05-14</t>
  </si>
  <si>
    <t xml:space="preserve">Украина </t>
  </si>
  <si>
    <t xml:space="preserve">Харьков </t>
  </si>
  <si>
    <t>Рыженкова</t>
  </si>
  <si>
    <t>Павлова</t>
  </si>
  <si>
    <t>1986-07-02</t>
  </si>
  <si>
    <t>Giedrius</t>
  </si>
  <si>
    <t>Dagys</t>
  </si>
  <si>
    <t>1980-05-16</t>
  </si>
  <si>
    <t>London</t>
  </si>
  <si>
    <t>Мо</t>
  </si>
  <si>
    <t>Dalia</t>
  </si>
  <si>
    <t>Vaicenaviciene</t>
  </si>
  <si>
    <t>1981-01-07</t>
  </si>
  <si>
    <t>Aldona</t>
  </si>
  <si>
    <t>Juchnevičienė</t>
  </si>
  <si>
    <t>Гоша</t>
  </si>
  <si>
    <t>djafarova_nafisa@mail.ru</t>
  </si>
  <si>
    <t>Соколова</t>
  </si>
  <si>
    <t>Ярославль</t>
  </si>
  <si>
    <t>Хатира</t>
  </si>
  <si>
    <t>Айметова</t>
  </si>
  <si>
    <t>Суворкин</t>
  </si>
  <si>
    <t>Мюнхен</t>
  </si>
  <si>
    <t>Каширская</t>
  </si>
  <si>
    <t>1971-09-09</t>
  </si>
  <si>
    <t>Бакыт</t>
  </si>
  <si>
    <t>Кемелбеков</t>
  </si>
  <si>
    <t>Казанцева</t>
  </si>
  <si>
    <t>Железнова</t>
  </si>
  <si>
    <t>1959-12-25</t>
  </si>
  <si>
    <t>Nosenko</t>
  </si>
  <si>
    <t>Лонг-Бич</t>
  </si>
  <si>
    <t>Evgeniya</t>
  </si>
  <si>
    <t>Frolova</t>
  </si>
  <si>
    <t>Селиван</t>
  </si>
  <si>
    <t>Щетина</t>
  </si>
  <si>
    <t>1965-11-29</t>
  </si>
  <si>
    <t>Симферополь</t>
  </si>
  <si>
    <t>Мархабо</t>
  </si>
  <si>
    <t>Киргизбаева</t>
  </si>
  <si>
    <t>Лейла</t>
  </si>
  <si>
    <t>Кунц</t>
  </si>
  <si>
    <t>Силкова</t>
  </si>
  <si>
    <t>orina_silkova@mail.ru</t>
  </si>
  <si>
    <t>+31686263472</t>
  </si>
  <si>
    <t>Неймеген</t>
  </si>
  <si>
    <t>евгений</t>
  </si>
  <si>
    <t>Щепара</t>
  </si>
  <si>
    <t>Жора</t>
  </si>
  <si>
    <t>Рахимбаев</t>
  </si>
  <si>
    <t>rahimbaevkostanay@qmail.com</t>
  </si>
  <si>
    <t>+77713269408</t>
  </si>
  <si>
    <t>Шмелёва</t>
  </si>
  <si>
    <t>Рен</t>
  </si>
  <si>
    <t>Шри-Ланка</t>
  </si>
  <si>
    <t>Садыкова</t>
  </si>
  <si>
    <t>Тараз</t>
  </si>
  <si>
    <t>НА ВЫСОТЕ</t>
  </si>
  <si>
    <t>Ерошкина</t>
  </si>
  <si>
    <t>Рявкина</t>
  </si>
  <si>
    <t>olgazarova9@mail.com</t>
  </si>
  <si>
    <t>+79520078309</t>
  </si>
  <si>
    <t>Карпова</t>
  </si>
  <si>
    <t>Л</t>
  </si>
  <si>
    <t>Курышева</t>
  </si>
  <si>
    <t>Eugenija</t>
  </si>
  <si>
    <t>Sakalauskiene</t>
  </si>
  <si>
    <t>2022-02-12</t>
  </si>
  <si>
    <t>Дания</t>
  </si>
  <si>
    <t>Копенгаген</t>
  </si>
  <si>
    <t>Kuzmenko</t>
  </si>
  <si>
    <t>Растворов</t>
  </si>
  <si>
    <t>1980-10-04</t>
  </si>
  <si>
    <t>Губайдулина</t>
  </si>
  <si>
    <t>1976-11-05</t>
  </si>
  <si>
    <t>Багриева</t>
  </si>
  <si>
    <t>Майя</t>
  </si>
  <si>
    <t>Коганова</t>
  </si>
  <si>
    <t>Шеватова</t>
  </si>
  <si>
    <t>Shevatova@mail.ru</t>
  </si>
  <si>
    <t>Филиппова</t>
  </si>
  <si>
    <t>1957-07-21</t>
  </si>
  <si>
    <t>Zaneta</t>
  </si>
  <si>
    <t>Petrova</t>
  </si>
  <si>
    <t>1975-02-04</t>
  </si>
  <si>
    <t>Антонова</t>
  </si>
  <si>
    <t>1993-07-27</t>
  </si>
  <si>
    <t>Мексика</t>
  </si>
  <si>
    <t>Мерида</t>
  </si>
  <si>
    <t>Осауленко</t>
  </si>
  <si>
    <t>1965-04-14</t>
  </si>
  <si>
    <t>Кузнецова</t>
  </si>
  <si>
    <t>Видеман</t>
  </si>
  <si>
    <t>1975-01-09</t>
  </si>
  <si>
    <t>Люкшин</t>
  </si>
  <si>
    <t>1989-01-24</t>
  </si>
  <si>
    <t>@Slava_Luke</t>
  </si>
  <si>
    <t>Чалышева</t>
  </si>
  <si>
    <t>semarita2013@yandex.du</t>
  </si>
  <si>
    <t>+79223045453</t>
  </si>
  <si>
    <t>Митин</t>
  </si>
  <si>
    <t>1983-01-25</t>
  </si>
  <si>
    <t>Шарифа</t>
  </si>
  <si>
    <t>Ашурова</t>
  </si>
  <si>
    <t>2029-06-28</t>
  </si>
  <si>
    <t>Каунас</t>
  </si>
  <si>
    <t>got7forevervan@gmail.com</t>
  </si>
  <si>
    <t>Мокров</t>
  </si>
  <si>
    <t>Маша</t>
  </si>
  <si>
    <t>Рыбакова</t>
  </si>
  <si>
    <t>2002-02-07</t>
  </si>
  <si>
    <t>Масалёва</t>
  </si>
  <si>
    <t>Володина</t>
  </si>
  <si>
    <t>1987-02-25</t>
  </si>
  <si>
    <t>Шемякина</t>
  </si>
  <si>
    <t>Vasif</t>
  </si>
  <si>
    <t>Babaiev</t>
  </si>
  <si>
    <t>Раменская</t>
  </si>
  <si>
    <t>1978-01-28</t>
  </si>
  <si>
    <t>Люберцы</t>
  </si>
  <si>
    <t>Кичев</t>
  </si>
  <si>
    <t>1975-03-04</t>
  </si>
  <si>
    <t>1990-05-02</t>
  </si>
  <si>
    <t xml:space="preserve">Красногорск </t>
  </si>
  <si>
    <t>Степанова</t>
  </si>
  <si>
    <t>1978-05-02</t>
  </si>
  <si>
    <t>Liliya</t>
  </si>
  <si>
    <t>Rebkavets</t>
  </si>
  <si>
    <t>liliya66@totmail.com</t>
  </si>
  <si>
    <t>+32460951534</t>
  </si>
  <si>
    <t>Антверпен</t>
  </si>
  <si>
    <t>@liliyarebkavets2</t>
  </si>
  <si>
    <t>elenanary@list.ru</t>
  </si>
  <si>
    <t>Смазнов</t>
  </si>
  <si>
    <t>Михаэлис</t>
  </si>
  <si>
    <t>1984-03-08</t>
  </si>
  <si>
    <t>Чита</t>
  </si>
  <si>
    <t>Бойкиня</t>
  </si>
  <si>
    <t>Бутковская</t>
  </si>
  <si>
    <t>Polina</t>
  </si>
  <si>
    <t>Troshenkova</t>
  </si>
  <si>
    <t>1988-09-10</t>
  </si>
  <si>
    <t>Ишимов</t>
  </si>
  <si>
    <t>1985-02-01</t>
  </si>
  <si>
    <t>iatmashu89@yandex.ru</t>
  </si>
  <si>
    <t>Медведева</t>
  </si>
  <si>
    <t>1960-08-11</t>
  </si>
  <si>
    <t>Харин</t>
  </si>
  <si>
    <t>Lāsma</t>
  </si>
  <si>
    <t>Tūtare</t>
  </si>
  <si>
    <t>Овчарова</t>
  </si>
  <si>
    <t>Иркутск</t>
  </si>
  <si>
    <t>1994-04-19</t>
  </si>
  <si>
    <t>Petropavlovsk Kamchatskii</t>
  </si>
  <si>
    <t>Лада</t>
  </si>
  <si>
    <t>Хричева</t>
  </si>
  <si>
    <t>Шевцова</t>
  </si>
  <si>
    <t>1970-08-11</t>
  </si>
  <si>
    <t>Харьков</t>
  </si>
  <si>
    <t>Королева</t>
  </si>
  <si>
    <t>Solvitai</t>
  </si>
  <si>
    <t>Kļaviņa</t>
  </si>
  <si>
    <t>1969-07-11</t>
  </si>
  <si>
    <t>Jēkabpils</t>
  </si>
  <si>
    <t>Соломатина</t>
  </si>
  <si>
    <t>olganasolo@yandex.ru</t>
  </si>
  <si>
    <t>Губанова</t>
  </si>
  <si>
    <t>Бочкарева</t>
  </si>
  <si>
    <t>Анциферова</t>
  </si>
  <si>
    <t>1981-05-03</t>
  </si>
  <si>
    <t>Кудрявцев</t>
  </si>
  <si>
    <t>1971-10-02</t>
  </si>
  <si>
    <t>Будель</t>
  </si>
  <si>
    <t>Vittiriabudel@mail.ru</t>
  </si>
  <si>
    <t>Журавлёв</t>
  </si>
  <si>
    <t>8848484@gmail.com</t>
  </si>
  <si>
    <t>+380638566323</t>
  </si>
  <si>
    <t>United States</t>
  </si>
  <si>
    <t>Шапорева</t>
  </si>
  <si>
    <t>Nata</t>
  </si>
  <si>
    <t>K</t>
  </si>
  <si>
    <t>2022-02-16</t>
  </si>
  <si>
    <t>Sunnyvale</t>
  </si>
  <si>
    <t>Юля</t>
  </si>
  <si>
    <t>Жданова</t>
  </si>
  <si>
    <t>Плотникова</t>
  </si>
  <si>
    <t>Артемьев</t>
  </si>
  <si>
    <t>Балшикбаева</t>
  </si>
  <si>
    <t>Зевалкин</t>
  </si>
  <si>
    <t>denis.dz88@gmail.com</t>
  </si>
  <si>
    <t>+79227354898</t>
  </si>
  <si>
    <t>Toma</t>
  </si>
  <si>
    <t>Ninichuk</t>
  </si>
  <si>
    <t>1974-01-18</t>
  </si>
  <si>
    <t>USA</t>
  </si>
  <si>
    <t xml:space="preserve">Sacramento </t>
  </si>
  <si>
    <t>Сизова</t>
  </si>
  <si>
    <t>1979-11-19</t>
  </si>
  <si>
    <t xml:space="preserve">Хабаровск </t>
  </si>
  <si>
    <t>https://t.me/Anna_Sizova_Photo</t>
  </si>
  <si>
    <t>Assem</t>
  </si>
  <si>
    <t>Nurlanbekova</t>
  </si>
  <si>
    <t>1988-02-16</t>
  </si>
  <si>
    <t>Mountain View</t>
  </si>
  <si>
    <t>Мирзаева</t>
  </si>
  <si>
    <t>1967-02-20</t>
  </si>
  <si>
    <t>Гайрат</t>
  </si>
  <si>
    <t>Тилляходжаев</t>
  </si>
  <si>
    <t>2005-07-03</t>
  </si>
  <si>
    <t>Gayratali Tillyaxojaev</t>
  </si>
  <si>
    <t>Хамдия</t>
  </si>
  <si>
    <t>Исламова</t>
  </si>
  <si>
    <t>Нагорская</t>
  </si>
  <si>
    <t>2022-02-18</t>
  </si>
  <si>
    <t>Копенкина</t>
  </si>
  <si>
    <t>Симонова</t>
  </si>
  <si>
    <t>Старухина</t>
  </si>
  <si>
    <t>1993-03-03</t>
  </si>
  <si>
    <t>Продан</t>
  </si>
  <si>
    <t>Ignatjeva</t>
  </si>
  <si>
    <t>ilonaig@yahoo.com</t>
  </si>
  <si>
    <t>San Diego</t>
  </si>
  <si>
    <t>Денисова</t>
  </si>
  <si>
    <t>grot48doroga@mail.ru</t>
  </si>
  <si>
    <t>Рощупкина</t>
  </si>
  <si>
    <t>1974-05-23</t>
  </si>
  <si>
    <t>Мулёва</t>
  </si>
  <si>
    <t>Клд</t>
  </si>
  <si>
    <t>Тулинов</t>
  </si>
  <si>
    <t>steal8888tsrget@yandex.ru</t>
  </si>
  <si>
    <t>+79051735687</t>
  </si>
  <si>
    <t>@Artemtema888</t>
  </si>
  <si>
    <t>Хомич</t>
  </si>
  <si>
    <t>1805malibu@gmail.com</t>
  </si>
  <si>
    <t>katy1art@mail.ru</t>
  </si>
  <si>
    <t>Чунаева</t>
  </si>
  <si>
    <t>1962-02-28</t>
  </si>
  <si>
    <t>Канада</t>
  </si>
  <si>
    <t>Oleg</t>
  </si>
  <si>
    <t>Hajcenko</t>
  </si>
  <si>
    <t>1990-04-07</t>
  </si>
  <si>
    <t>Dayana</t>
  </si>
  <si>
    <t>Chernenko</t>
  </si>
  <si>
    <t>2000-08-22</t>
  </si>
  <si>
    <t>Виолета</t>
  </si>
  <si>
    <t>Будрикене</t>
  </si>
  <si>
    <t>Rodionova</t>
  </si>
  <si>
    <t>Лагойко</t>
  </si>
  <si>
    <t>Менделеева</t>
  </si>
  <si>
    <t>Карцев</t>
  </si>
  <si>
    <t>Карцева</t>
  </si>
  <si>
    <t>Лазарева</t>
  </si>
  <si>
    <t>irusiazem@gmail.com</t>
  </si>
  <si>
    <t>alena030478@mail.ru</t>
  </si>
  <si>
    <t>Ilia</t>
  </si>
  <si>
    <t>Zhdanov</t>
  </si>
  <si>
    <t>1976-07-28</t>
  </si>
  <si>
    <t xml:space="preserve">Use </t>
  </si>
  <si>
    <t>LA</t>
  </si>
  <si>
    <t>Тимофеева</t>
  </si>
  <si>
    <t>Jason</t>
  </si>
  <si>
    <t>Kean</t>
  </si>
  <si>
    <t>Нью Брансуик</t>
  </si>
  <si>
    <t>Liliia</t>
  </si>
  <si>
    <t>Rakhmangulova</t>
  </si>
  <si>
    <t>1975-06-09</t>
  </si>
  <si>
    <t xml:space="preserve">США </t>
  </si>
  <si>
    <t xml:space="preserve">Нью-Йорк </t>
  </si>
  <si>
    <t>klavdiahetchinof@gmail.com</t>
  </si>
  <si>
    <t>Maria</t>
  </si>
  <si>
    <t>Zimina</t>
  </si>
  <si>
    <t>mariazimina@yahoo.com</t>
  </si>
  <si>
    <t>+14067813777</t>
  </si>
  <si>
    <t>1984-06-12</t>
  </si>
  <si>
    <t>GROVETOWN</t>
  </si>
  <si>
    <t>Никачёв</t>
  </si>
  <si>
    <t>Aleksei</t>
  </si>
  <si>
    <t>Rein</t>
  </si>
  <si>
    <t>1984-02-14</t>
  </si>
  <si>
    <t>Usa</t>
  </si>
  <si>
    <t>Miami</t>
  </si>
  <si>
    <t>Valeriya</t>
  </si>
  <si>
    <t>Fedorova</t>
  </si>
  <si>
    <t>1975-02-05</t>
  </si>
  <si>
    <t xml:space="preserve">USA </t>
  </si>
  <si>
    <t xml:space="preserve">Hollywood </t>
  </si>
  <si>
    <t>Lyailya</t>
  </si>
  <si>
    <t>Kairkanova</t>
  </si>
  <si>
    <t>1991-12-15</t>
  </si>
  <si>
    <t>Orlando</t>
  </si>
  <si>
    <t>Август</t>
  </si>
  <si>
    <t>Якушин</t>
  </si>
  <si>
    <t>Ямских</t>
  </si>
  <si>
    <t>Айнабат</t>
  </si>
  <si>
    <t>Халлиева</t>
  </si>
  <si>
    <t>a@gmail.com</t>
  </si>
  <si>
    <t>alinah20@yandex.ru</t>
  </si>
  <si>
    <t>Daria</t>
  </si>
  <si>
    <t>Luna</t>
  </si>
  <si>
    <t>1992-01-29</t>
  </si>
  <si>
    <t xml:space="preserve">Miami </t>
  </si>
  <si>
    <t>f@gmail.com</t>
  </si>
  <si>
    <t>Климович</t>
  </si>
  <si>
    <t>1991-07-03</t>
  </si>
  <si>
    <t>Берсенева</t>
  </si>
  <si>
    <t>ANNA</t>
  </si>
  <si>
    <t>NAPRASNIKOVA</t>
  </si>
  <si>
    <t>1985-04-02</t>
  </si>
  <si>
    <t>CHICAGO</t>
  </si>
  <si>
    <t>1971-06-13</t>
  </si>
  <si>
    <t>@OEG13</t>
  </si>
  <si>
    <t>К</t>
  </si>
  <si>
    <t>1946-09-29</t>
  </si>
  <si>
    <t>Мтс</t>
  </si>
  <si>
    <t>Cobb</t>
  </si>
  <si>
    <t>1975-02-03</t>
  </si>
  <si>
    <t>Frisco</t>
  </si>
  <si>
    <t>Сафарова</t>
  </si>
  <si>
    <t>rs-0de5@yandex.ru</t>
  </si>
  <si>
    <t>Валерон</t>
  </si>
  <si>
    <t>Кусь</t>
  </si>
  <si>
    <t>Brooklyn</t>
  </si>
  <si>
    <t>Новова</t>
  </si>
  <si>
    <t>1973-09-16</t>
  </si>
  <si>
    <t>Америка</t>
  </si>
  <si>
    <t>Майами</t>
  </si>
  <si>
    <t>Darina</t>
  </si>
  <si>
    <t>Sych</t>
  </si>
  <si>
    <t>Chicago</t>
  </si>
  <si>
    <t>nataliia</t>
  </si>
  <si>
    <t>smith-klymentiieva</t>
  </si>
  <si>
    <t>1984-05-04</t>
  </si>
  <si>
    <t>Aberdeen</t>
  </si>
  <si>
    <t>Дария</t>
  </si>
  <si>
    <t>Качан</t>
  </si>
  <si>
    <t>dasha2002540671824@gmail.com</t>
  </si>
  <si>
    <t>+375336065260</t>
  </si>
  <si>
    <t>2002-09-09</t>
  </si>
  <si>
    <t>Ларионова</t>
  </si>
  <si>
    <t>2002-10-06</t>
  </si>
  <si>
    <t>sofapul@gmail.com</t>
  </si>
  <si>
    <t>Alyssa</t>
  </si>
  <si>
    <t>WarrenWood</t>
  </si>
  <si>
    <t>Грандс-Пасс</t>
  </si>
  <si>
    <t>Баяндина</t>
  </si>
  <si>
    <t>Аля</t>
  </si>
  <si>
    <t>Су</t>
  </si>
  <si>
    <t>2022-03-12</t>
  </si>
  <si>
    <t xml:space="preserve">Канада </t>
  </si>
  <si>
    <t xml:space="preserve">Торонто </t>
  </si>
  <si>
    <t>Anastasia</t>
  </si>
  <si>
    <t>French</t>
  </si>
  <si>
    <t>1971-04-01</t>
  </si>
  <si>
    <t>FISHERS</t>
  </si>
  <si>
    <t>Варвара</t>
  </si>
  <si>
    <t>Гридина</t>
  </si>
  <si>
    <t>1995-05-29</t>
  </si>
  <si>
    <t>NYC</t>
  </si>
  <si>
    <t>Valentina</t>
  </si>
  <si>
    <t>Svensson</t>
  </si>
  <si>
    <t>2022-02-28</t>
  </si>
  <si>
    <t>Эребру</t>
  </si>
  <si>
    <t>Айрат</t>
  </si>
  <si>
    <t>Ахметшин</t>
  </si>
  <si>
    <t>1975-03-11</t>
  </si>
  <si>
    <t>Набережные челны</t>
  </si>
  <si>
    <t>David</t>
  </si>
  <si>
    <t>Daraselia</t>
  </si>
  <si>
    <t>info@eto-razvod.ru</t>
  </si>
  <si>
    <t>Румыния</t>
  </si>
  <si>
    <t>Прокопьева</t>
  </si>
  <si>
    <t>1970-09-11</t>
  </si>
  <si>
    <t>Janis</t>
  </si>
  <si>
    <t>Jekabsons</t>
  </si>
  <si>
    <t>1978-04-12</t>
  </si>
  <si>
    <t>Кульман</t>
  </si>
  <si>
    <t>1963-03-08</t>
  </si>
  <si>
    <t>Королев</t>
  </si>
  <si>
    <t>Сорочинский</t>
  </si>
  <si>
    <t>Шеметова</t>
  </si>
  <si>
    <t>1982-09-16</t>
  </si>
  <si>
    <t>Смирнова</t>
  </si>
  <si>
    <t>1994-08-26</t>
  </si>
  <si>
    <t>Шутко</t>
  </si>
  <si>
    <t>Petersohn</t>
  </si>
  <si>
    <t>Natalia</t>
  </si>
  <si>
    <t>Зороастров</t>
  </si>
  <si>
    <t>Рудковская</t>
  </si>
  <si>
    <t>Голубь</t>
  </si>
  <si>
    <t>Лила</t>
  </si>
  <si>
    <t>Жуганова</t>
  </si>
  <si>
    <t>Сысоев</t>
  </si>
  <si>
    <t>Волошина</t>
  </si>
  <si>
    <t>Мастер</t>
  </si>
  <si>
    <t>Ив</t>
  </si>
  <si>
    <t>Новороссийск</t>
  </si>
  <si>
    <t>Ваганов</t>
  </si>
  <si>
    <t>ivanvaganov@yandex.ru</t>
  </si>
  <si>
    <t>+79006553554</t>
  </si>
  <si>
    <t>Тамила</t>
  </si>
  <si>
    <t>Запорожец</t>
  </si>
  <si>
    <t>Дью</t>
  </si>
  <si>
    <t>Истомина</t>
  </si>
  <si>
    <t>5420513@mail.ru</t>
  </si>
  <si>
    <t>+79267201832</t>
  </si>
  <si>
    <t>Гуля</t>
  </si>
  <si>
    <t>Шахло</t>
  </si>
  <si>
    <t>Халирахманова</t>
  </si>
  <si>
    <t>Шелкова</t>
  </si>
  <si>
    <t>Маъруф</t>
  </si>
  <si>
    <t>Рахматов</t>
  </si>
  <si>
    <t>Aliaksandr</t>
  </si>
  <si>
    <t>Kuchynski</t>
  </si>
  <si>
    <t>Гришанович</t>
  </si>
  <si>
    <t>Могилёв</t>
  </si>
  <si>
    <t>Чертович</t>
  </si>
  <si>
    <t>Василюк</t>
  </si>
  <si>
    <t>Raisa</t>
  </si>
  <si>
    <t>Pozdnjakova</t>
  </si>
  <si>
    <t>Богдан</t>
  </si>
  <si>
    <t>Кондратьев</t>
  </si>
  <si>
    <t>1993-05-25</t>
  </si>
  <si>
    <t xml:space="preserve">Bogdan </t>
  </si>
  <si>
    <t>Rasa</t>
  </si>
  <si>
    <t>Valaitiene</t>
  </si>
  <si>
    <t>Норвегия</t>
  </si>
  <si>
    <t>Тарас</t>
  </si>
  <si>
    <t>@svetotechenie</t>
  </si>
  <si>
    <t>Горянская</t>
  </si>
  <si>
    <t>Сыроежкина</t>
  </si>
  <si>
    <t>Горностайлово</t>
  </si>
  <si>
    <t>Лавренова</t>
  </si>
  <si>
    <t>Врублевская</t>
  </si>
  <si>
    <t>Modestas</t>
  </si>
  <si>
    <t>Martinkus</t>
  </si>
  <si>
    <t>Терегулов</t>
  </si>
  <si>
    <t>Турция</t>
  </si>
  <si>
    <t>Лидия</t>
  </si>
  <si>
    <t>Базанова</t>
  </si>
  <si>
    <t>eva.zarubina.1995@gmail.ru</t>
  </si>
  <si>
    <t>Златоуст</t>
  </si>
  <si>
    <t>Дементьева</t>
  </si>
  <si>
    <t>1977-06-09</t>
  </si>
  <si>
    <t>Каражелясков</t>
  </si>
  <si>
    <t>Эндже</t>
  </si>
  <si>
    <t>Гизитдинова</t>
  </si>
  <si>
    <t>1974-02-26</t>
  </si>
  <si>
    <t>Щербаков</t>
  </si>
  <si>
    <t>1982-08-26</t>
  </si>
  <si>
    <t>Свободный</t>
  </si>
  <si>
    <t>Тутова</t>
  </si>
  <si>
    <t>Полукеева</t>
  </si>
  <si>
    <t>Биробиджан</t>
  </si>
  <si>
    <t>Ира</t>
  </si>
  <si>
    <t>diolain7@gmail.com</t>
  </si>
  <si>
    <t>Шевчик</t>
  </si>
  <si>
    <t>Марчук</t>
  </si>
  <si>
    <t>1976-05-27</t>
  </si>
  <si>
    <t>Телегина</t>
  </si>
  <si>
    <t>Тамара</t>
  </si>
  <si>
    <t>Чудиновских</t>
  </si>
  <si>
    <t>Герцлия</t>
  </si>
  <si>
    <t>Леонид</t>
  </si>
  <si>
    <t>Леликов</t>
  </si>
  <si>
    <t>André</t>
  </si>
  <si>
    <t>Röthlisberger</t>
  </si>
  <si>
    <t>Смирнов</t>
  </si>
  <si>
    <t>Острогорская</t>
  </si>
  <si>
    <t>Гостяев</t>
  </si>
  <si>
    <t>Коротовских</t>
  </si>
  <si>
    <t>Герасименко</t>
  </si>
  <si>
    <t>Гатина</t>
  </si>
  <si>
    <t>Клопкова</t>
  </si>
  <si>
    <t>anastasiya.olegovna5360@gmail.com</t>
  </si>
  <si>
    <t>+79159937905</t>
  </si>
  <si>
    <t xml:space="preserve">Анастасия Валерьевна </t>
  </si>
  <si>
    <t>Мурманск</t>
  </si>
  <si>
    <t xml:space="preserve">Лилия </t>
  </si>
  <si>
    <t>Qwerty@bk.ru</t>
  </si>
  <si>
    <t>+375336200933</t>
  </si>
  <si>
    <t>Захарова</t>
  </si>
  <si>
    <t>elensvon8@gmail.com</t>
  </si>
  <si>
    <t>Елена Захарова</t>
  </si>
  <si>
    <t>Савина</t>
  </si>
  <si>
    <t>Нестерович</t>
  </si>
  <si>
    <t>Руслана</t>
  </si>
  <si>
    <t>Раевская</t>
  </si>
  <si>
    <t>werwer</t>
  </si>
  <si>
    <t>werwerwer</t>
  </si>
  <si>
    <t>sdfdsfsdffd@gmail.com</t>
  </si>
  <si>
    <t>+72228883333</t>
  </si>
  <si>
    <t>etetrt</t>
  </si>
  <si>
    <t>ertertert</t>
  </si>
  <si>
    <t>ertert</t>
  </si>
  <si>
    <t>ertertrt</t>
  </si>
  <si>
    <t>ыаыв</t>
  </si>
  <si>
    <t>ываыв</t>
  </si>
  <si>
    <t>yo_xf@sdad.rt</t>
  </si>
  <si>
    <t>Скорочкина</t>
  </si>
  <si>
    <t>Тамбовская область</t>
  </si>
  <si>
    <t>Уля</t>
  </si>
  <si>
    <t>Солнцева</t>
  </si>
  <si>
    <t>Мурыгин</t>
  </si>
  <si>
    <t>Юмачикова</t>
  </si>
  <si>
    <t>Патрик</t>
  </si>
  <si>
    <t>Белеевская</t>
  </si>
  <si>
    <t>Чехия</t>
  </si>
  <si>
    <t>Прага</t>
  </si>
  <si>
    <t>Monika</t>
  </si>
  <si>
    <t>Stirbienė</t>
  </si>
  <si>
    <t>Ляхова</t>
  </si>
  <si>
    <t>1994-04-27</t>
  </si>
  <si>
    <t>Enzi</t>
  </si>
  <si>
    <t>Rasuolė</t>
  </si>
  <si>
    <t>Balsevičiūtė</t>
  </si>
  <si>
    <t>Ief</t>
  </si>
  <si>
    <t>Vancouillie</t>
  </si>
  <si>
    <t>Булат</t>
  </si>
  <si>
    <t>Валеев</t>
  </si>
  <si>
    <t>Горбачева</t>
  </si>
  <si>
    <t>2022-03-31</t>
  </si>
  <si>
    <t>Чернета</t>
  </si>
  <si>
    <t>1989-02-13</t>
  </si>
  <si>
    <t>Натали</t>
  </si>
  <si>
    <t>Мик</t>
  </si>
  <si>
    <t>Долгачёва</t>
  </si>
  <si>
    <t>yana1567dolgacheva@outlook.com</t>
  </si>
  <si>
    <t>+375296674044</t>
  </si>
  <si>
    <t>Фурман</t>
  </si>
  <si>
    <t>Суворова</t>
  </si>
  <si>
    <t>Буглак</t>
  </si>
  <si>
    <t>2001-05-02</t>
  </si>
  <si>
    <t>Григорий</t>
  </si>
  <si>
    <t>Володько</t>
  </si>
  <si>
    <t>Кебец</t>
  </si>
  <si>
    <t>1991-11-29</t>
  </si>
  <si>
    <t>Краснова</t>
  </si>
  <si>
    <t>Андриенко</t>
  </si>
  <si>
    <t>Мельникова</t>
  </si>
  <si>
    <t>Синельщикова</t>
  </si>
  <si>
    <t>batirochka@mail.com</t>
  </si>
  <si>
    <t>Гринь</t>
  </si>
  <si>
    <t>Фульга</t>
  </si>
  <si>
    <t>Дяков</t>
  </si>
  <si>
    <t>Лысюк</t>
  </si>
  <si>
    <t>Aleksandar</t>
  </si>
  <si>
    <t>Rangelov</t>
  </si>
  <si>
    <t>Larisa</t>
  </si>
  <si>
    <t>Gordyukhina</t>
  </si>
  <si>
    <t>Янушкевич</t>
  </si>
  <si>
    <t>Kühn</t>
  </si>
  <si>
    <t>1976-03-05</t>
  </si>
  <si>
    <t>Зинген</t>
  </si>
  <si>
    <t>Кудаленкина</t>
  </si>
  <si>
    <t>Агафонова</t>
  </si>
  <si>
    <t>Трихминов</t>
  </si>
  <si>
    <t>1969-08-04</t>
  </si>
  <si>
    <t xml:space="preserve">Конаково </t>
  </si>
  <si>
    <t>Гладких</t>
  </si>
  <si>
    <t>Докучаева</t>
  </si>
  <si>
    <t>1976-06-10</t>
  </si>
  <si>
    <t>Миназиева</t>
  </si>
  <si>
    <t>Буталова</t>
  </si>
  <si>
    <t>butavova@yandex.ru</t>
  </si>
  <si>
    <t>+818042769555</t>
  </si>
  <si>
    <t>Осака</t>
  </si>
  <si>
    <t xml:space="preserve">@Natalia Kabashima </t>
  </si>
  <si>
    <t>Логинова</t>
  </si>
  <si>
    <t>Агибалов</t>
  </si>
  <si>
    <t>Данилова</t>
  </si>
  <si>
    <t>Тихонова</t>
  </si>
  <si>
    <t>at4950992@yandex.ru</t>
  </si>
  <si>
    <t>+79089356501</t>
  </si>
  <si>
    <t>Chris</t>
  </si>
  <si>
    <t>Müller</t>
  </si>
  <si>
    <t>1991-01-20</t>
  </si>
  <si>
    <t>Рябов</t>
  </si>
  <si>
    <t>Элина</t>
  </si>
  <si>
    <t>Разумовьска</t>
  </si>
  <si>
    <t>Львов</t>
  </si>
  <si>
    <t>@Luna_aestas</t>
  </si>
  <si>
    <t>МИРЗА</t>
  </si>
  <si>
    <t>ХУСНИТДИНОВ</t>
  </si>
  <si>
    <t>Парфёнов</t>
  </si>
  <si>
    <t>Тюлеменков</t>
  </si>
  <si>
    <t>Парвиз</t>
  </si>
  <si>
    <t>Алиев</t>
  </si>
  <si>
    <t>Грисюк</t>
  </si>
  <si>
    <t>Туманов</t>
  </si>
  <si>
    <t>Соколов</t>
  </si>
  <si>
    <t>Гусева</t>
  </si>
  <si>
    <t>rs-fadd@mail.ru</t>
  </si>
  <si>
    <t>Regina</t>
  </si>
  <si>
    <t>Warkentin</t>
  </si>
  <si>
    <t>1986-01-25</t>
  </si>
  <si>
    <t>St.Wendel</t>
  </si>
  <si>
    <t>ZHOMART</t>
  </si>
  <si>
    <t>KOPBAYEV</t>
  </si>
  <si>
    <t>Фролова</t>
  </si>
  <si>
    <t>алина</t>
  </si>
  <si>
    <t>львова</t>
  </si>
  <si>
    <t>akamaletdinova1812@gmail.com</t>
  </si>
  <si>
    <t>+79872957943</t>
  </si>
  <si>
    <t>Каширин</t>
  </si>
  <si>
    <t>Таранко</t>
  </si>
  <si>
    <t>Жанар</t>
  </si>
  <si>
    <t>Жаксыбергенова</t>
  </si>
  <si>
    <t>2022-04-21</t>
  </si>
  <si>
    <t>Каменск-уральский</t>
  </si>
  <si>
    <t>Борисов</t>
  </si>
  <si>
    <t>testvich</t>
  </si>
  <si>
    <t>test123@yandex.ru</t>
  </si>
  <si>
    <t>testtest</t>
  </si>
  <si>
    <t>testtestovich</t>
  </si>
  <si>
    <t>wasd@yandex.ru</t>
  </si>
  <si>
    <t>Сорока</t>
  </si>
  <si>
    <t>Косаренко</t>
  </si>
  <si>
    <t>Шевчук</t>
  </si>
  <si>
    <t>Калина</t>
  </si>
  <si>
    <t>Сухомлинова</t>
  </si>
  <si>
    <t>Краснодарский край</t>
  </si>
  <si>
    <t>Харьковская</t>
  </si>
  <si>
    <t>Тарутина</t>
  </si>
  <si>
    <t>Баранец</t>
  </si>
  <si>
    <t>Efimenko</t>
  </si>
  <si>
    <t>Mila</t>
  </si>
  <si>
    <t>Гузаля</t>
  </si>
  <si>
    <t>Хамзина</t>
  </si>
  <si>
    <t>Furqat</t>
  </si>
  <si>
    <t>Niyazov</t>
  </si>
  <si>
    <t>Гульзат</t>
  </si>
  <si>
    <t>Токталиева</t>
  </si>
  <si>
    <t>1984-01-30</t>
  </si>
  <si>
    <t xml:space="preserve">Кыргызстан </t>
  </si>
  <si>
    <t>Берёзкина</t>
  </si>
  <si>
    <t>nata.berezkina@internet.ru</t>
  </si>
  <si>
    <t>+375292910069</t>
  </si>
  <si>
    <t>Майк</t>
  </si>
  <si>
    <t>Кверти</t>
  </si>
  <si>
    <t>Абрамкина</t>
  </si>
  <si>
    <t>1974-12-24</t>
  </si>
  <si>
    <t xml:space="preserve"> Москва </t>
  </si>
  <si>
    <t>Хрусталёва</t>
  </si>
  <si>
    <t>1996-07-17</t>
  </si>
  <si>
    <t>ДНР</t>
  </si>
  <si>
    <t>Олейникова</t>
  </si>
  <si>
    <t>1981-10-03</t>
  </si>
  <si>
    <t>Одеса</t>
  </si>
  <si>
    <t>Двойникова</t>
  </si>
  <si>
    <t>Бабич</t>
  </si>
  <si>
    <t>1985-02-27</t>
  </si>
  <si>
    <t>Лорет де мар</t>
  </si>
  <si>
    <t>Смыкова</t>
  </si>
  <si>
    <t>Тргебова</t>
  </si>
  <si>
    <t>Тереза</t>
  </si>
  <si>
    <t>Пацук</t>
  </si>
  <si>
    <t>Покровская</t>
  </si>
  <si>
    <t>1969-12-13</t>
  </si>
  <si>
    <t>Астрахань</t>
  </si>
  <si>
    <t>Медв</t>
  </si>
  <si>
    <t>Решетникова</t>
  </si>
  <si>
    <t>2022-04-23</t>
  </si>
  <si>
    <t>Баринова</t>
  </si>
  <si>
    <t>1935-03-27</t>
  </si>
  <si>
    <t>г.Севастополь</t>
  </si>
  <si>
    <t>светлана</t>
  </si>
  <si>
    <t>боровкова</t>
  </si>
  <si>
    <t>samtavev@yandex.ru</t>
  </si>
  <si>
    <t>Новосёлова</t>
  </si>
  <si>
    <t>Новоселова</t>
  </si>
  <si>
    <t>Калужская область</t>
  </si>
  <si>
    <t>Кодин</t>
  </si>
  <si>
    <t>Симоненко</t>
  </si>
  <si>
    <t>Шульякова</t>
  </si>
  <si>
    <t>Вологодская область</t>
  </si>
  <si>
    <t>Бренер</t>
  </si>
  <si>
    <t>1966-04-02</t>
  </si>
  <si>
    <t xml:space="preserve">Самара </t>
  </si>
  <si>
    <t>Лепихина</t>
  </si>
  <si>
    <t>yulia-lepihina@mail.ru</t>
  </si>
  <si>
    <t>+79027371450</t>
  </si>
  <si>
    <t>Россмя</t>
  </si>
  <si>
    <t>Джамиля</t>
  </si>
  <si>
    <t>Кулешова</t>
  </si>
  <si>
    <t>El</t>
  </si>
  <si>
    <t>Воронежская область</t>
  </si>
  <si>
    <t>Войцеховская</t>
  </si>
  <si>
    <t>1970-08-23</t>
  </si>
  <si>
    <t>Зайцева</t>
  </si>
  <si>
    <t>1994-03-11</t>
  </si>
  <si>
    <t>gohar</t>
  </si>
  <si>
    <t>mkrtchyan</t>
  </si>
  <si>
    <t>Матвеева</t>
  </si>
  <si>
    <t>г.Санкт-Петербург и Ленинградская область</t>
  </si>
  <si>
    <t>Милослава</t>
  </si>
  <si>
    <t>Волкова</t>
  </si>
  <si>
    <t>Алишер</t>
  </si>
  <si>
    <t>Алимов</t>
  </si>
  <si>
    <t>1975-05-19</t>
  </si>
  <si>
    <t>Дейк</t>
  </si>
  <si>
    <t>Армен</t>
  </si>
  <si>
    <t>завенович</t>
  </si>
  <si>
    <t>Республика Крым и г.Севастополь</t>
  </si>
  <si>
    <t>Скок</t>
  </si>
  <si>
    <t>Ярослава</t>
  </si>
  <si>
    <t>Казамурова</t>
  </si>
  <si>
    <t>Антипова</t>
  </si>
  <si>
    <t>1970-08-08</t>
  </si>
  <si>
    <t>Паршута</t>
  </si>
  <si>
    <t>Редько</t>
  </si>
  <si>
    <t>Mihail</t>
  </si>
  <si>
    <t>KIRYUSHCHENKOV</t>
  </si>
  <si>
    <t>Курская область</t>
  </si>
  <si>
    <t>Рейфонас</t>
  </si>
  <si>
    <t>Козырь</t>
  </si>
  <si>
    <t>Ssldanov@gmail.com</t>
  </si>
  <si>
    <t>Побылец</t>
  </si>
  <si>
    <t>Авдеева</t>
  </si>
  <si>
    <t>Исмаилова</t>
  </si>
  <si>
    <t>Анар</t>
  </si>
  <si>
    <t>Нурсиланова</t>
  </si>
  <si>
    <t>Краваески</t>
  </si>
  <si>
    <t>Муталиева</t>
  </si>
  <si>
    <t>Kamilla</t>
  </si>
  <si>
    <t>Kholmirzayeva</t>
  </si>
  <si>
    <t>Федорова</t>
  </si>
  <si>
    <t>Рлза</t>
  </si>
  <si>
    <t>Айтбаева</t>
  </si>
  <si>
    <t>1992-05-22</t>
  </si>
  <si>
    <t>Kz</t>
  </si>
  <si>
    <t>Krg</t>
  </si>
  <si>
    <t>Dı</t>
  </si>
  <si>
    <t>Arıpovna</t>
  </si>
  <si>
    <t>Севара</t>
  </si>
  <si>
    <t>Багирова</t>
  </si>
  <si>
    <t>Sewarka@123.com</t>
  </si>
  <si>
    <t>+998906566233</t>
  </si>
  <si>
    <t>Sh</t>
  </si>
  <si>
    <t>Gadjieva</t>
  </si>
  <si>
    <t>Рушана</t>
  </si>
  <si>
    <t>Мусаева</t>
  </si>
  <si>
    <t>Райхан</t>
  </si>
  <si>
    <t>Кустанова</t>
  </si>
  <si>
    <t>Аббосова</t>
  </si>
  <si>
    <t>Альбина</t>
  </si>
  <si>
    <t>Мухина</t>
  </si>
  <si>
    <t>Буянова</t>
  </si>
  <si>
    <t>Barno</t>
  </si>
  <si>
    <t>Fayzieva</t>
  </si>
  <si>
    <t>Ена</t>
  </si>
  <si>
    <t>Ли</t>
  </si>
  <si>
    <t>Гулнур</t>
  </si>
  <si>
    <t>Джумабаева</t>
  </si>
  <si>
    <t>Жания</t>
  </si>
  <si>
    <t>Сатыбалдиева</t>
  </si>
  <si>
    <t>Серж</t>
  </si>
  <si>
    <t>Свой</t>
  </si>
  <si>
    <t>Хашаев</t>
  </si>
  <si>
    <t>1977-06-06</t>
  </si>
  <si>
    <t>Камила</t>
  </si>
  <si>
    <t>Наина</t>
  </si>
  <si>
    <t>Бурухина</t>
  </si>
  <si>
    <t>naina14@inbox.ru</t>
  </si>
  <si>
    <t>1986-08-16</t>
  </si>
  <si>
    <t>Зауреш</t>
  </si>
  <si>
    <t>Хамит</t>
  </si>
  <si>
    <t>Абдуллаева</t>
  </si>
  <si>
    <t>Мубина</t>
  </si>
  <si>
    <t>Тураева</t>
  </si>
  <si>
    <t>Навбахор</t>
  </si>
  <si>
    <t>Хамроева</t>
  </si>
  <si>
    <t>Ильнура</t>
  </si>
  <si>
    <t>Фаттахова</t>
  </si>
  <si>
    <t>Айгерим</t>
  </si>
  <si>
    <t>Канагатова</t>
  </si>
  <si>
    <t>Адылова</t>
  </si>
  <si>
    <t>Битюцкая</t>
  </si>
  <si>
    <t>Irak665@mai.ru</t>
  </si>
  <si>
    <t>+998903330825</t>
  </si>
  <si>
    <t>Adel</t>
  </si>
  <si>
    <t>Usmanova</t>
  </si>
  <si>
    <t>Galiya</t>
  </si>
  <si>
    <t>Бельфер</t>
  </si>
  <si>
    <t>1976-08-04</t>
  </si>
  <si>
    <t>казахстан</t>
  </si>
  <si>
    <t>алматы</t>
  </si>
  <si>
    <t>Юлдуз</t>
  </si>
  <si>
    <t>Саттарова</t>
  </si>
  <si>
    <t>Салтанат</t>
  </si>
  <si>
    <t>Bardi</t>
  </si>
  <si>
    <t>Гульнура</t>
  </si>
  <si>
    <t>Гун</t>
  </si>
  <si>
    <t>Дос</t>
  </si>
  <si>
    <t>Naz</t>
  </si>
  <si>
    <t>Асылбек</t>
  </si>
  <si>
    <t>Мухамбеткереев</t>
  </si>
  <si>
    <t>Саодат</t>
  </si>
  <si>
    <t>Хусанова</t>
  </si>
  <si>
    <t>Герберсгаген</t>
  </si>
  <si>
    <t>Yuriy</t>
  </si>
  <si>
    <t>Svetly</t>
  </si>
  <si>
    <t>1985-04-12</t>
  </si>
  <si>
    <t>Шитиков</t>
  </si>
  <si>
    <t>Ерёменко</t>
  </si>
  <si>
    <t>Озодв</t>
  </si>
  <si>
    <t>Матчанова</t>
  </si>
  <si>
    <t>Tatyana</t>
  </si>
  <si>
    <t>Kukina</t>
  </si>
  <si>
    <t>Avd</t>
  </si>
  <si>
    <t>Ширин</t>
  </si>
  <si>
    <t>Холматова</t>
  </si>
  <si>
    <t>Рената</t>
  </si>
  <si>
    <t>Renatasifl@mail.ru</t>
  </si>
  <si>
    <t>+998915401091</t>
  </si>
  <si>
    <t>Жанболат</t>
  </si>
  <si>
    <t>Куантаев</t>
  </si>
  <si>
    <t>Царькова</t>
  </si>
  <si>
    <t>Деменкова</t>
  </si>
  <si>
    <t>1971-07-12</t>
  </si>
  <si>
    <t>Эллада</t>
  </si>
  <si>
    <t>Аблямиди</t>
  </si>
  <si>
    <t>Акмаль</t>
  </si>
  <si>
    <t>Хасанов</t>
  </si>
  <si>
    <t>Манижа</t>
  </si>
  <si>
    <t>Мухайё</t>
  </si>
  <si>
    <t>Дониерова</t>
  </si>
  <si>
    <t>1983-05-22</t>
  </si>
  <si>
    <t>Uzbekistan</t>
  </si>
  <si>
    <t>Аманбаева</t>
  </si>
  <si>
    <t>Anelya</t>
  </si>
  <si>
    <t>Kussayinova</t>
  </si>
  <si>
    <t>Кудайбергенова</t>
  </si>
  <si>
    <t>Карлыгаш</t>
  </si>
  <si>
    <t>Атыханова</t>
  </si>
  <si>
    <t>Атаханова</t>
  </si>
  <si>
    <t>Айнур</t>
  </si>
  <si>
    <t>Байгулина</t>
  </si>
  <si>
    <t>Кунакбаева</t>
  </si>
  <si>
    <t>1982-06-24</t>
  </si>
  <si>
    <t>Димидов</t>
  </si>
  <si>
    <t>Умида</t>
  </si>
  <si>
    <t>Бабаназарова</t>
  </si>
  <si>
    <t>Филин</t>
  </si>
  <si>
    <t>Ивановская область</t>
  </si>
  <si>
    <t>Закимова</t>
  </si>
  <si>
    <t>Онал</t>
  </si>
  <si>
    <t>1980-10-24</t>
  </si>
  <si>
    <t>Семей</t>
  </si>
  <si>
    <t>Гульжан</t>
  </si>
  <si>
    <t>Азимова</t>
  </si>
  <si>
    <t>Анжела</t>
  </si>
  <si>
    <t>Хижниченко</t>
  </si>
  <si>
    <t>ЭЛЯ</t>
  </si>
  <si>
    <t>Надирова</t>
  </si>
  <si>
    <t>Мира</t>
  </si>
  <si>
    <t>Саидамир</t>
  </si>
  <si>
    <t>Кулик</t>
  </si>
  <si>
    <t>Лола</t>
  </si>
  <si>
    <t>Курбанова</t>
  </si>
  <si>
    <t>Кс</t>
  </si>
  <si>
    <t>Азиза</t>
  </si>
  <si>
    <t>Лукманова</t>
  </si>
  <si>
    <t>Khurly</t>
  </si>
  <si>
    <t>Zh</t>
  </si>
  <si>
    <t>Vladimirovna</t>
  </si>
  <si>
    <t>Айнаш</t>
  </si>
  <si>
    <t>Джумакова</t>
  </si>
  <si>
    <t>Nilufar</t>
  </si>
  <si>
    <t>Xomidova</t>
  </si>
  <si>
    <t>Наргиза</t>
  </si>
  <si>
    <t>Пулатова</t>
  </si>
  <si>
    <t>Лаврина</t>
  </si>
  <si>
    <t>Римма</t>
  </si>
  <si>
    <t>Хафизова</t>
  </si>
  <si>
    <t>Амаль</t>
  </si>
  <si>
    <t>Шароипов</t>
  </si>
  <si>
    <t>Шахметова</t>
  </si>
  <si>
    <t>1997-02-18</t>
  </si>
  <si>
    <t xml:space="preserve">Кокшетау </t>
  </si>
  <si>
    <t>Олмосхон</t>
  </si>
  <si>
    <t>Рузиматова</t>
  </si>
  <si>
    <t>Мохира</t>
  </si>
  <si>
    <t>Гафурова</t>
  </si>
  <si>
    <t>Ким</t>
  </si>
  <si>
    <t>Акжаркын</t>
  </si>
  <si>
    <t>Самбетова</t>
  </si>
  <si>
    <t>Загорец</t>
  </si>
  <si>
    <t>ZAXROXON</t>
  </si>
  <si>
    <t>RUSTAMOVA</t>
  </si>
  <si>
    <t>Наргиз</t>
  </si>
  <si>
    <t>Кистауова</t>
  </si>
  <si>
    <t>Диана</t>
  </si>
  <si>
    <t>Салыкова</t>
  </si>
  <si>
    <t>Ирэна</t>
  </si>
  <si>
    <t>Гимуш</t>
  </si>
  <si>
    <t>Aigerim</t>
  </si>
  <si>
    <t>Kaliaskarkyzy</t>
  </si>
  <si>
    <t>Ярулина</t>
  </si>
  <si>
    <t>Камшат</t>
  </si>
  <si>
    <t>Юсубалиева</t>
  </si>
  <si>
    <t>Эльмира</t>
  </si>
  <si>
    <t>Байбосынова</t>
  </si>
  <si>
    <t>Абду</t>
  </si>
  <si>
    <t>Карамова</t>
  </si>
  <si>
    <t>Мур</t>
  </si>
  <si>
    <t>valentina.kazanceva@list.ru</t>
  </si>
  <si>
    <t>Нурия</t>
  </si>
  <si>
    <t>Ахмедова</t>
  </si>
  <si>
    <t>Shakenova</t>
  </si>
  <si>
    <t>Nozigul</t>
  </si>
  <si>
    <t>Anxel</t>
  </si>
  <si>
    <t>Гулноза</t>
  </si>
  <si>
    <t>Магруфходжаева</t>
  </si>
  <si>
    <t>Меруерт</t>
  </si>
  <si>
    <t>Мамадалиева</t>
  </si>
  <si>
    <t>Аслан</t>
  </si>
  <si>
    <t>Leylaaslanova78@yandeh.ru</t>
  </si>
  <si>
    <t>Natulya</t>
  </si>
  <si>
    <t>Shakirova</t>
  </si>
  <si>
    <t>Gumiriva</t>
  </si>
  <si>
    <t>Шаира</t>
  </si>
  <si>
    <t>Ниёзова</t>
  </si>
  <si>
    <t>Костромыкина</t>
  </si>
  <si>
    <t>1979-07-20</t>
  </si>
  <si>
    <t>Риддер</t>
  </si>
  <si>
    <t>Стася</t>
  </si>
  <si>
    <t>Бычкова</t>
  </si>
  <si>
    <t>Хумайро</t>
  </si>
  <si>
    <t>Маматова</t>
  </si>
  <si>
    <t>Жибек</t>
  </si>
  <si>
    <t>Қайнарбай</t>
  </si>
  <si>
    <t>Калымова</t>
  </si>
  <si>
    <t>Нозима</t>
  </si>
  <si>
    <t>Адизова</t>
  </si>
  <si>
    <t>Регина</t>
  </si>
  <si>
    <t>Абезбаева</t>
  </si>
  <si>
    <t>Гульноз</t>
  </si>
  <si>
    <t>Юнусова</t>
  </si>
  <si>
    <t>Чулембаева</t>
  </si>
  <si>
    <t>Акмарал</t>
  </si>
  <si>
    <t>Алиева</t>
  </si>
  <si>
    <t>Бесекенов</t>
  </si>
  <si>
    <t>Самал</t>
  </si>
  <si>
    <t>Султанова</t>
  </si>
  <si>
    <t>Дадабаева</t>
  </si>
  <si>
    <t>Елубаева</t>
  </si>
  <si>
    <t>Ковалевска</t>
  </si>
  <si>
    <t>1985-07-12</t>
  </si>
  <si>
    <t>Алия</t>
  </si>
  <si>
    <t>Утутлиева</t>
  </si>
  <si>
    <t>aliya@g.mailcom</t>
  </si>
  <si>
    <t>Сургутанова</t>
  </si>
  <si>
    <t>Назокат</t>
  </si>
  <si>
    <t>Гавхар</t>
  </si>
  <si>
    <t>Нур</t>
  </si>
  <si>
    <t>Goncharova</t>
  </si>
  <si>
    <t>2021-08-13</t>
  </si>
  <si>
    <t>Гузаль</t>
  </si>
  <si>
    <t>Ди</t>
  </si>
  <si>
    <t>Тл</t>
  </si>
  <si>
    <t>Соловьева</t>
  </si>
  <si>
    <t>Калининградская область</t>
  </si>
  <si>
    <t>Руфина</t>
  </si>
  <si>
    <t>Файрушина</t>
  </si>
  <si>
    <t>Багданова</t>
  </si>
  <si>
    <t>Зод</t>
  </si>
  <si>
    <t>Расима</t>
  </si>
  <si>
    <t>Капсатова</t>
  </si>
  <si>
    <t>Алма</t>
  </si>
  <si>
    <t>Нуралина in</t>
  </si>
  <si>
    <t>Fariza</t>
  </si>
  <si>
    <t>Kass</t>
  </si>
  <si>
    <t>Sunnatulla</t>
  </si>
  <si>
    <t>Ganiyev</t>
  </si>
  <si>
    <t>Нургуль</t>
  </si>
  <si>
    <t>Нургуля</t>
  </si>
  <si>
    <t>2022-04-24</t>
  </si>
  <si>
    <t>Гульнора</t>
  </si>
  <si>
    <t>Расулова</t>
  </si>
  <si>
    <t>shakhzoda</t>
  </si>
  <si>
    <t>rajabova</t>
  </si>
  <si>
    <t>Пономарева</t>
  </si>
  <si>
    <t>Орзиева</t>
  </si>
  <si>
    <t>Моля</t>
  </si>
  <si>
    <t>Сарсенгалиева</t>
  </si>
  <si>
    <t>Баскаль</t>
  </si>
  <si>
    <t>tatuanabaskal1@mail.ru</t>
  </si>
  <si>
    <t>+998971821882</t>
  </si>
  <si>
    <t>Гринчук</t>
  </si>
  <si>
    <t>Хушова</t>
  </si>
  <si>
    <t>Асем</t>
  </si>
  <si>
    <t>С</t>
  </si>
  <si>
    <t>Led.asema@mail.ru</t>
  </si>
  <si>
    <t>Дю</t>
  </si>
  <si>
    <t>Shahnoza</t>
  </si>
  <si>
    <t>Mingboyeva</t>
  </si>
  <si>
    <t>mingboyevashahnoza970@gmail.com</t>
  </si>
  <si>
    <t>Гульмира</t>
  </si>
  <si>
    <t>Мусан</t>
  </si>
  <si>
    <t>Копылова</t>
  </si>
  <si>
    <t>Бахрамова</t>
  </si>
  <si>
    <t>Лашкарбекова</t>
  </si>
  <si>
    <t>1987-02-05</t>
  </si>
  <si>
    <t xml:space="preserve">Ташкент </t>
  </si>
  <si>
    <t>Савко</t>
  </si>
  <si>
    <t>ДИ</t>
  </si>
  <si>
    <t>И</t>
  </si>
  <si>
    <t>Дамира</t>
  </si>
  <si>
    <t>Битенова</t>
  </si>
  <si>
    <t>Балатуева</t>
  </si>
  <si>
    <t>Лаззат</t>
  </si>
  <si>
    <t>Набиева</t>
  </si>
  <si>
    <t>Бердиева</t>
  </si>
  <si>
    <t>Кувондикова</t>
  </si>
  <si>
    <t>Алмагуль</t>
  </si>
  <si>
    <t>Есенжолова</t>
  </si>
  <si>
    <t>Асель</t>
  </si>
  <si>
    <t>Тлеукен</t>
  </si>
  <si>
    <t>1984-06-14</t>
  </si>
  <si>
    <t>Шишкова</t>
  </si>
  <si>
    <t>1965-06-17</t>
  </si>
  <si>
    <t>Sherzod</t>
  </si>
  <si>
    <t>Xojiqurbonov</t>
  </si>
  <si>
    <t>Я</t>
  </si>
  <si>
    <t>Чешская Республика</t>
  </si>
  <si>
    <t>Khojiakbar</t>
  </si>
  <si>
    <t>Turaev</t>
  </si>
  <si>
    <t>Dinara</t>
  </si>
  <si>
    <t>Janysbayeva</t>
  </si>
  <si>
    <t>Борделло</t>
  </si>
  <si>
    <t>Хафиза</t>
  </si>
  <si>
    <t>Наркучкарова</t>
  </si>
  <si>
    <t>norkuchkarovakhafiza@gmail.com</t>
  </si>
  <si>
    <t>pakgalina27081975@mail.ru</t>
  </si>
  <si>
    <t>+998971294979</t>
  </si>
  <si>
    <t>Омарова</t>
  </si>
  <si>
    <t>Понявина</t>
  </si>
  <si>
    <t>1996-03-27</t>
  </si>
  <si>
    <t>Усть каменогорск</t>
  </si>
  <si>
    <t>Вахоб</t>
  </si>
  <si>
    <t>Норбутаев</t>
  </si>
  <si>
    <t>Молдир</t>
  </si>
  <si>
    <t>Абдреимова</t>
  </si>
  <si>
    <t>Ахметова</t>
  </si>
  <si>
    <t>Касимова</t>
  </si>
  <si>
    <t>Тимур</t>
  </si>
  <si>
    <t>Щенов</t>
  </si>
  <si>
    <t>1987-05-04</t>
  </si>
  <si>
    <t>Кызылорда</t>
  </si>
  <si>
    <t>Немчинова</t>
  </si>
  <si>
    <t>Касым Жомарт</t>
  </si>
  <si>
    <t>Токаев</t>
  </si>
  <si>
    <t>Aziza</t>
  </si>
  <si>
    <t>Farhodova</t>
  </si>
  <si>
    <t>Azizafarhodova3232@mail.com</t>
  </si>
  <si>
    <t>+998909365999</t>
  </si>
  <si>
    <t>Сапожникова</t>
  </si>
  <si>
    <t>Бахыт</t>
  </si>
  <si>
    <t>Сартаева</t>
  </si>
  <si>
    <t>Урынша</t>
  </si>
  <si>
    <t>Жумажанова</t>
  </si>
  <si>
    <t>Жан</t>
  </si>
  <si>
    <t>Гульноза</t>
  </si>
  <si>
    <t>Ирматова</t>
  </si>
  <si>
    <t>Станислав</t>
  </si>
  <si>
    <t>Ритенко</t>
  </si>
  <si>
    <t>Габасова</t>
  </si>
  <si>
    <t>Бисенбаев</t>
  </si>
  <si>
    <t>Апанович</t>
  </si>
  <si>
    <t>1970-09-01</t>
  </si>
  <si>
    <t>Павлодар</t>
  </si>
  <si>
    <t>Duysebaeva</t>
  </si>
  <si>
    <t>2002-07-26</t>
  </si>
  <si>
    <t>Tashkent</t>
  </si>
  <si>
    <t>Жадыра</t>
  </si>
  <si>
    <t>Шырынхан</t>
  </si>
  <si>
    <t>Нигина</t>
  </si>
  <si>
    <t>Атасевен</t>
  </si>
  <si>
    <t>Kamola</t>
  </si>
  <si>
    <t>Nizamova</t>
  </si>
  <si>
    <t>Акишева</t>
  </si>
  <si>
    <t>Тен</t>
  </si>
  <si>
    <t>1987-04-20</t>
  </si>
  <si>
    <t>Гулрух</t>
  </si>
  <si>
    <t>Мамараимова</t>
  </si>
  <si>
    <t>Afrosiyob1551@mail.ru</t>
  </si>
  <si>
    <t>Осадченко</t>
  </si>
  <si>
    <t>Malika</t>
  </si>
  <si>
    <t>Sattarova</t>
  </si>
  <si>
    <t>Каракулько</t>
  </si>
  <si>
    <t>Олеся</t>
  </si>
  <si>
    <t>Наз</t>
  </si>
  <si>
    <t>Гуль</t>
  </si>
  <si>
    <t>Самойлюк</t>
  </si>
  <si>
    <t>Лайли</t>
  </si>
  <si>
    <t>Норбутаева</t>
  </si>
  <si>
    <t>Ксана</t>
  </si>
  <si>
    <t>Купко</t>
  </si>
  <si>
    <t>1973-04-07</t>
  </si>
  <si>
    <t xml:space="preserve">Белгород </t>
  </si>
  <si>
    <t>Роза</t>
  </si>
  <si>
    <t>Джусупкалиева</t>
  </si>
  <si>
    <t>Григориади</t>
  </si>
  <si>
    <t>Орынбасарова</t>
  </si>
  <si>
    <t>Лолетта</t>
  </si>
  <si>
    <t>Azizbek</t>
  </si>
  <si>
    <t>Yuldashev</t>
  </si>
  <si>
    <t>Azizbek.yuldashev@bk.ru</t>
  </si>
  <si>
    <t>Жагет</t>
  </si>
  <si>
    <t>Бигали</t>
  </si>
  <si>
    <t>Губаренко</t>
  </si>
  <si>
    <t>Мухаббат</t>
  </si>
  <si>
    <t>Хабибова</t>
  </si>
  <si>
    <t>Мадимарова</t>
  </si>
  <si>
    <t>Шилова</t>
  </si>
  <si>
    <t>silovairina97@gmail.cam</t>
  </si>
  <si>
    <t>Засыпкина</t>
  </si>
  <si>
    <t>Чебакова</t>
  </si>
  <si>
    <t>Рузматова</t>
  </si>
  <si>
    <t>RuzmatovaShakhodat@mail.com</t>
  </si>
  <si>
    <t>Савон</t>
  </si>
  <si>
    <t>2022-04-25</t>
  </si>
  <si>
    <t>Дилдора</t>
  </si>
  <si>
    <t>Равшан</t>
  </si>
  <si>
    <t>Каримов</t>
  </si>
  <si>
    <t>Бибиназ</t>
  </si>
  <si>
    <t>Сатбаева</t>
  </si>
  <si>
    <t>Сая</t>
  </si>
  <si>
    <t>Штенникова</t>
  </si>
  <si>
    <t>Республика Татарстан</t>
  </si>
  <si>
    <t>Водовская</t>
  </si>
  <si>
    <t>Инобат</t>
  </si>
  <si>
    <t>Иманкулова</t>
  </si>
  <si>
    <t>imankulivainobat5@gmail.com</t>
  </si>
  <si>
    <t>+998931080907</t>
  </si>
  <si>
    <t>Апатиты</t>
  </si>
  <si>
    <t>Рано</t>
  </si>
  <si>
    <t>Акрамова</t>
  </si>
  <si>
    <t>Мухамедгали</t>
  </si>
  <si>
    <t>Сагатова</t>
  </si>
  <si>
    <t>Анора</t>
  </si>
  <si>
    <t>Иргашева</t>
  </si>
  <si>
    <t>алишер</t>
  </si>
  <si>
    <t>усманов</t>
  </si>
  <si>
    <t>Зилола</t>
  </si>
  <si>
    <t>Вахобова</t>
  </si>
  <si>
    <t>1975-09-26</t>
  </si>
  <si>
    <t xml:space="preserve">Алматы </t>
  </si>
  <si>
    <t>Ом</t>
  </si>
  <si>
    <t>Тата</t>
  </si>
  <si>
    <t>umnow4nat@gmail.com</t>
  </si>
  <si>
    <t>Нурбол</t>
  </si>
  <si>
    <t>Кадыр</t>
  </si>
  <si>
    <t>Гули</t>
  </si>
  <si>
    <t>Багина</t>
  </si>
  <si>
    <t>Каменова</t>
  </si>
  <si>
    <t>Алтынгуль</t>
  </si>
  <si>
    <t>Алимжанова</t>
  </si>
  <si>
    <t>Ruslan</t>
  </si>
  <si>
    <t>Halikov</t>
  </si>
  <si>
    <t>Юлдашева</t>
  </si>
  <si>
    <t>1970-07-29</t>
  </si>
  <si>
    <t xml:space="preserve">Қазақстан </t>
  </si>
  <si>
    <t xml:space="preserve">Усть-каменогорск </t>
  </si>
  <si>
    <t>Финат</t>
  </si>
  <si>
    <t>Разяпов</t>
  </si>
  <si>
    <t>Tanya</t>
  </si>
  <si>
    <t>Ten</t>
  </si>
  <si>
    <t>Boss</t>
  </si>
  <si>
    <t>Uzb</t>
  </si>
  <si>
    <t>Аскарова</t>
  </si>
  <si>
    <t>Миронец</t>
  </si>
  <si>
    <t>regina_raz@mail.ru</t>
  </si>
  <si>
    <t>Кашук</t>
  </si>
  <si>
    <t>Mira</t>
  </si>
  <si>
    <t>Alina</t>
  </si>
  <si>
    <t>Силаева</t>
  </si>
  <si>
    <t>Антропова</t>
  </si>
  <si>
    <t>Sevara</t>
  </si>
  <si>
    <t>Kukanova</t>
  </si>
  <si>
    <t>Будник</t>
  </si>
  <si>
    <t>Скрипка</t>
  </si>
  <si>
    <t>1980-11-22</t>
  </si>
  <si>
    <t>Гулистан</t>
  </si>
  <si>
    <t>Айнура</t>
  </si>
  <si>
    <t>Шахноза</t>
  </si>
  <si>
    <t>ФОЗИЛОВА</t>
  </si>
  <si>
    <t>Briana</t>
  </si>
  <si>
    <t>Dzhiekson</t>
  </si>
  <si>
    <t>briana.dzhiekson.90@inbox.ru</t>
  </si>
  <si>
    <t>1999-03-08</t>
  </si>
  <si>
    <t xml:space="preserve">Нурсултан </t>
  </si>
  <si>
    <t>Куприна</t>
  </si>
  <si>
    <t>Айслу</t>
  </si>
  <si>
    <t>Кузенбаева</t>
  </si>
  <si>
    <t>Мансур</t>
  </si>
  <si>
    <t>Байбеков</t>
  </si>
  <si>
    <t>М</t>
  </si>
  <si>
    <t>Айман</t>
  </si>
  <si>
    <t>Минбаева</t>
  </si>
  <si>
    <t>Anastasiya</t>
  </si>
  <si>
    <t>Kovba</t>
  </si>
  <si>
    <t>Nastya.kobba@gmail.com</t>
  </si>
  <si>
    <t>+998911334880</t>
  </si>
  <si>
    <t>Alm</t>
  </si>
  <si>
    <t>Асия</t>
  </si>
  <si>
    <t>Равиль</t>
  </si>
  <si>
    <t>Кропотов</t>
  </si>
  <si>
    <t>Ravil.kropotov@bk.ru</t>
  </si>
  <si>
    <t>1989-04-28</t>
  </si>
  <si>
    <t>Фарход</t>
  </si>
  <si>
    <t>Каххаров</t>
  </si>
  <si>
    <t>fd_qr@mail.ru</t>
  </si>
  <si>
    <t>Зейд</t>
  </si>
  <si>
    <t>Анара</t>
  </si>
  <si>
    <t>Сулейменова</t>
  </si>
  <si>
    <t>1976-04-27</t>
  </si>
  <si>
    <t>Маликаш</t>
  </si>
  <si>
    <t>Уксинбаева</t>
  </si>
  <si>
    <t>Абай</t>
  </si>
  <si>
    <t>Абдильманов</t>
  </si>
  <si>
    <t>Galiakhmedova</t>
  </si>
  <si>
    <t>Козлова</t>
  </si>
  <si>
    <t>Саблина</t>
  </si>
  <si>
    <t>Касым</t>
  </si>
  <si>
    <t>Альмира</t>
  </si>
  <si>
    <t>Досова</t>
  </si>
  <si>
    <t>Динеева</t>
  </si>
  <si>
    <t>Беляева</t>
  </si>
  <si>
    <t>Bellarusa68@yandex.ru</t>
  </si>
  <si>
    <t>Абдумуминова</t>
  </si>
  <si>
    <t>Малюгина</t>
  </si>
  <si>
    <t>Кадалашвили</t>
  </si>
  <si>
    <t>Южел</t>
  </si>
  <si>
    <t>Кузьмяк</t>
  </si>
  <si>
    <t>Жулдыз</t>
  </si>
  <si>
    <t>Нургидрова</t>
  </si>
  <si>
    <t>Барт</t>
  </si>
  <si>
    <t>Байбулатова</t>
  </si>
  <si>
    <t>diaba26.85@mail.ru</t>
  </si>
  <si>
    <t>+998915056531</t>
  </si>
  <si>
    <t>Анж</t>
  </si>
  <si>
    <t>Жумагалиева</t>
  </si>
  <si>
    <t>Ткаленко</t>
  </si>
  <si>
    <t>Ливана</t>
  </si>
  <si>
    <t>Волк</t>
  </si>
  <si>
    <t>Abdullaeva</t>
  </si>
  <si>
    <t>1990-08-09</t>
  </si>
  <si>
    <t xml:space="preserve">Uzbekistan </t>
  </si>
  <si>
    <t>Kokand</t>
  </si>
  <si>
    <t>Сагай</t>
  </si>
  <si>
    <t>Батыр</t>
  </si>
  <si>
    <t>Насреддинов</t>
  </si>
  <si>
    <t>Санжаревский</t>
  </si>
  <si>
    <t>Шаюнусова</t>
  </si>
  <si>
    <t>Улпан</t>
  </si>
  <si>
    <t>Буланова</t>
  </si>
  <si>
    <t>Ган</t>
  </si>
  <si>
    <t>Исабаева</t>
  </si>
  <si>
    <t>1990-05-30</t>
  </si>
  <si>
    <t>Даврон</t>
  </si>
  <si>
    <t>Хайруллаев</t>
  </si>
  <si>
    <t>Хусанбек</t>
  </si>
  <si>
    <t>Кучкаров</t>
  </si>
  <si>
    <t>Камилла</t>
  </si>
  <si>
    <t>Ходжаева</t>
  </si>
  <si>
    <t>Hodjaeva_kamilla@mail.ru</t>
  </si>
  <si>
    <t>+998996926902</t>
  </si>
  <si>
    <t>Азиз</t>
  </si>
  <si>
    <t>Мадрахимов</t>
  </si>
  <si>
    <t>Aziz.madrakhimov@gmail.com</t>
  </si>
  <si>
    <t>+998970701000</t>
  </si>
  <si>
    <t>Зийуар</t>
  </si>
  <si>
    <t>Толегенова</t>
  </si>
  <si>
    <t>Нурика</t>
  </si>
  <si>
    <t>Темирбулатова</t>
  </si>
  <si>
    <t>Зарипова</t>
  </si>
  <si>
    <t>Dilfuza</t>
  </si>
  <si>
    <t>Ture</t>
  </si>
  <si>
    <t>Раилко</t>
  </si>
  <si>
    <t>Балжан</t>
  </si>
  <si>
    <t>Аяпова</t>
  </si>
  <si>
    <t>Нигора</t>
  </si>
  <si>
    <t>Khamroqulova</t>
  </si>
  <si>
    <t>Мохинур</t>
  </si>
  <si>
    <t>Атахонова</t>
  </si>
  <si>
    <t>Даниленко</t>
  </si>
  <si>
    <t>Pa6ctpaxa@gmail.con</t>
  </si>
  <si>
    <t>+998901760395</t>
  </si>
  <si>
    <t>Биккерт</t>
  </si>
  <si>
    <t>Фарида</t>
  </si>
  <si>
    <t>Игнатьева</t>
  </si>
  <si>
    <t>Ur80@list.ru</t>
  </si>
  <si>
    <t>Сэмуэль</t>
  </si>
  <si>
    <t>Эльнора</t>
  </si>
  <si>
    <t>Ибрагимова</t>
  </si>
  <si>
    <t>Зернова</t>
  </si>
  <si>
    <t>Нармагамбетова</t>
  </si>
  <si>
    <t>Саломат</t>
  </si>
  <si>
    <t>Бахриддинова</t>
  </si>
  <si>
    <t>Аб</t>
  </si>
  <si>
    <t>Поводырев</t>
  </si>
  <si>
    <t>2022-03-18</t>
  </si>
  <si>
    <t>Бугульма</t>
  </si>
  <si>
    <t>Uvalieva</t>
  </si>
  <si>
    <t>1980-08-01</t>
  </si>
  <si>
    <t>Aigul</t>
  </si>
  <si>
    <t>D</t>
  </si>
  <si>
    <t>Venera813@list.ru</t>
  </si>
  <si>
    <t>Турик</t>
  </si>
  <si>
    <t>Эдвард</t>
  </si>
  <si>
    <t>Nazym</t>
  </si>
  <si>
    <t>Bekmurat</t>
  </si>
  <si>
    <t>Космынин</t>
  </si>
  <si>
    <t>Бекеева</t>
  </si>
  <si>
    <t>Dina</t>
  </si>
  <si>
    <t>Salimova</t>
  </si>
  <si>
    <t>Куанышева</t>
  </si>
  <si>
    <t>Нигманходжаева</t>
  </si>
  <si>
    <t>1985-08-28</t>
  </si>
  <si>
    <t>Астана</t>
  </si>
  <si>
    <t>lesnaya.reklama.13@mail.ru</t>
  </si>
  <si>
    <t>Шпак</t>
  </si>
  <si>
    <t>Адиль</t>
  </si>
  <si>
    <t>Аяпберген</t>
  </si>
  <si>
    <t>Туртбаева</t>
  </si>
  <si>
    <t>Шолпан</t>
  </si>
  <si>
    <t>Тугамбаева</t>
  </si>
  <si>
    <t>Галия</t>
  </si>
  <si>
    <t>Жолдасова</t>
  </si>
  <si>
    <t>Гоги</t>
  </si>
  <si>
    <t>Джи</t>
  </si>
  <si>
    <t>Rafael</t>
  </si>
  <si>
    <t>Sibgatulin</t>
  </si>
  <si>
    <t>cibgatulin@mail.ru</t>
  </si>
  <si>
    <t>+998903263852</t>
  </si>
  <si>
    <t>Ахмаджанова</t>
  </si>
  <si>
    <t>Сурайё</t>
  </si>
  <si>
    <t>suraye.akhmedova.81@gmail.com</t>
  </si>
  <si>
    <t>+998991170707</t>
  </si>
  <si>
    <t>Тлеумагамбетова</t>
  </si>
  <si>
    <t>Zzilolaliyeva@internet.ruilola</t>
  </si>
  <si>
    <t>+998933153500</t>
  </si>
  <si>
    <t>Шадрина</t>
  </si>
  <si>
    <t>Кундузай</t>
  </si>
  <si>
    <t>Ахалбекова</t>
  </si>
  <si>
    <t>Таджиева</t>
  </si>
  <si>
    <t>Колпашникова</t>
  </si>
  <si>
    <t>Астраханская область</t>
  </si>
  <si>
    <t>Витвинова</t>
  </si>
  <si>
    <t>Бондарь</t>
  </si>
  <si>
    <t>bondar290180@mail.ru</t>
  </si>
  <si>
    <t>Серова</t>
  </si>
  <si>
    <t>Д</t>
  </si>
  <si>
    <t>Н</t>
  </si>
  <si>
    <t>Шнар</t>
  </si>
  <si>
    <t>Габдулина</t>
  </si>
  <si>
    <t>feruz</t>
  </si>
  <si>
    <t>usman</t>
  </si>
  <si>
    <t>Гулим</t>
  </si>
  <si>
    <t>Баннова-Каширская</t>
  </si>
  <si>
    <t>Усманова</t>
  </si>
  <si>
    <t>Сивакова</t>
  </si>
  <si>
    <t>1990-10-14</t>
  </si>
  <si>
    <t>Julia</t>
  </si>
  <si>
    <t>Neumiller</t>
  </si>
  <si>
    <t>Шахлоша</t>
  </si>
  <si>
    <t>Шерманова</t>
  </si>
  <si>
    <t>Потапеня</t>
  </si>
  <si>
    <t>Халимова</t>
  </si>
  <si>
    <t>1980-12-24</t>
  </si>
  <si>
    <t>Gulya</t>
  </si>
  <si>
    <t>Zhamalova</t>
  </si>
  <si>
    <t>Info12345@list.ru</t>
  </si>
  <si>
    <t>+998971575910</t>
  </si>
  <si>
    <t>Нодира</t>
  </si>
  <si>
    <t>Панжиева</t>
  </si>
  <si>
    <t>Удовиченко</t>
  </si>
  <si>
    <t>Гулшода</t>
  </si>
  <si>
    <t>abdboriys@gmail.ru</t>
  </si>
  <si>
    <t>+998882731877</t>
  </si>
  <si>
    <t>Чембарисова</t>
  </si>
  <si>
    <t>Мотько</t>
  </si>
  <si>
    <t>Ляззат</t>
  </si>
  <si>
    <t>Кайрбаева</t>
  </si>
  <si>
    <t>Талалаева</t>
  </si>
  <si>
    <t>Лоскутова</t>
  </si>
  <si>
    <t>Сагдиева</t>
  </si>
  <si>
    <t>Неустроева</t>
  </si>
  <si>
    <t>Бисембаева</t>
  </si>
  <si>
    <t>Улыбышева</t>
  </si>
  <si>
    <t>Синтирева</t>
  </si>
  <si>
    <t>elenadar979@maill.ru</t>
  </si>
  <si>
    <t>+77771372799</t>
  </si>
  <si>
    <t>Борисова</t>
  </si>
  <si>
    <t>Rimma.gulieva@mail.ru</t>
  </si>
  <si>
    <t>Останина</t>
  </si>
  <si>
    <t>Хосият</t>
  </si>
  <si>
    <t>Агаркова</t>
  </si>
  <si>
    <t>Позолотина</t>
  </si>
  <si>
    <t>Свердловская область</t>
  </si>
  <si>
    <t>Mukumova</t>
  </si>
  <si>
    <t>Айсулу</t>
  </si>
  <si>
    <t>Тулегенова</t>
  </si>
  <si>
    <t>Аида</t>
  </si>
  <si>
    <t>Зайнуллина</t>
  </si>
  <si>
    <t>Лавга</t>
  </si>
  <si>
    <t>Тумарбаева</t>
  </si>
  <si>
    <t>Аленова</t>
  </si>
  <si>
    <t>Гончарова</t>
  </si>
  <si>
    <t>Жанат</t>
  </si>
  <si>
    <t>Нургалиева</t>
  </si>
  <si>
    <t>Лысенко</t>
  </si>
  <si>
    <t>Калинина</t>
  </si>
  <si>
    <t>Айжан</t>
  </si>
  <si>
    <t>Байжуманова</t>
  </si>
  <si>
    <t>Юлиза</t>
  </si>
  <si>
    <t>Кульманова</t>
  </si>
  <si>
    <t>Сабина</t>
  </si>
  <si>
    <t>Мурадова</t>
  </si>
  <si>
    <t>Sabunamsh@msil.ru</t>
  </si>
  <si>
    <t>+998901181615</t>
  </si>
  <si>
    <t>Сулейманова</t>
  </si>
  <si>
    <t>Gulshan</t>
  </si>
  <si>
    <t>Salamova</t>
  </si>
  <si>
    <t>Туркина</t>
  </si>
  <si>
    <t>Ниязгалиева</t>
  </si>
  <si>
    <t>Байдулла</t>
  </si>
  <si>
    <t>Торекожа</t>
  </si>
  <si>
    <t>Yulya</t>
  </si>
  <si>
    <t>M</t>
  </si>
  <si>
    <t>Дробина</t>
  </si>
  <si>
    <t>Лихачева</t>
  </si>
  <si>
    <t>Толкын</t>
  </si>
  <si>
    <t>Жакупова</t>
  </si>
  <si>
    <t>Самодурова</t>
  </si>
  <si>
    <t>Костромская область</t>
  </si>
  <si>
    <t>Зуля</t>
  </si>
  <si>
    <t>Таирова</t>
  </si>
  <si>
    <t>Завражина</t>
  </si>
  <si>
    <t>Савоськина</t>
  </si>
  <si>
    <t>Rano</t>
  </si>
  <si>
    <t>Alamanova</t>
  </si>
  <si>
    <t>Жанель</t>
  </si>
  <si>
    <t>Левченко</t>
  </si>
  <si>
    <t>Elmira</t>
  </si>
  <si>
    <t>Rahmatullaeva</t>
  </si>
  <si>
    <t>Егель</t>
  </si>
  <si>
    <t>1984-05-23</t>
  </si>
  <si>
    <t>Степанов</t>
  </si>
  <si>
    <t>Саргужиева</t>
  </si>
  <si>
    <t>Нурланова</t>
  </si>
  <si>
    <t>Аитова</t>
  </si>
  <si>
    <t>Сымбат</t>
  </si>
  <si>
    <t>Кущанова</t>
  </si>
  <si>
    <t>Smas3011@gmail.com</t>
  </si>
  <si>
    <t>Кахорова</t>
  </si>
  <si>
    <t>Сафина</t>
  </si>
  <si>
    <t>2066-06-27</t>
  </si>
  <si>
    <t>Сургут белый яр</t>
  </si>
  <si>
    <t>Hasmik</t>
  </si>
  <si>
    <t>Hakobyan</t>
  </si>
  <si>
    <t>1895-08-11</t>
  </si>
  <si>
    <t>France</t>
  </si>
  <si>
    <t>Tarbes</t>
  </si>
  <si>
    <t>Матяш</t>
  </si>
  <si>
    <t>Akmaral</t>
  </si>
  <si>
    <t>I Amirova</t>
  </si>
  <si>
    <t>1980-06-11</t>
  </si>
  <si>
    <t xml:space="preserve">Kazakhstan </t>
  </si>
  <si>
    <t>Pavlodar</t>
  </si>
  <si>
    <t>Жайнагуль</t>
  </si>
  <si>
    <t>Молдыбаева</t>
  </si>
  <si>
    <t>moldyabyeva.zh@gmail.com</t>
  </si>
  <si>
    <t>Гульнур</t>
  </si>
  <si>
    <t>Жазыкбаева</t>
  </si>
  <si>
    <t>1996-04-14</t>
  </si>
  <si>
    <t>УЗбекистан</t>
  </si>
  <si>
    <t>Stakhneva</t>
  </si>
  <si>
    <t>1981-11-07</t>
  </si>
  <si>
    <t>Якупова</t>
  </si>
  <si>
    <t>Арифджанов</t>
  </si>
  <si>
    <t>Динора</t>
  </si>
  <si>
    <t>Точенова</t>
  </si>
  <si>
    <t>Ларченко</t>
  </si>
  <si>
    <t>1990-06-25</t>
  </si>
  <si>
    <t>Саида</t>
  </si>
  <si>
    <t>Каримова</t>
  </si>
  <si>
    <t>Nargiza</t>
  </si>
  <si>
    <t>Abdullayeva</t>
  </si>
  <si>
    <t>Кадирова</t>
  </si>
  <si>
    <t>Рахмонбердиева</t>
  </si>
  <si>
    <t>Inna</t>
  </si>
  <si>
    <t>Bu</t>
  </si>
  <si>
    <t>9030602742@mail.ru</t>
  </si>
  <si>
    <t>Джуманова</t>
  </si>
  <si>
    <t>Стургес</t>
  </si>
  <si>
    <t>Крячко</t>
  </si>
  <si>
    <t>Меньщикова</t>
  </si>
  <si>
    <t>Алибек</t>
  </si>
  <si>
    <t>Даулетов</t>
  </si>
  <si>
    <t>Бледных</t>
  </si>
  <si>
    <t>Шоирп</t>
  </si>
  <si>
    <t>Зиятова</t>
  </si>
  <si>
    <t>Nilyufar</t>
  </si>
  <si>
    <t>Maksumova</t>
  </si>
  <si>
    <t>Халида</t>
  </si>
  <si>
    <t>Сатканова</t>
  </si>
  <si>
    <t>Атоулло</t>
  </si>
  <si>
    <t>Назаров</t>
  </si>
  <si>
    <t>Полянская</t>
  </si>
  <si>
    <t>1969-09-11</t>
  </si>
  <si>
    <t>Абдрахимова</t>
  </si>
  <si>
    <t>Аюма</t>
  </si>
  <si>
    <t>ayumabegin@gmail.com</t>
  </si>
  <si>
    <t>+998935873111</t>
  </si>
  <si>
    <t>Паршукова</t>
  </si>
  <si>
    <t>Марьяна</t>
  </si>
  <si>
    <t>Окатенко</t>
  </si>
  <si>
    <t>Дик</t>
  </si>
  <si>
    <t>Ильсеяр</t>
  </si>
  <si>
    <t>1982-02-23</t>
  </si>
  <si>
    <t>Набережные Челны</t>
  </si>
  <si>
    <t>Максуда</t>
  </si>
  <si>
    <t>Кудратова</t>
  </si>
  <si>
    <t>Фатима</t>
  </si>
  <si>
    <t>Батькаева</t>
  </si>
  <si>
    <t>Нурмухамедова</t>
  </si>
  <si>
    <t>Хрущев</t>
  </si>
  <si>
    <t>Черницкий</t>
  </si>
  <si>
    <t>Info@polugar.com</t>
  </si>
  <si>
    <t>+79097770030</t>
  </si>
  <si>
    <t>Айша</t>
  </si>
  <si>
    <t>Тайгоренова</t>
  </si>
  <si>
    <t>Джумабековп</t>
  </si>
  <si>
    <t>Меллали</t>
  </si>
  <si>
    <t>Альфия</t>
  </si>
  <si>
    <t>Сагимбаева</t>
  </si>
  <si>
    <t>Константинова</t>
  </si>
  <si>
    <t>1961-12-07</t>
  </si>
  <si>
    <t>Сабурова</t>
  </si>
  <si>
    <t>Прилипко</t>
  </si>
  <si>
    <t>Islamova6elena@mail.ru</t>
  </si>
  <si>
    <t>+998331203320</t>
  </si>
  <si>
    <t>Майгуль</t>
  </si>
  <si>
    <t>Батхолдина</t>
  </si>
  <si>
    <t>Пшеничникова</t>
  </si>
  <si>
    <t>Таджибаева</t>
  </si>
  <si>
    <t>Шагин</t>
  </si>
  <si>
    <t>Айгуля</t>
  </si>
  <si>
    <t>Хивренко</t>
  </si>
  <si>
    <t>Окила</t>
  </si>
  <si>
    <t>Умарова</t>
  </si>
  <si>
    <t>Nigora</t>
  </si>
  <si>
    <t>Xusanova</t>
  </si>
  <si>
    <t>Жуманова</t>
  </si>
  <si>
    <t>Хулкар</t>
  </si>
  <si>
    <t>Эллиева</t>
  </si>
  <si>
    <t>Естегуль</t>
  </si>
  <si>
    <t>Тлеугожина</t>
  </si>
  <si>
    <t>1985-10-25</t>
  </si>
  <si>
    <t>Almaty</t>
  </si>
  <si>
    <t>Гаухар</t>
  </si>
  <si>
    <t>Ишангалиева</t>
  </si>
  <si>
    <t>Жансая</t>
  </si>
  <si>
    <t>Закарина</t>
  </si>
  <si>
    <t>Rushona</t>
  </si>
  <si>
    <t>KENJAYEVA</t>
  </si>
  <si>
    <t>almardonovnarusona@gmail.com</t>
  </si>
  <si>
    <t>+998904770808</t>
  </si>
  <si>
    <t>Laura</t>
  </si>
  <si>
    <t>Vanagiene</t>
  </si>
  <si>
    <t>Dildora</t>
  </si>
  <si>
    <t>Yahyoeva</t>
  </si>
  <si>
    <t>Saya</t>
  </si>
  <si>
    <t>Abylova</t>
  </si>
  <si>
    <t>Москотова</t>
  </si>
  <si>
    <t>Явтушенко</t>
  </si>
  <si>
    <t>Шохиста</t>
  </si>
  <si>
    <t>Ёкуббоева</t>
  </si>
  <si>
    <t>Тонких</t>
  </si>
  <si>
    <t>Калдыбаева</t>
  </si>
  <si>
    <t>1961-10-30</t>
  </si>
  <si>
    <t>Абдураззакова</t>
  </si>
  <si>
    <t>Чемоданова</t>
  </si>
  <si>
    <t>Лёка</t>
  </si>
  <si>
    <t>Шоира</t>
  </si>
  <si>
    <t>Нигматуллаева</t>
  </si>
  <si>
    <t>Трубицына</t>
  </si>
  <si>
    <t>nshoura@mail.ru</t>
  </si>
  <si>
    <t>0506943839</t>
  </si>
  <si>
    <t>Сафронычева</t>
  </si>
  <si>
    <t>sofija78@mail.ru</t>
  </si>
  <si>
    <t>Лати</t>
  </si>
  <si>
    <t>1979-10-27</t>
  </si>
  <si>
    <t>Нилуфар</t>
  </si>
  <si>
    <t>Шакарова</t>
  </si>
  <si>
    <t>Лисенкова</t>
  </si>
  <si>
    <t>lisenkovatatyana@mail.ru</t>
  </si>
  <si>
    <t>1985-01-03</t>
  </si>
  <si>
    <t>Мясник</t>
  </si>
  <si>
    <t>Муяссар</t>
  </si>
  <si>
    <t>Асамова</t>
  </si>
  <si>
    <t>Зинченко</t>
  </si>
  <si>
    <t>Фирдания</t>
  </si>
  <si>
    <t>Макарова</t>
  </si>
  <si>
    <t>Ильназ</t>
  </si>
  <si>
    <t>Фаткуллин</t>
  </si>
  <si>
    <t>1982-07-07</t>
  </si>
  <si>
    <t>Кушнаренково</t>
  </si>
  <si>
    <t>марина</t>
  </si>
  <si>
    <t>хомутинникова</t>
  </si>
  <si>
    <t>Кировская область</t>
  </si>
  <si>
    <t>Ekaterina</t>
  </si>
  <si>
    <t>Bukharova</t>
  </si>
  <si>
    <t>Алика</t>
  </si>
  <si>
    <t>Бриз</t>
  </si>
  <si>
    <t>Муртазина</t>
  </si>
  <si>
    <t>Тонева</t>
  </si>
  <si>
    <t>Ростовская область</t>
  </si>
  <si>
    <t>Андреева</t>
  </si>
  <si>
    <t>Амирова</t>
  </si>
  <si>
    <t>Шалауров</t>
  </si>
  <si>
    <t>Николаевич</t>
  </si>
  <si>
    <t>Полуэктова</t>
  </si>
  <si>
    <t>Костылев</t>
  </si>
  <si>
    <t>1977-10-23</t>
  </si>
  <si>
    <t>Сыктывкар</t>
  </si>
  <si>
    <t>Швецов</t>
  </si>
  <si>
    <t>Нижегородская область</t>
  </si>
  <si>
    <t>Рябова</t>
  </si>
  <si>
    <t>Чувашская Республика - Чувашия</t>
  </si>
  <si>
    <t>Геннадий</t>
  </si>
  <si>
    <t>Томилин</t>
  </si>
  <si>
    <t>Неженская</t>
  </si>
  <si>
    <t>Белая</t>
  </si>
  <si>
    <t>Сончев</t>
  </si>
  <si>
    <t>Алевтина</t>
  </si>
  <si>
    <t>Сорокина</t>
  </si>
  <si>
    <t>Шарина</t>
  </si>
  <si>
    <t>da.shkarina@bk.ru</t>
  </si>
  <si>
    <t>+79032269378</t>
  </si>
  <si>
    <t>Назарчук</t>
  </si>
  <si>
    <t>1988-02-10</t>
  </si>
  <si>
    <t>псков</t>
  </si>
  <si>
    <t>Акбашева</t>
  </si>
  <si>
    <t>Alexa</t>
  </si>
  <si>
    <t>Princ</t>
  </si>
  <si>
    <t>Белгородская область</t>
  </si>
  <si>
    <t>Саратовская область</t>
  </si>
  <si>
    <t>Маслов</t>
  </si>
  <si>
    <t>Варвус</t>
  </si>
  <si>
    <t>Савельев</t>
  </si>
  <si>
    <t>Viktorsavelev069@mail.ru</t>
  </si>
  <si>
    <t>Красноярский край</t>
  </si>
  <si>
    <t>Холикова</t>
  </si>
  <si>
    <t>k.nsk2002@gnail.com</t>
  </si>
  <si>
    <t>Берликова</t>
  </si>
  <si>
    <t>Новосибирская область</t>
  </si>
  <si>
    <t>Данилов</t>
  </si>
  <si>
    <t>бунина</t>
  </si>
  <si>
    <t>Стойкова</t>
  </si>
  <si>
    <t>Жилкина</t>
  </si>
  <si>
    <t>2069-06-15</t>
  </si>
  <si>
    <t xml:space="preserve">Саранск </t>
  </si>
  <si>
    <t>Мангушева</t>
  </si>
  <si>
    <t>yelena.mangusheva.86@ibox.ru</t>
  </si>
  <si>
    <t>Ляпустина</t>
  </si>
  <si>
    <t>Музырина</t>
  </si>
  <si>
    <t>Руд</t>
  </si>
  <si>
    <t>Куттумуратова</t>
  </si>
  <si>
    <t>Пензенская область</t>
  </si>
  <si>
    <t>Юрина</t>
  </si>
  <si>
    <t>Ильнур</t>
  </si>
  <si>
    <t>Юсупов</t>
  </si>
  <si>
    <t>Битнер</t>
  </si>
  <si>
    <t>Пермский край</t>
  </si>
  <si>
    <t>Розынко</t>
  </si>
  <si>
    <t>Елеуова</t>
  </si>
  <si>
    <t>Нуретдинова</t>
  </si>
  <si>
    <t>Пасынкова</t>
  </si>
  <si>
    <t>Лизогуб</t>
  </si>
  <si>
    <t>Ибрагим</t>
  </si>
  <si>
    <t>Исаева</t>
  </si>
  <si>
    <t>Алеся</t>
  </si>
  <si>
    <t>Коляда</t>
  </si>
  <si>
    <t>Бабанова</t>
  </si>
  <si>
    <t>Воронова</t>
  </si>
  <si>
    <t>Ирина зубова</t>
  </si>
  <si>
    <t>Зубова</t>
  </si>
  <si>
    <t>Гульшода</t>
  </si>
  <si>
    <t>Сирожова</t>
  </si>
  <si>
    <t>Матвеенков</t>
  </si>
  <si>
    <t>Смоленская область</t>
  </si>
  <si>
    <t>1958-10-20</t>
  </si>
  <si>
    <t>Гатчина Ленингпадская область</t>
  </si>
  <si>
    <t>Феоктистова</t>
  </si>
  <si>
    <t>Пугачев</t>
  </si>
  <si>
    <t>Кученкова</t>
  </si>
  <si>
    <t>Словеснова</t>
  </si>
  <si>
    <t>Сальков</t>
  </si>
  <si>
    <t>POV</t>
  </si>
  <si>
    <t>Шимель</t>
  </si>
  <si>
    <t>Ивантиева</t>
  </si>
  <si>
    <t>1979-04-06</t>
  </si>
  <si>
    <t>Марианна</t>
  </si>
  <si>
    <t>andreeva.1981@mail.ru</t>
  </si>
  <si>
    <t>Эльвира</t>
  </si>
  <si>
    <t>Багеева</t>
  </si>
  <si>
    <t>1976-08-24</t>
  </si>
  <si>
    <t>Бигашева</t>
  </si>
  <si>
    <t>Лысов</t>
  </si>
  <si>
    <t>1981-02-25</t>
  </si>
  <si>
    <t>Киров</t>
  </si>
  <si>
    <t>Фесюнов</t>
  </si>
  <si>
    <t>Соня</t>
  </si>
  <si>
    <t>Риччи</t>
  </si>
  <si>
    <t>2022-04-22</t>
  </si>
  <si>
    <t xml:space="preserve">Апшеронск </t>
  </si>
  <si>
    <t>Аксенова</t>
  </si>
  <si>
    <t>Ludaaksenova14@mail.ru</t>
  </si>
  <si>
    <t>+79227860965</t>
  </si>
  <si>
    <t>Каракулова</t>
  </si>
  <si>
    <t>Стряпан</t>
  </si>
  <si>
    <t>Натэлла</t>
  </si>
  <si>
    <t>Мусина</t>
  </si>
  <si>
    <t>Егорина</t>
  </si>
  <si>
    <t>gorina40@mail.ru</t>
  </si>
  <si>
    <t>Gala</t>
  </si>
  <si>
    <t>Burninova</t>
  </si>
  <si>
    <t>Республика Калмыкия</t>
  </si>
  <si>
    <t>Зиля</t>
  </si>
  <si>
    <t>Югорина</t>
  </si>
  <si>
    <t>Деева</t>
  </si>
  <si>
    <t>Слюсарева</t>
  </si>
  <si>
    <t>1975-08-24</t>
  </si>
  <si>
    <t>Марганец</t>
  </si>
  <si>
    <t>1966-05-03</t>
  </si>
  <si>
    <t>Росивецкая</t>
  </si>
  <si>
    <t>Новожидлва</t>
  </si>
  <si>
    <t>Айбасова</t>
  </si>
  <si>
    <t>Жарченкова</t>
  </si>
  <si>
    <t>julie_silver</t>
  </si>
  <si>
    <t>Madina</t>
  </si>
  <si>
    <t>Dzlieva</t>
  </si>
  <si>
    <t>Тернавчук</t>
  </si>
  <si>
    <t>Штефан</t>
  </si>
  <si>
    <t>ЕВГЕНИЯ</t>
  </si>
  <si>
    <t>Свигач</t>
  </si>
  <si>
    <t>Кривко</t>
  </si>
  <si>
    <t>Лебедь</t>
  </si>
  <si>
    <t>Иркутская область</t>
  </si>
  <si>
    <t>Рожкова</t>
  </si>
  <si>
    <t>Омская область</t>
  </si>
  <si>
    <t>Кирилл</t>
  </si>
  <si>
    <t>Зейтоа</t>
  </si>
  <si>
    <t>Дацко</t>
  </si>
  <si>
    <t>1993-11-03</t>
  </si>
  <si>
    <t>Луганск</t>
  </si>
  <si>
    <t>КОГОДЕЕВА</t>
  </si>
  <si>
    <t>Дятлова</t>
  </si>
  <si>
    <t>Llc</t>
  </si>
  <si>
    <t>Кацер</t>
  </si>
  <si>
    <t>Ивановна</t>
  </si>
  <si>
    <t>Тюменская область</t>
  </si>
  <si>
    <t>Раджапова</t>
  </si>
  <si>
    <t>Наумчик</t>
  </si>
  <si>
    <t>Салдан</t>
  </si>
  <si>
    <t>Shpatkovskaya</t>
  </si>
  <si>
    <t>Шипкова</t>
  </si>
  <si>
    <t xml:space="preserve">Ульяновск </t>
  </si>
  <si>
    <t>Телият</t>
  </si>
  <si>
    <t>Осман</t>
  </si>
  <si>
    <t>Ямало-Ненецкий автономный округ</t>
  </si>
  <si>
    <t>Даниэль</t>
  </si>
  <si>
    <t>Арутюнов</t>
  </si>
  <si>
    <t>Кыргызстан</t>
  </si>
  <si>
    <t>Галенко</t>
  </si>
  <si>
    <t>Гданьск</t>
  </si>
  <si>
    <t>Facelesssoulmate</t>
  </si>
  <si>
    <t>)</t>
  </si>
  <si>
    <t>Alesia</t>
  </si>
  <si>
    <t>Paulouskaya</t>
  </si>
  <si>
    <t>Акнур</t>
  </si>
  <si>
    <t>Надирханова</t>
  </si>
  <si>
    <t>aknura0208@gmail.com</t>
  </si>
  <si>
    <t>Feruza</t>
  </si>
  <si>
    <t>Dadaxojaeva</t>
  </si>
  <si>
    <t>Фримерман</t>
  </si>
  <si>
    <t>1981-04-25</t>
  </si>
  <si>
    <t>Сивоконь</t>
  </si>
  <si>
    <t>Летко</t>
  </si>
  <si>
    <t>Калиев</t>
  </si>
  <si>
    <t>Никонов</t>
  </si>
  <si>
    <t>Юрьевна</t>
  </si>
  <si>
    <t>Хабибуллин</t>
  </si>
  <si>
    <t>Алдар</t>
  </si>
  <si>
    <t>Очкаев</t>
  </si>
  <si>
    <t>Маргиева</t>
  </si>
  <si>
    <t>ol-247-ga@mail.com</t>
  </si>
  <si>
    <t>+79615352535</t>
  </si>
  <si>
    <t>Хомяков</t>
  </si>
  <si>
    <t>Стихин</t>
  </si>
  <si>
    <t>Прядко</t>
  </si>
  <si>
    <t>Викторовна</t>
  </si>
  <si>
    <t>anyuta.shakti@yandex.ru</t>
  </si>
  <si>
    <t>+79831448605</t>
  </si>
  <si>
    <t>Gustafsson</t>
  </si>
  <si>
    <t>ДАР</t>
  </si>
  <si>
    <t>Внук</t>
  </si>
  <si>
    <t>Деда Хуана</t>
  </si>
  <si>
    <t>wellcat@mail.ru</t>
  </si>
  <si>
    <t>Мышьякова</t>
  </si>
  <si>
    <t>my.nadezhda@mail.ru</t>
  </si>
  <si>
    <t>Порываева</t>
  </si>
  <si>
    <t>краснолар</t>
  </si>
  <si>
    <t>Зарипов</t>
  </si>
  <si>
    <t>1990-03-10</t>
  </si>
  <si>
    <t xml:space="preserve">Казань </t>
  </si>
  <si>
    <t>Любимова</t>
  </si>
  <si>
    <t>Кушнир</t>
  </si>
  <si>
    <t>Виноград</t>
  </si>
  <si>
    <t>Шубин</t>
  </si>
  <si>
    <t>Зыкова</t>
  </si>
  <si>
    <t>Берн</t>
  </si>
  <si>
    <t>Хованская</t>
  </si>
  <si>
    <t>kodich80@mail.ru</t>
  </si>
  <si>
    <t>+79026801588</t>
  </si>
  <si>
    <t>Зеленская</t>
  </si>
  <si>
    <t>Дивнов</t>
  </si>
  <si>
    <t>Остин</t>
  </si>
  <si>
    <t>Гринфельд</t>
  </si>
  <si>
    <t>Демидчик</t>
  </si>
  <si>
    <t>Десятников</t>
  </si>
  <si>
    <t>Святогорова</t>
  </si>
  <si>
    <t>Псков</t>
  </si>
  <si>
    <t>Курочкина</t>
  </si>
  <si>
    <t>Полукарова</t>
  </si>
  <si>
    <t>2022-04-26</t>
  </si>
  <si>
    <t>Валентин</t>
  </si>
  <si>
    <t>1974-07-09</t>
  </si>
  <si>
    <t>1987-08-31</t>
  </si>
  <si>
    <t>Скрябина</t>
  </si>
  <si>
    <t>Болдырев</t>
  </si>
  <si>
    <t>Никоноров</t>
  </si>
  <si>
    <t>Ратникова светлана</t>
  </si>
  <si>
    <t>Сучкова</t>
  </si>
  <si>
    <t>Завадская</t>
  </si>
  <si>
    <t>1969-03-18</t>
  </si>
  <si>
    <t xml:space="preserve">Томищиро Окинава Япония </t>
  </si>
  <si>
    <t>Немцова</t>
  </si>
  <si>
    <t>sofia_nemtsova@mail.ru</t>
  </si>
  <si>
    <t>+79224740748</t>
  </si>
  <si>
    <t>Ар</t>
  </si>
  <si>
    <t>Капли</t>
  </si>
  <si>
    <t>Наталина</t>
  </si>
  <si>
    <t>Раздобреева</t>
  </si>
  <si>
    <t>Грибенькова</t>
  </si>
  <si>
    <t>1978-02-19</t>
  </si>
  <si>
    <t>Волгодонск</t>
  </si>
  <si>
    <t>Zita</t>
  </si>
  <si>
    <t>Ordinaite</t>
  </si>
  <si>
    <t>ordinaite_zita@givinschool.org</t>
  </si>
  <si>
    <t>+37061127830</t>
  </si>
  <si>
    <t>Паневежис</t>
  </si>
  <si>
    <t>Fedotova</t>
  </si>
  <si>
    <t>Тольятти</t>
  </si>
  <si>
    <t>2978-04-24</t>
  </si>
  <si>
    <t>Лаврушкин</t>
  </si>
  <si>
    <t>Великий Новгород</t>
  </si>
  <si>
    <t>Вершинин</t>
  </si>
  <si>
    <t>p89174523081.08@gmail.com</t>
  </si>
  <si>
    <t>Сопов</t>
  </si>
  <si>
    <t>1981-05-07</t>
  </si>
  <si>
    <t>Кулавин</t>
  </si>
  <si>
    <t>Малышкина</t>
  </si>
  <si>
    <t>Salomat</t>
  </si>
  <si>
    <t>Bozorova</t>
  </si>
  <si>
    <t>Гусейнова</t>
  </si>
  <si>
    <t>Исайкин</t>
  </si>
  <si>
    <t>1986-07-16</t>
  </si>
  <si>
    <t>Абубакар</t>
  </si>
  <si>
    <t>Туршаев</t>
  </si>
  <si>
    <t>Аксинья</t>
  </si>
  <si>
    <t>Каменских</t>
  </si>
  <si>
    <t>Капцевич</t>
  </si>
  <si>
    <t>Минишева</t>
  </si>
  <si>
    <t>Когут</t>
  </si>
  <si>
    <t>ausydasd@sdasd.net</t>
  </si>
  <si>
    <t>Квартальнова</t>
  </si>
  <si>
    <t>Кустря</t>
  </si>
  <si>
    <t>Фетисова</t>
  </si>
  <si>
    <t>Голдберг</t>
  </si>
  <si>
    <t>Михайлова</t>
  </si>
  <si>
    <t>Думова</t>
  </si>
  <si>
    <t>Сосунов</t>
  </si>
  <si>
    <t>Осипова</t>
  </si>
  <si>
    <t>Тарасов</t>
  </si>
  <si>
    <t>Мацола</t>
  </si>
  <si>
    <t>i.macola@ukr.net0675819004</t>
  </si>
  <si>
    <t>0675819004</t>
  </si>
  <si>
    <t>Закладной</t>
  </si>
  <si>
    <t>1971-12-18</t>
  </si>
  <si>
    <t>Стокгольм</t>
  </si>
  <si>
    <t>Анатолий</t>
  </si>
  <si>
    <t>Трифонов</t>
  </si>
  <si>
    <t>ирина</t>
  </si>
  <si>
    <t>гриц</t>
  </si>
  <si>
    <t>irin__is@mail.ru</t>
  </si>
  <si>
    <t>+79084454392</t>
  </si>
  <si>
    <t>Дальнегорск</t>
  </si>
  <si>
    <t>Блюмина</t>
  </si>
  <si>
    <t>Крапивко</t>
  </si>
  <si>
    <t>Алесич</t>
  </si>
  <si>
    <t>Andy</t>
  </si>
  <si>
    <t>Тонетели</t>
  </si>
  <si>
    <t>1980-10-23</t>
  </si>
  <si>
    <t>Рустави</t>
  </si>
  <si>
    <t>Гугуева</t>
  </si>
  <si>
    <t>Монино</t>
  </si>
  <si>
    <t>margarita.2016m@bk.ru</t>
  </si>
  <si>
    <t>Миайлова</t>
  </si>
  <si>
    <t>1973-08-29</t>
  </si>
  <si>
    <t>Гайфутдинова</t>
  </si>
  <si>
    <t>Постникова</t>
  </si>
  <si>
    <t>Oinka-93@mail.ru</t>
  </si>
  <si>
    <t>Войцех</t>
  </si>
  <si>
    <t>Ерофеева</t>
  </si>
  <si>
    <t>ИРИНА</t>
  </si>
  <si>
    <t>Величко</t>
  </si>
  <si>
    <t>Баланчук</t>
  </si>
  <si>
    <t>1989-05-31</t>
  </si>
  <si>
    <t>Громов</t>
  </si>
  <si>
    <t>Кукушкин</t>
  </si>
  <si>
    <t>Борис</t>
  </si>
  <si>
    <t>Бушин</t>
  </si>
  <si>
    <t>borishello@mail.ru</t>
  </si>
  <si>
    <t>Patrick</t>
  </si>
  <si>
    <t>Free</t>
  </si>
  <si>
    <t>Солдатенкова</t>
  </si>
  <si>
    <t>KORYAKOVA</t>
  </si>
  <si>
    <t>bu2307@mail.ru</t>
  </si>
  <si>
    <t>1974-07-23</t>
  </si>
  <si>
    <t>Свиридков</t>
  </si>
  <si>
    <t>Козырева</t>
  </si>
  <si>
    <t>Кудрявцова</t>
  </si>
  <si>
    <t>Саломатин</t>
  </si>
  <si>
    <t>Temich261097@mail.ru</t>
  </si>
  <si>
    <t>elenazvet76@mail.ru</t>
  </si>
  <si>
    <t>Титов</t>
  </si>
  <si>
    <t>1996-08-19</t>
  </si>
  <si>
    <t>Коновалов</t>
  </si>
  <si>
    <t>Кот</t>
  </si>
  <si>
    <t>Синявская</t>
  </si>
  <si>
    <t>Северин</t>
  </si>
  <si>
    <t>Kriminalnoe</t>
  </si>
  <si>
    <t>Ctivo</t>
  </si>
  <si>
    <t>Ришон ле цион</t>
  </si>
  <si>
    <t>Айджемал</t>
  </si>
  <si>
    <t>Малько</t>
  </si>
  <si>
    <t>Te</t>
  </si>
  <si>
    <t>Дилора</t>
  </si>
  <si>
    <t>Усов</t>
  </si>
  <si>
    <t>Даугавпилс</t>
  </si>
  <si>
    <t>Скоблик</t>
  </si>
  <si>
    <t>1983-03-18</t>
  </si>
  <si>
    <t>Терехов</t>
  </si>
  <si>
    <t>Чегодарь</t>
  </si>
  <si>
    <t>Ellena</t>
  </si>
  <si>
    <t>Naumenko</t>
  </si>
  <si>
    <t>Запорожченко</t>
  </si>
  <si>
    <t>Malakhova</t>
  </si>
  <si>
    <t>1965-08-04</t>
  </si>
  <si>
    <t>Тихвин</t>
  </si>
  <si>
    <t>Мирхамидова</t>
  </si>
  <si>
    <t>Ермак</t>
  </si>
  <si>
    <t>1995-09-05</t>
  </si>
  <si>
    <t>Шейко</t>
  </si>
  <si>
    <t>veremeychik</t>
  </si>
  <si>
    <t>Айзберг</t>
  </si>
  <si>
    <t>1966-11-11</t>
  </si>
  <si>
    <t>Омск</t>
  </si>
  <si>
    <t>Богова</t>
  </si>
  <si>
    <t>Kritoguzova@bk.ru</t>
  </si>
  <si>
    <t>Krutoguzova@bk.ru</t>
  </si>
  <si>
    <t>Demdem</t>
  </si>
  <si>
    <t>Tyr</t>
  </si>
  <si>
    <t>Кравцов</t>
  </si>
  <si>
    <t>Лещенко</t>
  </si>
  <si>
    <t>1979-02-03</t>
  </si>
  <si>
    <t>Станишевский</t>
  </si>
  <si>
    <t>Терновский</t>
  </si>
  <si>
    <t>Шумейко</t>
  </si>
  <si>
    <t>anna.shum88@mail.ru</t>
  </si>
  <si>
    <t>Старенко</t>
  </si>
  <si>
    <t>Fghvg@thvf.ru</t>
  </si>
  <si>
    <t>Симченко</t>
  </si>
  <si>
    <t>Максименко</t>
  </si>
  <si>
    <t>2022-06-08</t>
  </si>
  <si>
    <t>Гурина</t>
  </si>
  <si>
    <t>guru.blago@mail.ru</t>
  </si>
  <si>
    <t>+79217595028</t>
  </si>
  <si>
    <t>1969-06-08</t>
  </si>
  <si>
    <t>Алтайский край</t>
  </si>
  <si>
    <t>Жезказган</t>
  </si>
  <si>
    <t>Шашкова</t>
  </si>
  <si>
    <t>Василина</t>
  </si>
  <si>
    <t>Бареко</t>
  </si>
  <si>
    <t>мальцева</t>
  </si>
  <si>
    <t>1968-01-04</t>
  </si>
  <si>
    <t>Кулясова</t>
  </si>
  <si>
    <t>Жорик</t>
  </si>
  <si>
    <t>ALMA</t>
  </si>
  <si>
    <t>AIBASSOVA</t>
  </si>
  <si>
    <t>Даня</t>
  </si>
  <si>
    <t>Малинин</t>
  </si>
  <si>
    <t>Реутт</t>
  </si>
  <si>
    <t>Куневич</t>
  </si>
  <si>
    <t>1973-01-19</t>
  </si>
  <si>
    <t>Кожахметов</t>
  </si>
  <si>
    <t>Мошкова</t>
  </si>
  <si>
    <t>Журавлева</t>
  </si>
  <si>
    <t>Kara</t>
  </si>
  <si>
    <t>Desu</t>
  </si>
  <si>
    <t>Чернышева</t>
  </si>
  <si>
    <t>irina.chernysheva.teacher@mail.ru</t>
  </si>
  <si>
    <t>+79687058535</t>
  </si>
  <si>
    <t>Найдич</t>
  </si>
  <si>
    <t>Naydich2020@mail.ru</t>
  </si>
  <si>
    <t>+37377767771</t>
  </si>
  <si>
    <t>Vera</t>
  </si>
  <si>
    <t>Andronik</t>
  </si>
  <si>
    <t>Грачева</t>
  </si>
  <si>
    <t>1985-05-11</t>
  </si>
  <si>
    <t xml:space="preserve">Тольятти </t>
  </si>
  <si>
    <t>Зинаида</t>
  </si>
  <si>
    <t>Саплина</t>
  </si>
  <si>
    <t>Ольшванг</t>
  </si>
  <si>
    <t>Федотоаа</t>
  </si>
  <si>
    <t>Черногория</t>
  </si>
  <si>
    <t>Айварс</t>
  </si>
  <si>
    <t>Бауска</t>
  </si>
  <si>
    <t>Лад</t>
  </si>
  <si>
    <t>Заря</t>
  </si>
  <si>
    <t>Морозов</t>
  </si>
  <si>
    <t>myweblord@mail.com</t>
  </si>
  <si>
    <t>+37126172166</t>
  </si>
  <si>
    <t>Стрельникова</t>
  </si>
  <si>
    <t>y.s.desing@mail.ru</t>
  </si>
  <si>
    <t>+79181950098</t>
  </si>
  <si>
    <t>@strelnikova_yuliya</t>
  </si>
  <si>
    <t>Лунара</t>
  </si>
  <si>
    <t>Окасова</t>
  </si>
  <si>
    <t>Нари</t>
  </si>
  <si>
    <t>Цай</t>
  </si>
  <si>
    <t>Ванесса</t>
  </si>
  <si>
    <t>Конжуева</t>
  </si>
  <si>
    <t>Klara</t>
  </si>
  <si>
    <t>Ilyassova</t>
  </si>
  <si>
    <t>Шабденова</t>
  </si>
  <si>
    <t>Жидкова</t>
  </si>
  <si>
    <t>Di</t>
  </si>
  <si>
    <t>Taimas</t>
  </si>
  <si>
    <t>Чингис</t>
  </si>
  <si>
    <t>Кушекбаев</t>
  </si>
  <si>
    <t>Даша</t>
  </si>
  <si>
    <t>Мако</t>
  </si>
  <si>
    <t>Касымханова</t>
  </si>
  <si>
    <t>1991-03-25</t>
  </si>
  <si>
    <t>Бота</t>
  </si>
  <si>
    <t>Заришнюк</t>
  </si>
  <si>
    <t>Шве</t>
  </si>
  <si>
    <t>S.vasilyeva@profit.kz</t>
  </si>
  <si>
    <t>Литко</t>
  </si>
  <si>
    <t>litkomania@icloud.com</t>
  </si>
  <si>
    <t>Счастливая</t>
  </si>
  <si>
    <t>Жанара</t>
  </si>
  <si>
    <t>Баймуканова</t>
  </si>
  <si>
    <t>Тасенова</t>
  </si>
  <si>
    <t>Мадияр</t>
  </si>
  <si>
    <t>Керимкулов</t>
  </si>
  <si>
    <t>Ильмира</t>
  </si>
  <si>
    <t>2022-01-05</t>
  </si>
  <si>
    <t>Байгалиева</t>
  </si>
  <si>
    <t>Gulmira</t>
  </si>
  <si>
    <t>Tulegenova</t>
  </si>
  <si>
    <t>Нелли</t>
  </si>
  <si>
    <t>Марго</t>
  </si>
  <si>
    <t>Иванникова</t>
  </si>
  <si>
    <t>СЕРГЕЕВА</t>
  </si>
  <si>
    <t>Дмитриева</t>
  </si>
  <si>
    <t>Обнинск</t>
  </si>
  <si>
    <t>Айжамал</t>
  </si>
  <si>
    <t>Даулеткулова</t>
  </si>
  <si>
    <t>Амренова</t>
  </si>
  <si>
    <t>kiboko08@mail.ru</t>
  </si>
  <si>
    <t>1973-05-17</t>
  </si>
  <si>
    <t>Широкова</t>
  </si>
  <si>
    <t>2022-05-24</t>
  </si>
  <si>
    <t>Малевич</t>
  </si>
  <si>
    <t>Tair_ioga</t>
  </si>
  <si>
    <t>Zen</t>
  </si>
  <si>
    <t>Прудник</t>
  </si>
  <si>
    <t>Юсупова</t>
  </si>
  <si>
    <t>Пархат</t>
  </si>
  <si>
    <t>Атбакиев</t>
  </si>
  <si>
    <t>Абдиманапова</t>
  </si>
  <si>
    <t>Смагина</t>
  </si>
  <si>
    <t>Iurii</t>
  </si>
  <si>
    <t>Savin</t>
  </si>
  <si>
    <t>Масленникова</t>
  </si>
  <si>
    <t>1993-05-06</t>
  </si>
  <si>
    <t>Airo</t>
  </si>
  <si>
    <t>Fr</t>
  </si>
  <si>
    <t>Колдоркина</t>
  </si>
  <si>
    <t>Тулекбаева</t>
  </si>
  <si>
    <t>Плискин</t>
  </si>
  <si>
    <t>1994-06-22</t>
  </si>
  <si>
    <t>Усть-Каменогорск</t>
  </si>
  <si>
    <t>Эльнара</t>
  </si>
  <si>
    <t>Алекперова</t>
  </si>
  <si>
    <t>Рустам</t>
  </si>
  <si>
    <t>Натяганчук</t>
  </si>
  <si>
    <t>Гимаденова</t>
  </si>
  <si>
    <t>Еремеева</t>
  </si>
  <si>
    <t>Darya</t>
  </si>
  <si>
    <t>Mai</t>
  </si>
  <si>
    <t>Tatjana</t>
  </si>
  <si>
    <t>Jermakova</t>
  </si>
  <si>
    <t>1974-05-29</t>
  </si>
  <si>
    <t>Iz</t>
  </si>
  <si>
    <t>nizyumova@gmail.com</t>
  </si>
  <si>
    <t>Динар</t>
  </si>
  <si>
    <t>1987-05-10</t>
  </si>
  <si>
    <t xml:space="preserve">Астана </t>
  </si>
  <si>
    <t>Frida</t>
  </si>
  <si>
    <t>Lisnyansky</t>
  </si>
  <si>
    <t>Анель</t>
  </si>
  <si>
    <t>Амандосова</t>
  </si>
  <si>
    <t>1979-06-04</t>
  </si>
  <si>
    <t>Надия</t>
  </si>
  <si>
    <t>Жумабай</t>
  </si>
  <si>
    <t>Калугин</t>
  </si>
  <si>
    <t>Akmal</t>
  </si>
  <si>
    <t>Xujimov</t>
  </si>
  <si>
    <t>Гульбаршин</t>
  </si>
  <si>
    <t>Мут</t>
  </si>
  <si>
    <t>Эмидь</t>
  </si>
  <si>
    <t>Муртазаев</t>
  </si>
  <si>
    <t>Саламатова</t>
  </si>
  <si>
    <t>Пфундт</t>
  </si>
  <si>
    <t>Ускембаева</t>
  </si>
  <si>
    <t>Нецветаева</t>
  </si>
  <si>
    <t>Фомина</t>
  </si>
  <si>
    <t>Асанбекова</t>
  </si>
  <si>
    <t>Kus</t>
  </si>
  <si>
    <t>2000-05-04</t>
  </si>
  <si>
    <t>Карабулак</t>
  </si>
  <si>
    <t>Полкова</t>
  </si>
  <si>
    <t>Актилек</t>
  </si>
  <si>
    <t>Калидолдаева</t>
  </si>
  <si>
    <t>Едиля</t>
  </si>
  <si>
    <t>KR</t>
  </si>
  <si>
    <t>Dilnaz</t>
  </si>
  <si>
    <t>Isa</t>
  </si>
  <si>
    <t>Стрюкова</t>
  </si>
  <si>
    <t>Saniya</t>
  </si>
  <si>
    <t>S</t>
  </si>
  <si>
    <t>Илиана</t>
  </si>
  <si>
    <t>Дарина</t>
  </si>
  <si>
    <t>Сыразденова</t>
  </si>
  <si>
    <t>Анварова</t>
  </si>
  <si>
    <t>Shambala</t>
  </si>
  <si>
    <t>Бажаканова</t>
  </si>
  <si>
    <t>Трубинова</t>
  </si>
  <si>
    <t>1982-09-01</t>
  </si>
  <si>
    <t>Чусовой</t>
  </si>
  <si>
    <t>Таня</t>
  </si>
  <si>
    <t>tanya221985@mail.ru</t>
  </si>
  <si>
    <t>Сергеевич</t>
  </si>
  <si>
    <t>Носова</t>
  </si>
  <si>
    <t>Огриенко</t>
  </si>
  <si>
    <t>Абдильденова</t>
  </si>
  <si>
    <t>Чаркова</t>
  </si>
  <si>
    <t>1985-10-22</t>
  </si>
  <si>
    <t>Дорогян</t>
  </si>
  <si>
    <t>1961-11-24</t>
  </si>
  <si>
    <t>Jenis</t>
  </si>
  <si>
    <t>Кулманова</t>
  </si>
  <si>
    <t>Kulmanova33@mail.ru</t>
  </si>
  <si>
    <t>Патанина</t>
  </si>
  <si>
    <t>1989-08-21</t>
  </si>
  <si>
    <t xml:space="preserve">Волгоград </t>
  </si>
  <si>
    <t>Ситнова</t>
  </si>
  <si>
    <t>1981-04-11</t>
  </si>
  <si>
    <t>Доспаев</t>
  </si>
  <si>
    <t>Shadrina</t>
  </si>
  <si>
    <t>Шинара</t>
  </si>
  <si>
    <t>Бутумбаева</t>
  </si>
  <si>
    <t>Уристембекова</t>
  </si>
  <si>
    <t>1983-05-13</t>
  </si>
  <si>
    <t xml:space="preserve">Taldykorgan </t>
  </si>
  <si>
    <t>Сагиндыкова</t>
  </si>
  <si>
    <t>jmj_67@mail.ru</t>
  </si>
  <si>
    <t>Гавиржов</t>
  </si>
  <si>
    <t>Арчакова</t>
  </si>
  <si>
    <t>https://t.me/karina_motion</t>
  </si>
  <si>
    <t>Крис</t>
  </si>
  <si>
    <t>Зарембо</t>
  </si>
  <si>
    <t>Филиппины</t>
  </si>
  <si>
    <t>Aislu</t>
  </si>
  <si>
    <t>Hamitova</t>
  </si>
  <si>
    <t>Харитонова</t>
  </si>
  <si>
    <t>Никитина</t>
  </si>
  <si>
    <t>rosnata1@mail.ru</t>
  </si>
  <si>
    <t>rosnata2@mail.ru</t>
  </si>
  <si>
    <t>rosnata33@mail.ru</t>
  </si>
  <si>
    <t>rosnata44@mail.ru</t>
  </si>
  <si>
    <t>Сауле</t>
  </si>
  <si>
    <t>Божеева</t>
  </si>
  <si>
    <t>Аймана</t>
  </si>
  <si>
    <t>Мухамбетова</t>
  </si>
  <si>
    <t>Xenia</t>
  </si>
  <si>
    <t>Alex</t>
  </si>
  <si>
    <t>Ainari</t>
  </si>
  <si>
    <t>Kapina</t>
  </si>
  <si>
    <t>Барин</t>
  </si>
  <si>
    <t>Тлеубергенова</t>
  </si>
  <si>
    <t>АДИЛБАЙКЫЗЫ</t>
  </si>
  <si>
    <t>Абдикешова</t>
  </si>
  <si>
    <t>Амиреева</t>
  </si>
  <si>
    <t>Бисариева</t>
  </si>
  <si>
    <t>1984-03-13</t>
  </si>
  <si>
    <t>Terner</t>
  </si>
  <si>
    <t>Lizabet</t>
  </si>
  <si>
    <t>Атагелдиева</t>
  </si>
  <si>
    <t>Кристине</t>
  </si>
  <si>
    <t>Оганесян</t>
  </si>
  <si>
    <t>Диархан</t>
  </si>
  <si>
    <t>Досаев</t>
  </si>
  <si>
    <t>ivan</t>
  </si>
  <si>
    <t>star</t>
  </si>
  <si>
    <t>Кутнякова</t>
  </si>
  <si>
    <t>Сания</t>
  </si>
  <si>
    <t>Рыскулбекова</t>
  </si>
  <si>
    <t>Бапабаш</t>
  </si>
  <si>
    <t>Элеонора</t>
  </si>
  <si>
    <t>Валькова</t>
  </si>
  <si>
    <t>Битимбаева</t>
  </si>
  <si>
    <t>Гоглачёва</t>
  </si>
  <si>
    <t>РУШАНА</t>
  </si>
  <si>
    <t>Беккажинова</t>
  </si>
  <si>
    <t>Малогулко</t>
  </si>
  <si>
    <t>1959-03-15</t>
  </si>
  <si>
    <t xml:space="preserve">Красноярск </t>
  </si>
  <si>
    <t>Зулия</t>
  </si>
  <si>
    <t>Азат</t>
  </si>
  <si>
    <t>Оганисян</t>
  </si>
  <si>
    <t>Aizhan</t>
  </si>
  <si>
    <t>Soul</t>
  </si>
  <si>
    <t>Обиван</t>
  </si>
  <si>
    <t>Кеноби</t>
  </si>
  <si>
    <t>Иманбердиева</t>
  </si>
  <si>
    <t>Ночнюк</t>
  </si>
  <si>
    <t>Игнатюк</t>
  </si>
  <si>
    <t>Филина</t>
  </si>
  <si>
    <t xml:space="preserve">Луганск </t>
  </si>
  <si>
    <t>Головинова</t>
  </si>
  <si>
    <t>Репницкая</t>
  </si>
  <si>
    <t>Бузинская</t>
  </si>
  <si>
    <t>Алтынай</t>
  </si>
  <si>
    <t>Бекжаркенова</t>
  </si>
  <si>
    <t>Мухамед</t>
  </si>
  <si>
    <t>Курайши</t>
  </si>
  <si>
    <t>Макаров</t>
  </si>
  <si>
    <t>1982-08-08</t>
  </si>
  <si>
    <t>Зорина</t>
  </si>
  <si>
    <t>1961-12-21</t>
  </si>
  <si>
    <t>Чеснокова</t>
  </si>
  <si>
    <t>Швецова</t>
  </si>
  <si>
    <t>Сар</t>
  </si>
  <si>
    <t>Некрасова</t>
  </si>
  <si>
    <t>Митрофанов</t>
  </si>
  <si>
    <t>Виталия</t>
  </si>
  <si>
    <t>Середенко</t>
  </si>
  <si>
    <t>Белкина</t>
  </si>
  <si>
    <t>Сагив</t>
  </si>
  <si>
    <t>Olesia</t>
  </si>
  <si>
    <t>Salnikova</t>
  </si>
  <si>
    <t>Болотина</t>
  </si>
  <si>
    <t>Козырин</t>
  </si>
  <si>
    <t>Лаврентьева</t>
  </si>
  <si>
    <t>Ашуркова</t>
  </si>
  <si>
    <t>Раис</t>
  </si>
  <si>
    <t>Бутина</t>
  </si>
  <si>
    <t>allarisa2013@cmail.com</t>
  </si>
  <si>
    <t>Санников</t>
  </si>
  <si>
    <t>Ширшова</t>
  </si>
  <si>
    <t>1978-09-25</t>
  </si>
  <si>
    <t>Rossikhina</t>
  </si>
  <si>
    <t>Лязат</t>
  </si>
  <si>
    <t>Нусупбекова</t>
  </si>
  <si>
    <t>Шулепина</t>
  </si>
  <si>
    <t>Абсалямова</t>
  </si>
  <si>
    <t>Дора</t>
  </si>
  <si>
    <t>1969-05-22</t>
  </si>
  <si>
    <t>Якутск</t>
  </si>
  <si>
    <t>Лалетина</t>
  </si>
  <si>
    <t>Alişa</t>
  </si>
  <si>
    <t>Abil</t>
  </si>
  <si>
    <t>Soliha</t>
  </si>
  <si>
    <t>Musaeva</t>
  </si>
  <si>
    <t>Eduard.Stovbira@yandex.ru</t>
  </si>
  <si>
    <t>Салих</t>
  </si>
  <si>
    <t>ms.larina2016@yandex.ri</t>
  </si>
  <si>
    <t>Adiya</t>
  </si>
  <si>
    <t>A</t>
  </si>
  <si>
    <t>Королькова</t>
  </si>
  <si>
    <t>Баян</t>
  </si>
  <si>
    <t>Егемберди</t>
  </si>
  <si>
    <t>Канапьянова</t>
  </si>
  <si>
    <t>Семён</t>
  </si>
  <si>
    <t>Посканной</t>
  </si>
  <si>
    <t>Любина</t>
  </si>
  <si>
    <t>Нагимова</t>
  </si>
  <si>
    <t>Титаренко</t>
  </si>
  <si>
    <t>Алуа</t>
  </si>
  <si>
    <t>Садуакасова</t>
  </si>
  <si>
    <t>Рухсора</t>
  </si>
  <si>
    <t>Мустофоева</t>
  </si>
  <si>
    <t>mustafaevaruxsora@gmail.com</t>
  </si>
  <si>
    <t>Костя</t>
  </si>
  <si>
    <t>Константинович</t>
  </si>
  <si>
    <t>1986-12-03</t>
  </si>
  <si>
    <t>Ashkelon</t>
  </si>
  <si>
    <t>Ганзвинд</t>
  </si>
  <si>
    <t>Пазюра</t>
  </si>
  <si>
    <t>Ковалева</t>
  </si>
  <si>
    <t>saboxat</t>
  </si>
  <si>
    <t>juraeva</t>
  </si>
  <si>
    <t>Милана</t>
  </si>
  <si>
    <t>Цыбулькина</t>
  </si>
  <si>
    <t>2001-03-25</t>
  </si>
  <si>
    <t>Силютина</t>
  </si>
  <si>
    <t>Шипилова</t>
  </si>
  <si>
    <t>Кичура</t>
  </si>
  <si>
    <t>Муратова</t>
  </si>
  <si>
    <t>Muratova.natasha79@mail.ru</t>
  </si>
  <si>
    <t>Чуфистова</t>
  </si>
  <si>
    <t>Lyudmila</t>
  </si>
  <si>
    <t>Savon</t>
  </si>
  <si>
    <t>Николаевна</t>
  </si>
  <si>
    <t>Victoria</t>
  </si>
  <si>
    <t>Kotova</t>
  </si>
  <si>
    <t>Шарифуллина</t>
  </si>
  <si>
    <t>Lee</t>
  </si>
  <si>
    <t>Life</t>
  </si>
  <si>
    <t>У</t>
  </si>
  <si>
    <t>isus6771@mail.ru</t>
  </si>
  <si>
    <t>Таджикистан</t>
  </si>
  <si>
    <t>Dushka</t>
  </si>
  <si>
    <t>Гольдштейн</t>
  </si>
  <si>
    <t>Венера</t>
  </si>
  <si>
    <t>Фелиз</t>
  </si>
  <si>
    <t>Чураков1</t>
  </si>
  <si>
    <t>87788715092</t>
  </si>
  <si>
    <t>87786999562</t>
  </si>
  <si>
    <t>87786475929</t>
  </si>
  <si>
    <t>87051438199</t>
  </si>
  <si>
    <t>79138211306</t>
  </si>
  <si>
    <t>79588255219</t>
  </si>
  <si>
    <t>79231088150</t>
  </si>
  <si>
    <t>79220060333</t>
  </si>
  <si>
    <t>79636048668</t>
  </si>
  <si>
    <t>79166755599</t>
  </si>
  <si>
    <t>79961775916</t>
  </si>
  <si>
    <t>79025242387</t>
  </si>
  <si>
    <t>79043020903</t>
  </si>
  <si>
    <t>79028755338</t>
  </si>
  <si>
    <t>79534152514</t>
  </si>
  <si>
    <t>87023788999</t>
  </si>
  <si>
    <t>79673248815</t>
  </si>
  <si>
    <t>79227538501</t>
  </si>
  <si>
    <t>79517899501</t>
  </si>
  <si>
    <t>79533520267</t>
  </si>
  <si>
    <t>79601579629</t>
  </si>
  <si>
    <t>79035000100</t>
  </si>
  <si>
    <t>79250659075</t>
  </si>
  <si>
    <t>79850813339</t>
  </si>
  <si>
    <t>79150953355</t>
  </si>
  <si>
    <t>79262229771</t>
  </si>
  <si>
    <t>79002803158</t>
  </si>
  <si>
    <t>79241617858</t>
  </si>
  <si>
    <t>87770458550</t>
  </si>
  <si>
    <t>87021057977</t>
  </si>
  <si>
    <t>87012187018</t>
  </si>
  <si>
    <t>87773789117</t>
  </si>
  <si>
    <t>87779905659</t>
  </si>
  <si>
    <t>87029523656</t>
  </si>
  <si>
    <t>87781342070</t>
  </si>
  <si>
    <t>79012813970</t>
  </si>
  <si>
    <t>87082170938</t>
  </si>
  <si>
    <t>87083601774</t>
  </si>
  <si>
    <t>87761448080</t>
  </si>
  <si>
    <t>79220748806</t>
  </si>
  <si>
    <t>87767368906</t>
  </si>
  <si>
    <t>79511558166</t>
  </si>
  <si>
    <t>79787512092</t>
  </si>
  <si>
    <t>79625781831</t>
  </si>
  <si>
    <t>79158989852</t>
  </si>
  <si>
    <t>87474646376</t>
  </si>
  <si>
    <t>87018184159</t>
  </si>
  <si>
    <t>79288112616</t>
  </si>
  <si>
    <t>79042934896</t>
  </si>
  <si>
    <t>87715925115</t>
  </si>
  <si>
    <t>87776104857</t>
  </si>
  <si>
    <t>77021047208</t>
  </si>
  <si>
    <t>87772927781</t>
  </si>
  <si>
    <t>87003761206</t>
  </si>
  <si>
    <t>79127026521</t>
  </si>
  <si>
    <t>87479191816</t>
  </si>
  <si>
    <t>79530423449</t>
  </si>
  <si>
    <t>87018086776</t>
  </si>
  <si>
    <t>79210193385</t>
  </si>
  <si>
    <t>87786811983</t>
  </si>
  <si>
    <t>87771688116</t>
  </si>
  <si>
    <t>79675710100</t>
  </si>
  <si>
    <t>79891661878</t>
  </si>
  <si>
    <t>79384402025</t>
  </si>
  <si>
    <t>79897098175</t>
  </si>
  <si>
    <t>79250796033</t>
  </si>
  <si>
    <t>87766007520</t>
  </si>
  <si>
    <t>79297921406</t>
  </si>
  <si>
    <t>79998524589</t>
  </si>
  <si>
    <t>79169069467</t>
  </si>
  <si>
    <t>87055053768</t>
  </si>
  <si>
    <t>87085857725</t>
  </si>
  <si>
    <t>87024339064</t>
  </si>
  <si>
    <t>87028063346</t>
  </si>
  <si>
    <t>79194067073</t>
  </si>
  <si>
    <t>79031000501</t>
  </si>
  <si>
    <t>87081599579</t>
  </si>
  <si>
    <t>87771091979</t>
  </si>
  <si>
    <t>87750696475</t>
  </si>
  <si>
    <t>87776380782</t>
  </si>
  <si>
    <t>79270892210</t>
  </si>
  <si>
    <t>87087007498</t>
  </si>
  <si>
    <t>87011814445</t>
  </si>
  <si>
    <t>79220319160</t>
  </si>
  <si>
    <t>79265456107</t>
  </si>
  <si>
    <t>79168896315</t>
  </si>
  <si>
    <t>87717452516</t>
  </si>
  <si>
    <t>87058810088</t>
  </si>
  <si>
    <t>79304167961</t>
  </si>
  <si>
    <t>87779540701</t>
  </si>
  <si>
    <t>87017706070</t>
  </si>
  <si>
    <t>87474352661</t>
  </si>
  <si>
    <t>37067403333</t>
  </si>
  <si>
    <t>80291925710</t>
  </si>
  <si>
    <t>87013004008</t>
  </si>
  <si>
    <t>79062903174</t>
  </si>
  <si>
    <t>79276962637</t>
  </si>
  <si>
    <t>77017290594</t>
  </si>
  <si>
    <t>79637733373</t>
  </si>
  <si>
    <t>79897704789</t>
  </si>
  <si>
    <t>37126748038</t>
  </si>
  <si>
    <t>37129670447</t>
  </si>
  <si>
    <t>87013642524</t>
  </si>
  <si>
    <t>79294394600</t>
  </si>
  <si>
    <t>79183067117</t>
  </si>
  <si>
    <t>79522729779</t>
  </si>
  <si>
    <t>87081712636</t>
  </si>
  <si>
    <t>87779399885</t>
  </si>
  <si>
    <t>77783550305</t>
  </si>
  <si>
    <t>87072306262</t>
  </si>
  <si>
    <t>79253904445</t>
  </si>
  <si>
    <t>79632748880</t>
  </si>
  <si>
    <t>79831021798</t>
  </si>
  <si>
    <t>37253240593</t>
  </si>
  <si>
    <t>79991217157</t>
  </si>
  <si>
    <t>34534534545</t>
  </si>
  <si>
    <t>87054403988</t>
  </si>
  <si>
    <t>79871364660</t>
  </si>
  <si>
    <t>79689302649</t>
  </si>
  <si>
    <t>79193102777</t>
  </si>
  <si>
    <t>79373308840</t>
  </si>
  <si>
    <t>87053067877</t>
  </si>
  <si>
    <t>87077663127</t>
  </si>
  <si>
    <t>87082376564</t>
  </si>
  <si>
    <t>79633303744</t>
  </si>
  <si>
    <t>79119613492</t>
  </si>
  <si>
    <t>79940072416</t>
  </si>
  <si>
    <t>79778751255</t>
  </si>
  <si>
    <t>79228081877</t>
  </si>
  <si>
    <t>79051559717</t>
  </si>
  <si>
    <t>79645438902</t>
  </si>
  <si>
    <t>87026027992</t>
  </si>
  <si>
    <t>87074242121</t>
  </si>
  <si>
    <t>79103295589</t>
  </si>
  <si>
    <t>79585580582</t>
  </si>
  <si>
    <t>79532350253</t>
  </si>
  <si>
    <t>79030986224</t>
  </si>
  <si>
    <t>87771429559</t>
  </si>
  <si>
    <t>87076079492</t>
  </si>
  <si>
    <t>79501273168</t>
  </si>
  <si>
    <t>79375348929</t>
  </si>
  <si>
    <t>79823598978</t>
  </si>
  <si>
    <t>79185971234</t>
  </si>
  <si>
    <t>87081268832</t>
  </si>
  <si>
    <t>79181351575</t>
  </si>
  <si>
    <t>79085855505</t>
  </si>
  <si>
    <t>79180163243</t>
  </si>
  <si>
    <t>87079047751</t>
  </si>
  <si>
    <t>79064370440</t>
  </si>
  <si>
    <t>79312303036</t>
  </si>
  <si>
    <t>87712423307</t>
  </si>
  <si>
    <t>79125253457</t>
  </si>
  <si>
    <t>87752641325</t>
  </si>
  <si>
    <t>79549400299</t>
  </si>
  <si>
    <t>79215413062</t>
  </si>
  <si>
    <t>79122468203</t>
  </si>
  <si>
    <t>79024730014</t>
  </si>
  <si>
    <t>79253458788</t>
  </si>
  <si>
    <t>79525470098</t>
  </si>
  <si>
    <t>79017290197</t>
  </si>
  <si>
    <t>79832441595</t>
  </si>
  <si>
    <t>79277755111</t>
  </si>
  <si>
    <t>79884150565</t>
  </si>
  <si>
    <t>79266941242</t>
  </si>
  <si>
    <t>87053297236</t>
  </si>
  <si>
    <t>87777777777</t>
  </si>
  <si>
    <t>79213806562</t>
  </si>
  <si>
    <t>79841682372</t>
  </si>
  <si>
    <t>79852800034</t>
  </si>
  <si>
    <t>87712053905</t>
  </si>
  <si>
    <t>87011014113</t>
  </si>
  <si>
    <t>79153802150</t>
  </si>
  <si>
    <t>79185335373</t>
  </si>
  <si>
    <t>87011267320</t>
  </si>
  <si>
    <t>79067212233</t>
  </si>
  <si>
    <t>87756323044</t>
  </si>
  <si>
    <t>77769844144</t>
  </si>
  <si>
    <t>87784183696</t>
  </si>
  <si>
    <t>79196273821</t>
  </si>
  <si>
    <t>87018074466</t>
  </si>
  <si>
    <t>87759041663</t>
  </si>
  <si>
    <t>79099993600</t>
  </si>
  <si>
    <t>79536711670</t>
  </si>
  <si>
    <t>79536750399</t>
  </si>
  <si>
    <t>79111362441</t>
  </si>
  <si>
    <t>79853648884</t>
  </si>
  <si>
    <t>79375724512</t>
  </si>
  <si>
    <t>79282945028</t>
  </si>
  <si>
    <t>79607413437</t>
  </si>
  <si>
    <t>79083008886</t>
  </si>
  <si>
    <t>79081851479</t>
  </si>
  <si>
    <t>79818530288</t>
  </si>
  <si>
    <t>79171413761</t>
  </si>
  <si>
    <t>79124361987</t>
  </si>
  <si>
    <t>77052892288</t>
  </si>
  <si>
    <t>79181741820</t>
  </si>
  <si>
    <t>79648828313</t>
  </si>
  <si>
    <t>79102500017</t>
  </si>
  <si>
    <t>87027662045</t>
  </si>
  <si>
    <t>87028622956</t>
  </si>
  <si>
    <t>79821084700</t>
  </si>
  <si>
    <t>87051610734</t>
  </si>
  <si>
    <t>87014620202</t>
  </si>
  <si>
    <t>77775256550</t>
  </si>
  <si>
    <t>87767574747</t>
  </si>
  <si>
    <t>79183062038</t>
  </si>
  <si>
    <t>87775096258</t>
  </si>
  <si>
    <t>79143389472</t>
  </si>
  <si>
    <t>79652826372</t>
  </si>
  <si>
    <t>79202126196</t>
  </si>
  <si>
    <t>87471159395</t>
  </si>
  <si>
    <t>87072298487</t>
  </si>
  <si>
    <t>79182424072</t>
  </si>
  <si>
    <t>77051803243</t>
  </si>
  <si>
    <t>79051306006</t>
  </si>
  <si>
    <t>87477316180</t>
  </si>
  <si>
    <t>79655482822</t>
  </si>
  <si>
    <t>79281794882</t>
  </si>
  <si>
    <t>79090951347</t>
  </si>
  <si>
    <t>79824674060</t>
  </si>
  <si>
    <t>79636235152</t>
  </si>
  <si>
    <t>87077673593</t>
  </si>
  <si>
    <t>87777959862</t>
  </si>
  <si>
    <t>79245671411</t>
  </si>
  <si>
    <t>79257187951</t>
  </si>
  <si>
    <t>87477481077</t>
  </si>
  <si>
    <t>79171321882</t>
  </si>
  <si>
    <t>79516412681</t>
  </si>
  <si>
    <t>77012262240</t>
  </si>
  <si>
    <t>79134667000</t>
  </si>
  <si>
    <t>77779982155</t>
  </si>
  <si>
    <t>87711530780</t>
  </si>
  <si>
    <t>79186028541</t>
  </si>
  <si>
    <t>77084235200</t>
  </si>
  <si>
    <t>87770278118</t>
  </si>
  <si>
    <t>79514340132</t>
  </si>
  <si>
    <t>77073941293</t>
  </si>
  <si>
    <t>87010480400</t>
  </si>
  <si>
    <t>79175903472</t>
  </si>
  <si>
    <t>87059801717</t>
  </si>
  <si>
    <t>79006427495</t>
  </si>
  <si>
    <t>79081041387</t>
  </si>
  <si>
    <t>87020007708</t>
  </si>
  <si>
    <t>87784091163</t>
  </si>
  <si>
    <t>87779208901</t>
  </si>
  <si>
    <t>79031736699</t>
  </si>
  <si>
    <t>79393392480</t>
  </si>
  <si>
    <t>79068487878</t>
  </si>
  <si>
    <t>87053733370</t>
  </si>
  <si>
    <t>79885387055</t>
  </si>
  <si>
    <t>79276030535</t>
  </si>
  <si>
    <t>79156392705</t>
  </si>
  <si>
    <t>87076870772</t>
  </si>
  <si>
    <t>79623711366</t>
  </si>
  <si>
    <t>79509995598</t>
  </si>
  <si>
    <t>79625020699</t>
  </si>
  <si>
    <t>79148793315</t>
  </si>
  <si>
    <t>79287080501</t>
  </si>
  <si>
    <t>79965163991</t>
  </si>
  <si>
    <t>79122969892</t>
  </si>
  <si>
    <t>79143160499</t>
  </si>
  <si>
    <t>79781369224</t>
  </si>
  <si>
    <t>79217907548</t>
  </si>
  <si>
    <t>87051211215</t>
  </si>
  <si>
    <t>79121164370</t>
  </si>
  <si>
    <t>79295110604</t>
  </si>
  <si>
    <t>79520813361</t>
  </si>
  <si>
    <t>79134470011</t>
  </si>
  <si>
    <t>79063938670</t>
  </si>
  <si>
    <t>87778040965</t>
  </si>
  <si>
    <t>79650086560</t>
  </si>
  <si>
    <t>87014562141</t>
  </si>
  <si>
    <t>79636670528</t>
  </si>
  <si>
    <t>79818850348</t>
  </si>
  <si>
    <t>79513438672</t>
  </si>
  <si>
    <t>79605894756</t>
  </si>
  <si>
    <t>79161528379</t>
  </si>
  <si>
    <t>79272169867</t>
  </si>
  <si>
    <t>87767450055</t>
  </si>
  <si>
    <t>79005618183</t>
  </si>
  <si>
    <t>79217518672</t>
  </si>
  <si>
    <t>79030566885</t>
  </si>
  <si>
    <t>79006474256</t>
  </si>
  <si>
    <t>87051837757</t>
  </si>
  <si>
    <t>79502225808</t>
  </si>
  <si>
    <t>79154106422</t>
  </si>
  <si>
    <t>79897443977</t>
  </si>
  <si>
    <t>79680146965</t>
  </si>
  <si>
    <t>79112424205</t>
  </si>
  <si>
    <t>87017286886</t>
  </si>
  <si>
    <t>79030763911</t>
  </si>
  <si>
    <t>79852379972</t>
  </si>
  <si>
    <t>79052320935</t>
  </si>
  <si>
    <t>87027159558</t>
  </si>
  <si>
    <t>87712448577</t>
  </si>
  <si>
    <t>79103681391</t>
  </si>
  <si>
    <t>79082634355</t>
  </si>
  <si>
    <t>79122204953</t>
  </si>
  <si>
    <t>79093760214</t>
  </si>
  <si>
    <t>79536901649</t>
  </si>
  <si>
    <t>79821408635</t>
  </si>
  <si>
    <t>87769978147</t>
  </si>
  <si>
    <t>46702302444</t>
  </si>
  <si>
    <t>87055065829</t>
  </si>
  <si>
    <t>79000818980</t>
  </si>
  <si>
    <t>87051863347</t>
  </si>
  <si>
    <t>79872840454</t>
  </si>
  <si>
    <t>79101491131</t>
  </si>
  <si>
    <t>87075505852</t>
  </si>
  <si>
    <t>79265822993</t>
  </si>
  <si>
    <t>79625032228</t>
  </si>
  <si>
    <t>79257556776</t>
  </si>
  <si>
    <t>79671939811</t>
  </si>
  <si>
    <t>79137853875</t>
  </si>
  <si>
    <t>79869205039</t>
  </si>
  <si>
    <t>87475650768</t>
  </si>
  <si>
    <t>87089880158</t>
  </si>
  <si>
    <t>87476743927</t>
  </si>
  <si>
    <t>87472411174</t>
  </si>
  <si>
    <t>79514104048</t>
  </si>
  <si>
    <t>87059707737</t>
  </si>
  <si>
    <t>79167792575</t>
  </si>
  <si>
    <t>79170445016</t>
  </si>
  <si>
    <t>79504735795</t>
  </si>
  <si>
    <t>87471529829</t>
  </si>
  <si>
    <t>79142173349</t>
  </si>
  <si>
    <t>79998309733</t>
  </si>
  <si>
    <t>79517433228</t>
  </si>
  <si>
    <t>87772176138</t>
  </si>
  <si>
    <t>79639078072</t>
  </si>
  <si>
    <t>79235749363</t>
  </si>
  <si>
    <t>79136961098</t>
  </si>
  <si>
    <t>79025568381</t>
  </si>
  <si>
    <t>79052478802</t>
  </si>
  <si>
    <t>79167036699</t>
  </si>
  <si>
    <t>79113288990</t>
  </si>
  <si>
    <t>87069062888</t>
  </si>
  <si>
    <t>79082354915</t>
  </si>
  <si>
    <t>79133302729</t>
  </si>
  <si>
    <t>79175000577</t>
  </si>
  <si>
    <t>79776974080</t>
  </si>
  <si>
    <t>79887666448</t>
  </si>
  <si>
    <t>79527664242</t>
  </si>
  <si>
    <t>79892935325</t>
  </si>
  <si>
    <t>79653446007</t>
  </si>
  <si>
    <t>79377179339</t>
  </si>
  <si>
    <t>79004834292</t>
  </si>
  <si>
    <t>13103081383</t>
  </si>
  <si>
    <t>87075959551</t>
  </si>
  <si>
    <t>79138390912</t>
  </si>
  <si>
    <t>79150254525</t>
  </si>
  <si>
    <t>79154756597</t>
  </si>
  <si>
    <t>87472828929</t>
  </si>
  <si>
    <t>87756800084</t>
  </si>
  <si>
    <t>79519415950</t>
  </si>
  <si>
    <t>87015965085</t>
  </si>
  <si>
    <t>79173419788</t>
  </si>
  <si>
    <t>79196914555</t>
  </si>
  <si>
    <t>79999095867</t>
  </si>
  <si>
    <t>87718492128</t>
  </si>
  <si>
    <t>87009185733</t>
  </si>
  <si>
    <t>79871909929</t>
  </si>
  <si>
    <t>79122370099</t>
  </si>
  <si>
    <t>87782416762</t>
  </si>
  <si>
    <t>87787111557</t>
  </si>
  <si>
    <t>79875834568</t>
  </si>
  <si>
    <t>37061864017</t>
  </si>
  <si>
    <t>87071707151</t>
  </si>
  <si>
    <t>88058286181</t>
  </si>
  <si>
    <t>87769163657</t>
  </si>
  <si>
    <t>79002607797</t>
  </si>
  <si>
    <t>79234928914</t>
  </si>
  <si>
    <t>79889526104</t>
  </si>
  <si>
    <t>79183580605</t>
  </si>
  <si>
    <t>79245110238</t>
  </si>
  <si>
    <t>15788766734</t>
  </si>
  <si>
    <t>79033992548</t>
  </si>
  <si>
    <t>79085729595</t>
  </si>
  <si>
    <t>79123935407</t>
  </si>
  <si>
    <t>79112151024</t>
  </si>
  <si>
    <t>79284053388</t>
  </si>
  <si>
    <t>87055084661</t>
  </si>
  <si>
    <t>79994707986</t>
  </si>
  <si>
    <t>79160284757</t>
  </si>
  <si>
    <t>87777778309</t>
  </si>
  <si>
    <t>79997554050</t>
  </si>
  <si>
    <t>87476002593</t>
  </si>
  <si>
    <t>87015310151</t>
  </si>
  <si>
    <t>79167839074</t>
  </si>
  <si>
    <t>79185463636</t>
  </si>
  <si>
    <t>87776474754</t>
  </si>
  <si>
    <t>79257405011</t>
  </si>
  <si>
    <t>79638441814</t>
  </si>
  <si>
    <t>79995603287</t>
  </si>
  <si>
    <t>79035733220</t>
  </si>
  <si>
    <t>87051575553</t>
  </si>
  <si>
    <t>87783559875</t>
  </si>
  <si>
    <t>79649243090</t>
  </si>
  <si>
    <t>79673202170</t>
  </si>
  <si>
    <t>87059876021</t>
  </si>
  <si>
    <t>79263978128</t>
  </si>
  <si>
    <t>77010231114</t>
  </si>
  <si>
    <t>79057151755</t>
  </si>
  <si>
    <t>79780837648</t>
  </si>
  <si>
    <t>87477274077</t>
  </si>
  <si>
    <t>79114095417</t>
  </si>
  <si>
    <t>77787011157</t>
  </si>
  <si>
    <t>87076252273</t>
  </si>
  <si>
    <t>79523977792</t>
  </si>
  <si>
    <t>79139754200</t>
  </si>
  <si>
    <t>87057754518</t>
  </si>
  <si>
    <t>87081069722</t>
  </si>
  <si>
    <t>79393778594</t>
  </si>
  <si>
    <t>79212572676</t>
  </si>
  <si>
    <t>87023821090</t>
  </si>
  <si>
    <t>79514440327</t>
  </si>
  <si>
    <t>87017733203</t>
  </si>
  <si>
    <t>87086442654</t>
  </si>
  <si>
    <t>79505244604</t>
  </si>
  <si>
    <t>79053620940</t>
  </si>
  <si>
    <t>79999999999</t>
  </si>
  <si>
    <t>87713504188</t>
  </si>
  <si>
    <t>79223636100</t>
  </si>
  <si>
    <t>79111570570</t>
  </si>
  <si>
    <t>87028569359</t>
  </si>
  <si>
    <t>79184493967</t>
  </si>
  <si>
    <t>79216500116</t>
  </si>
  <si>
    <t>79081233883</t>
  </si>
  <si>
    <t>87052600995</t>
  </si>
  <si>
    <t>87771616012</t>
  </si>
  <si>
    <t>79009467744</t>
  </si>
  <si>
    <t>77014016226</t>
  </si>
  <si>
    <t>87014296907</t>
  </si>
  <si>
    <t>79283550861</t>
  </si>
  <si>
    <t>79144126464</t>
  </si>
  <si>
    <t>87086449514</t>
  </si>
  <si>
    <t>79168585246</t>
  </si>
  <si>
    <t>79517331777</t>
  </si>
  <si>
    <t>79034174329</t>
  </si>
  <si>
    <t>79891617728</t>
  </si>
  <si>
    <t>79296623555</t>
  </si>
  <si>
    <t>79326221439</t>
  </si>
  <si>
    <t>79144437086</t>
  </si>
  <si>
    <t>79261808929</t>
  </si>
  <si>
    <t>79165860017</t>
  </si>
  <si>
    <t>79035433222</t>
  </si>
  <si>
    <t>79082703505</t>
  </si>
  <si>
    <t>79165248412</t>
  </si>
  <si>
    <t>87012031978</t>
  </si>
  <si>
    <t>77004480404</t>
  </si>
  <si>
    <t>87767990606</t>
  </si>
  <si>
    <t>79655235508</t>
  </si>
  <si>
    <t>87082956209</t>
  </si>
  <si>
    <t>79140365055</t>
  </si>
  <si>
    <t>79082896868</t>
  </si>
  <si>
    <t>79221166587</t>
  </si>
  <si>
    <t>79226667754</t>
  </si>
  <si>
    <t>79241505263</t>
  </si>
  <si>
    <t>79276257175</t>
  </si>
  <si>
    <t>79875327379</t>
  </si>
  <si>
    <t>79143579999</t>
  </si>
  <si>
    <t>79642669422</t>
  </si>
  <si>
    <t>79179072149</t>
  </si>
  <si>
    <t>79517437871</t>
  </si>
  <si>
    <t>87027596552</t>
  </si>
  <si>
    <t>87028296601</t>
  </si>
  <si>
    <t>19293395969</t>
  </si>
  <si>
    <t>77771333373</t>
  </si>
  <si>
    <t>79212267888</t>
  </si>
  <si>
    <t>79874861557</t>
  </si>
  <si>
    <t>79633605903</t>
  </si>
  <si>
    <t>79538969137</t>
  </si>
  <si>
    <t>77475746433</t>
  </si>
  <si>
    <t>79911131933</t>
  </si>
  <si>
    <t>79151666161</t>
  </si>
  <si>
    <t>79613141930</t>
  </si>
  <si>
    <t>79673098277</t>
  </si>
  <si>
    <t>87778112090</t>
  </si>
  <si>
    <t>79312331849</t>
  </si>
  <si>
    <t>79154962348</t>
  </si>
  <si>
    <t>79204844321</t>
  </si>
  <si>
    <t>79006054545</t>
  </si>
  <si>
    <t>79852097040</t>
  </si>
  <si>
    <t>79320172184</t>
  </si>
  <si>
    <t>79526785903</t>
  </si>
  <si>
    <t>87074303782</t>
  </si>
  <si>
    <t>79538084881</t>
  </si>
  <si>
    <t>79094567800</t>
  </si>
  <si>
    <t>87011366119</t>
  </si>
  <si>
    <t>14246534044</t>
  </si>
  <si>
    <t>79271322355</t>
  </si>
  <si>
    <t>87082982034</t>
  </si>
  <si>
    <t>87009157963</t>
  </si>
  <si>
    <t>87767229725</t>
  </si>
  <si>
    <t>87470322087</t>
  </si>
  <si>
    <t>87025288614</t>
  </si>
  <si>
    <t>79821398992</t>
  </si>
  <si>
    <t>87753542479</t>
  </si>
  <si>
    <t>79028760578</t>
  </si>
  <si>
    <t>79502400277</t>
  </si>
  <si>
    <t>87076452817</t>
  </si>
  <si>
    <t>87773500708</t>
  </si>
  <si>
    <t>79823581182</t>
  </si>
  <si>
    <t>79194425862</t>
  </si>
  <si>
    <t>79852614977</t>
  </si>
  <si>
    <t>неактив полгода</t>
  </si>
  <si>
    <t>неакт полгода</t>
  </si>
  <si>
    <t>неподарок</t>
  </si>
  <si>
    <t>топоры</t>
  </si>
  <si>
    <t>username</t>
  </si>
  <si>
    <t>fullname</t>
  </si>
  <si>
    <t>name</t>
  </si>
  <si>
    <t>phone</t>
  </si>
  <si>
    <t>Elena_Belev</t>
  </si>
  <si>
    <t>Лена Белевец</t>
  </si>
  <si>
    <t>y_know_who_l_am</t>
  </si>
  <si>
    <t>Залина</t>
  </si>
  <si>
    <t>Natalie Perschina</t>
  </si>
  <si>
    <t>Всeм привeт я Наталья Пeршина</t>
  </si>
  <si>
    <t>Svetlana Ipatova</t>
  </si>
  <si>
    <t>Здравствуйте.
Я Светлана.</t>
  </si>
  <si>
    <t>valjamihailihenko</t>
  </si>
  <si>
    <t>валентина михайличенко</t>
  </si>
  <si>
    <t>mashabelova</t>
  </si>
  <si>
    <t>Татьяна Слепова</t>
  </si>
  <si>
    <t>agita_pukite</t>
  </si>
  <si>
    <t>Agita Puķīte</t>
  </si>
  <si>
    <t>lena_vlasov</t>
  </si>
  <si>
    <t>Lena V</t>
  </si>
  <si>
    <t>Оксана Погребных</t>
  </si>
  <si>
    <t>.</t>
  </si>
  <si>
    <t>Дмитрий Варфоломеев</t>
  </si>
  <si>
    <t>OlegTelevca</t>
  </si>
  <si>
    <t>Олег Телевка</t>
  </si>
  <si>
    <t>Владимир Головлев</t>
  </si>
  <si>
    <t>Екатерина Гудкова</t>
  </si>
  <si>
    <t>Малохат Саидова</t>
  </si>
  <si>
    <t>Малохат</t>
  </si>
  <si>
    <t>SPB_Stepan_Sennov</t>
  </si>
  <si>
    <t>Stepan Sennov</t>
  </si>
  <si>
    <t>kalinaru</t>
  </si>
  <si>
    <t>oksanazalevskaya</t>
  </si>
  <si>
    <t>Оксана Залевская</t>
  </si>
  <si>
    <t>Sohabbrat</t>
  </si>
  <si>
    <t>Sergey Batanin</t>
  </si>
  <si>
    <t>ruby_gwen</t>
  </si>
  <si>
    <t>Женя</t>
  </si>
  <si>
    <t>magnolijas</t>
  </si>
  <si>
    <t>Vesma Up</t>
  </si>
  <si>
    <t>Igor Kaligin</t>
  </si>
  <si>
    <t>Igor</t>
  </si>
  <si>
    <t>olga_zhestovskaia</t>
  </si>
  <si>
    <t>Olga Feliksovna</t>
  </si>
  <si>
    <t>borkzxc55</t>
  </si>
  <si>
    <t>Наталья Борковская</t>
  </si>
  <si>
    <t>Katrin Vasiutenko</t>
  </si>
  <si>
    <t>youryulia29</t>
  </si>
  <si>
    <t>Юлия Емелина</t>
  </si>
  <si>
    <t>Николай Nik Ola</t>
  </si>
  <si>
    <t>petelina_natalia</t>
  </si>
  <si>
    <t>Natalia Petelina</t>
  </si>
  <si>
    <t>liudo4ka48</t>
  </si>
  <si>
    <t>Людмила Бондаренко</t>
  </si>
  <si>
    <t>Liubov Leonidovna</t>
  </si>
  <si>
    <t>lilia4e</t>
  </si>
  <si>
    <t>NatashaKolibri</t>
  </si>
  <si>
    <t>KolibriLove</t>
  </si>
  <si>
    <t>ol oliaviolka</t>
  </si>
  <si>
    <t>theopeningmyuniverse</t>
  </si>
  <si>
    <t>Наргиза Рахманбаева</t>
  </si>
  <si>
    <t>JeniaSv</t>
  </si>
  <si>
    <t>Евгений Соколов</t>
  </si>
  <si>
    <t>Vera Bolshakova</t>
  </si>
  <si>
    <t>Isolde_a</t>
  </si>
  <si>
    <t>Isolde</t>
  </si>
  <si>
    <t>Люда</t>
  </si>
  <si>
    <t>Светлана Светлана</t>
  </si>
  <si>
    <t>Добрый вечер! Меня зовут Светлана, рада участию в марафоне!</t>
  </si>
  <si>
    <t>YUPITER_369</t>
  </si>
  <si>
    <t>Umida Bahodirovna</t>
  </si>
  <si>
    <t>olga_ch71</t>
  </si>
  <si>
    <t>Ольга Черникова</t>
  </si>
  <si>
    <t>solotze2020</t>
  </si>
  <si>
    <t>@MarinaSchwab</t>
  </si>
  <si>
    <t>kristinaprobenkova</t>
  </si>
  <si>
    <t>ShchetininaNatali</t>
  </si>
  <si>
    <t>Наталья Щетинина</t>
  </si>
  <si>
    <t>22068 Малаховская</t>
  </si>
  <si>
    <t>Анна Подгорнова</t>
  </si>
  <si>
    <t>faia0302</t>
  </si>
  <si>
    <t>фая закирова</t>
  </si>
  <si>
    <t>Tigragrem</t>
  </si>
  <si>
    <t>Alex _k</t>
  </si>
  <si>
    <t>Marusia_masha</t>
  </si>
  <si>
    <t>dimanl27</t>
  </si>
  <si>
    <t>DIMA LI</t>
  </si>
  <si>
    <t>Ирина Андреева (психолог)</t>
  </si>
  <si>
    <t>malichkarahimova5554</t>
  </si>
  <si>
    <t>Малика ❤❤❤❤❤❤❤</t>
  </si>
  <si>
    <t>nataliyakul</t>
  </si>
  <si>
    <t>Наталия Кульчицкая</t>
  </si>
  <si>
    <t>magicrazyman</t>
  </si>
  <si>
    <t>Инна Бунак</t>
  </si>
  <si>
    <t>Доброго дня, Інна</t>
  </si>
  <si>
    <t>SvetlanaByvalina</t>
  </si>
  <si>
    <t>Svetlana🐝 Byvalina</t>
  </si>
  <si>
    <t>Arina</t>
  </si>
  <si>
    <t>Natalia_Afonina</t>
  </si>
  <si>
    <t>Наталья Афонина</t>
  </si>
  <si>
    <t>svetlana_osip</t>
  </si>
  <si>
    <t>Светлана Осипова</t>
  </si>
  <si>
    <t>Natalya2000</t>
  </si>
  <si>
    <t>love_Ludmila_5876</t>
  </si>
  <si>
    <t>Людмила Никитина</t>
  </si>
  <si>
    <t>mariahripynova49</t>
  </si>
  <si>
    <t>Мария Хрипунова</t>
  </si>
  <si>
    <t>HLSTashkent</t>
  </si>
  <si>
    <t>Kamila Rasulova</t>
  </si>
  <si>
    <t>ValKiraB</t>
  </si>
  <si>
    <t>Val Kira</t>
  </si>
  <si>
    <t>yarik0s</t>
  </si>
  <si>
    <t>Yaroslav Kovalchuk</t>
  </si>
  <si>
    <t>@Luiza</t>
  </si>
  <si>
    <t>galin8</t>
  </si>
  <si>
    <t>Галина Захарова</t>
  </si>
  <si>
    <t>Eluzina13</t>
  </si>
  <si>
    <t>Катя Лузина</t>
  </si>
  <si>
    <t>Tatyanechka</t>
  </si>
  <si>
    <t>amatu_soma</t>
  </si>
  <si>
    <t>Amatu Soma Тантра Ленивых Котиков</t>
  </si>
  <si>
    <t>Svetlyachok5577</t>
  </si>
  <si>
    <t>Позняк Светлана</t>
  </si>
  <si>
    <t>AnandKranti</t>
  </si>
  <si>
    <t>Кранти</t>
  </si>
  <si>
    <t>Марина Рыжкова</t>
  </si>
  <si>
    <t>Лена Высоцкая</t>
  </si>
  <si>
    <t>Людмила Юнчиц</t>
  </si>
  <si>
    <t>Sergo Sergo</t>
  </si>
  <si>
    <t>Lyuda_jewelery</t>
  </si>
  <si>
    <t>Mila Glazkova</t>
  </si>
  <si>
    <t>Oksana_Bazik</t>
  </si>
  <si>
    <t>Оксана Базилевская</t>
  </si>
  <si>
    <t>Кристина Насырова</t>
  </si>
  <si>
    <t>BoyGarri</t>
  </si>
  <si>
    <t>Diana Diana</t>
  </si>
  <si>
    <t>Юля Савельева</t>
  </si>
  <si>
    <t>ildar17171</t>
  </si>
  <si>
    <t>Ильдар Габбясов</t>
  </si>
  <si>
    <t>DvaoL</t>
  </si>
  <si>
    <t>Olesya</t>
  </si>
  <si>
    <t>Elizaveta_berezina1</t>
  </si>
  <si>
    <t>Елизавета Березина ПСИХОЛОГ КОУЧ</t>
  </si>
  <si>
    <t>alexandraig1</t>
  </si>
  <si>
    <t>sergtar</t>
  </si>
  <si>
    <t>Сергей Тарасенко</t>
  </si>
  <si>
    <t>kormuha</t>
  </si>
  <si>
    <t>Лена (Lena) Кормухина</t>
  </si>
  <si>
    <t>matyashtatiana</t>
  </si>
  <si>
    <t>Татьяна Матяш</t>
  </si>
  <si>
    <t>Альбина Розмарина</t>
  </si>
  <si>
    <t>aishakotik</t>
  </si>
  <si>
    <t>аиша котик</t>
  </si>
  <si>
    <t>Dmitrysint</t>
  </si>
  <si>
    <t>Dmitry Sintserov</t>
  </si>
  <si>
    <t>Наталья Несмиянова</t>
  </si>
  <si>
    <t>Svetikhomeopat</t>
  </si>
  <si>
    <t>Svitlana</t>
  </si>
  <si>
    <t>yuvolkov</t>
  </si>
  <si>
    <t>Yury Volkov</t>
  </si>
  <si>
    <t>Заира</t>
  </si>
  <si>
    <t>marta_ukraina</t>
  </si>
  <si>
    <t>Olga Rozhkova</t>
  </si>
  <si>
    <t>Sashа</t>
  </si>
  <si>
    <t>Munisaps</t>
  </si>
  <si>
    <t>Муниса Рузметова</t>
  </si>
  <si>
    <t>HannaVla</t>
  </si>
  <si>
    <t>Анна В</t>
  </si>
  <si>
    <t>Anna2008M</t>
  </si>
  <si>
    <t>Анна М.</t>
  </si>
  <si>
    <t>inota8</t>
  </si>
  <si>
    <t>Dusha8008</t>
  </si>
  <si>
    <t>Dusha</t>
  </si>
  <si>
    <t>Yana_Dmitruk</t>
  </si>
  <si>
    <t>Добрый день🌞 Меня зовут Яна.</t>
  </si>
  <si>
    <t>fedoseevairina</t>
  </si>
  <si>
    <t>людмила смирнова</t>
  </si>
  <si>
    <t>elena_v_tel</t>
  </si>
  <si>
    <t>Елена Барова</t>
  </si>
  <si>
    <t>Valentyna_insu</t>
  </si>
  <si>
    <t>Валентина Вонарх</t>
  </si>
  <si>
    <t>schevchenko_sergey</t>
  </si>
  <si>
    <t>Сергей Шевченко</t>
  </si>
  <si>
    <t>AlexandrGG</t>
  </si>
  <si>
    <t>Всем доброго времени суток))
Маша</t>
  </si>
  <si>
    <t>Love04Love</t>
  </si>
  <si>
    <t>solnyschko555</t>
  </si>
  <si>
    <t>Olga Kirsanov</t>
  </si>
  <si>
    <t>madamebutterfly7</t>
  </si>
  <si>
    <t>MadameButterfly</t>
  </si>
  <si>
    <t>Fahriya Heydarzade</t>
  </si>
  <si>
    <t>Fahriya</t>
  </si>
  <si>
    <t>Olegditer</t>
  </si>
  <si>
    <t>Shukhrat Sherzatov</t>
  </si>
  <si>
    <t>Шухрат</t>
  </si>
  <si>
    <t>Анна Кайянен</t>
  </si>
  <si>
    <t>letiorts</t>
  </si>
  <si>
    <t>Alex O</t>
  </si>
  <si>
    <t>Александр.</t>
  </si>
  <si>
    <t>Galina Valerievna</t>
  </si>
  <si>
    <t>EkaterinaTurobova</t>
  </si>
  <si>
    <t>Екатерина Туробова</t>
  </si>
  <si>
    <t>Alya3008</t>
  </si>
  <si>
    <t>Татьяна Дорошева</t>
  </si>
  <si>
    <t>Denzel797</t>
  </si>
  <si>
    <t>Denzel</t>
  </si>
  <si>
    <t>EGORDICK</t>
  </si>
  <si>
    <t>ЕГОР</t>
  </si>
  <si>
    <t>Kor_nati</t>
  </si>
  <si>
    <t>Natess13</t>
  </si>
  <si>
    <t>kunduz_shakirova</t>
  </si>
  <si>
    <t>Шакирова Кундуз</t>
  </si>
  <si>
    <t>Kat Kat</t>
  </si>
  <si>
    <t>Yana</t>
  </si>
  <si>
    <t>Ақтоты818</t>
  </si>
  <si>
    <t>Здравствуйте! 
Меня зовут — Ақтоты.</t>
  </si>
  <si>
    <t>RajpalKaur</t>
  </si>
  <si>
    <t>Мария Тюмкова</t>
  </si>
  <si>
    <t>Lidiq</t>
  </si>
  <si>
    <t>Anna Stewart</t>
  </si>
  <si>
    <t>OchirVann</t>
  </si>
  <si>
    <t>Lelena5779</t>
  </si>
  <si>
    <t>Lelena</t>
  </si>
  <si>
    <t>IvanLobko</t>
  </si>
  <si>
    <t>Ivan Lobko</t>
  </si>
  <si>
    <t>Gryshenka</t>
  </si>
  <si>
    <t>Рушана Робертовна</t>
  </si>
  <si>
    <t>Кристина Комарова</t>
  </si>
  <si>
    <t>Мунис</t>
  </si>
  <si>
    <t>Мунис юсупов</t>
  </si>
  <si>
    <t>KlikIrinka</t>
  </si>
  <si>
    <t>Ирина Кликунова</t>
  </si>
  <si>
    <t>Chamomile_lover_13</t>
  </si>
  <si>
    <t>♡Chamomile Lover♡</t>
  </si>
  <si>
    <t>Guzalkhon_Khaiirullaevna</t>
  </si>
  <si>
    <t>Guzalkhon Sаidkhodjaeva</t>
  </si>
  <si>
    <t>Вера Влах</t>
  </si>
  <si>
    <t>Lyubov Bogomolowa</t>
  </si>
  <si>
    <t>°°°</t>
  </si>
  <si>
    <t>Здравствуйте</t>
  </si>
  <si>
    <t>Furqat Xaqqulov</t>
  </si>
  <si>
    <t>Фуркат</t>
  </si>
  <si>
    <t>Shahnozanabiyeva</t>
  </si>
  <si>
    <t>antalemax2</t>
  </si>
  <si>
    <t>.....</t>
  </si>
  <si>
    <t>ElenaK_doterra</t>
  </si>
  <si>
    <t>Elena Kosheleva</t>
  </si>
  <si>
    <t>Sarvar_Maryam</t>
  </si>
  <si>
    <t>S&amp;M</t>
  </si>
  <si>
    <t>Бахтиниса Азимбаева</t>
  </si>
  <si>
    <t>Бахтиниса</t>
  </si>
  <si>
    <t>Nata_12340</t>
  </si>
  <si>
    <t>Nargiza Akhmedova Султон кизи</t>
  </si>
  <si>
    <t>наргиз</t>
  </si>
  <si>
    <t>Каракоз Исмаиловна</t>
  </si>
  <si>
    <t>Каракоз</t>
  </si>
  <si>
    <t>Olga St</t>
  </si>
  <si>
    <t>J🖤B</t>
  </si>
  <si>
    <t>Сайера</t>
  </si>
  <si>
    <t>Самигджанова сайера</t>
  </si>
  <si>
    <t>Dariakyvhinova</t>
  </si>
  <si>
    <t>Daria Kuvshinova💭</t>
  </si>
  <si>
    <t>PizdeC11111111</t>
  </si>
  <si>
    <t>Aselya</t>
  </si>
  <si>
    <t>Аliona</t>
  </si>
  <si>
    <t>omabitova</t>
  </si>
  <si>
    <t>Olga Abitova</t>
  </si>
  <si>
    <t>katyakopi</t>
  </si>
  <si>
    <t>Катерина</t>
  </si>
  <si>
    <t>Татьяна Павленко</t>
  </si>
  <si>
    <t>SIRIUS</t>
  </si>
  <si>
    <t>cash4ik</t>
  </si>
  <si>
    <t>Vladimir Domnin</t>
  </si>
  <si>
    <t>Janna55555</t>
  </si>
  <si>
    <t>жанна с</t>
  </si>
  <si>
    <t>VasilHerman</t>
  </si>
  <si>
    <t>Vasil Herman</t>
  </si>
  <si>
    <t>kalinskaya_k</t>
  </si>
  <si>
    <t>альмира</t>
  </si>
  <si>
    <t>Здравствуйте!! Меня зовут Альмира</t>
  </si>
  <si>
    <t>𝑴𝒊𝒍𝒆𝒏𝒂</t>
  </si>
  <si>
    <t>soika_ufa</t>
  </si>
  <si>
    <t>Любовь Филиппова</t>
  </si>
  <si>
    <t>Lara</t>
  </si>
  <si>
    <t>KRING777</t>
  </si>
  <si>
    <t>kristina ingelevic</t>
  </si>
  <si>
    <t>Swietlana</t>
  </si>
  <si>
    <t>Номалум</t>
  </si>
  <si>
    <t>Ботир</t>
  </si>
  <si>
    <t>myuser_b</t>
  </si>
  <si>
    <t>JB</t>
  </si>
  <si>
    <t>Бекзод</t>
  </si>
  <si>
    <t>Кирилл Кирилл</t>
  </si>
  <si>
    <t>Добрый вечер. Инна</t>
  </si>
  <si>
    <t>EduardFarkhutdinov</t>
  </si>
  <si>
    <t>Эдуард Фархутдинов</t>
  </si>
  <si>
    <t>Тигр Тигрович</t>
  </si>
  <si>
    <t>Рустам Гамидов</t>
  </si>
  <si>
    <t>Екатерина Федосова</t>
  </si>
  <si>
    <t>aadmin_ludmila</t>
  </si>
  <si>
    <t>Людмила Немийская</t>
  </si>
  <si>
    <t>elenalapshina77</t>
  </si>
  <si>
    <t>Lena</t>
  </si>
  <si>
    <t>Elena RosMarine</t>
  </si>
  <si>
    <t>Станіслав Слон</t>
  </si>
  <si>
    <t>natashanewji</t>
  </si>
  <si>
    <t>Nataliya Novikova</t>
  </si>
  <si>
    <t>Міша</t>
  </si>
  <si>
    <t>jasmina_ab</t>
  </si>
  <si>
    <t>Жасмина</t>
  </si>
  <si>
    <t>Элен</t>
  </si>
  <si>
    <t>zazu1985</t>
  </si>
  <si>
    <t>👪 Назошка Халилова</t>
  </si>
  <si>
    <t>psixolog_dilnoz</t>
  </si>
  <si>
    <t>Miranda</t>
  </si>
  <si>
    <t>красота спасет мир</t>
  </si>
  <si>
    <t>Добрый вечер! меня зовут Мария</t>
  </si>
  <si>
    <t>alpha1606</t>
  </si>
  <si>
    <t>anya_divnaya</t>
  </si>
  <si>
    <t>Аня Романенко</t>
  </si>
  <si>
    <t>Ole11</t>
  </si>
  <si>
    <t>c_1E_M</t>
  </si>
  <si>
    <t>С ЕМ</t>
  </si>
  <si>
    <t>un1on</t>
  </si>
  <si>
    <t>oksana111907</t>
  </si>
  <si>
    <t>🔮</t>
  </si>
  <si>
    <t>tanisa24</t>
  </si>
  <si>
    <t>Татьяна Салий</t>
  </si>
  <si>
    <t>Евгений Сергеев</t>
  </si>
  <si>
    <t>Olga Jak</t>
  </si>
  <si>
    <t>Здравствуйте 
Меня зовут Ольга</t>
  </si>
  <si>
    <t>Dmitriy Burenin</t>
  </si>
  <si>
    <t>Доброго здоровья 🙏🌎☀️💚
Дима</t>
  </si>
  <si>
    <t>Evgeny Pavelev</t>
  </si>
  <si>
    <t>Людмила Л</t>
  </si>
  <si>
    <t>Добрый день. Меня зовут Людмила</t>
  </si>
  <si>
    <t>Максим Ильиных</t>
  </si>
  <si>
    <t>an_na_nika</t>
  </si>
  <si>
    <t>Анна Николаева</t>
  </si>
  <si>
    <t>Kostya963</t>
  </si>
  <si>
    <t>Konstantin Bakilin</t>
  </si>
  <si>
    <t>roza_iadne</t>
  </si>
  <si>
    <t>Роза Ядне</t>
  </si>
  <si>
    <t>SvetlanAndriyanova</t>
  </si>
  <si>
    <t>Svetlanа Andriyanova</t>
  </si>
  <si>
    <t>kolyansky007</t>
  </si>
  <si>
    <t>Kolyansky</t>
  </si>
  <si>
    <t>MyNickname20</t>
  </si>
  <si>
    <t>Анна Сарнер</t>
  </si>
  <si>
    <t>gala</t>
  </si>
  <si>
    <t>natasha_luk</t>
  </si>
  <si>
    <t>Наталия Лукьянова</t>
  </si>
  <si>
    <t>SunAnnia</t>
  </si>
  <si>
    <t>Анюта Тараненко</t>
  </si>
  <si>
    <t>olhaslim</t>
  </si>
  <si>
    <t>Olha Sviatenko</t>
  </si>
  <si>
    <t>Dmitrii Varchenko</t>
  </si>
  <si>
    <t>Marina Batrukova</t>
  </si>
  <si>
    <t>valuta88888</t>
  </si>
  <si>
    <t>Irenafarah</t>
  </si>
  <si>
    <t>Irena Abi Farah</t>
  </si>
  <si>
    <t>ulastepanova</t>
  </si>
  <si>
    <t>Stepanova Yulia</t>
  </si>
  <si>
    <t>Alina_Lancora</t>
  </si>
  <si>
    <t>Elvira</t>
  </si>
  <si>
    <t>Эльвира здравствуйте</t>
  </si>
  <si>
    <t>Лара</t>
  </si>
  <si>
    <t>Muhambet_tm</t>
  </si>
  <si>
    <t>Мухамбет Рыскулов</t>
  </si>
  <si>
    <t>AllA</t>
  </si>
  <si>
    <t>antaliya37</t>
  </si>
  <si>
    <t>наталья</t>
  </si>
  <si>
    <t>Onash_0626</t>
  </si>
  <si>
    <t>Umida</t>
  </si>
  <si>
    <t>Ludmila Panteleeva</t>
  </si>
  <si>
    <t>Анжела Анжела</t>
  </si>
  <si>
    <t>betta6868</t>
  </si>
  <si>
    <t>Феруза # Fotimaniso &amp; Salmonbek</t>
  </si>
  <si>
    <t>Здравствуйте меня зовут Феруза😊</t>
  </si>
  <si>
    <t>nana_zu</t>
  </si>
  <si>
    <t>Настя Казанцева</t>
  </si>
  <si>
    <t>OlgaFrol1975</t>
  </si>
  <si>
    <t>irinaisaycheva</t>
  </si>
  <si>
    <t>olyawin</t>
  </si>
  <si>
    <t>Ольга 🕊</t>
  </si>
  <si>
    <t>AlenaMykhalenko</t>
  </si>
  <si>
    <t>Alena Mykhalenko 💎</t>
  </si>
  <si>
    <t>Michelle</t>
  </si>
  <si>
    <t>AljaRuVe</t>
  </si>
  <si>
    <t>Ol_SLu</t>
  </si>
  <si>
    <t>B1952_LU</t>
  </si>
  <si>
    <t>Айгуль Байгускарова</t>
  </si>
  <si>
    <t>Свiтлана</t>
  </si>
  <si>
    <t>eve_hauff</t>
  </si>
  <si>
    <t>Eve</t>
  </si>
  <si>
    <t>Janna</t>
  </si>
  <si>
    <t>galinatimanovskaya</t>
  </si>
  <si>
    <t>Галина Тимановская</t>
  </si>
  <si>
    <t>Меня зовут Татьяна!</t>
  </si>
  <si>
    <t>mounavancouillie</t>
  </si>
  <si>
    <t>Муна Ванкули</t>
  </si>
  <si>
    <t>juliamirza</t>
  </si>
  <si>
    <t>Юлия Мирзамова</t>
  </si>
  <si>
    <t>yulia_mareeva</t>
  </si>
  <si>
    <t>Yulia Mareeva</t>
  </si>
  <si>
    <t>Olga Chernikova</t>
  </si>
  <si>
    <t>Taisiia_9</t>
  </si>
  <si>
    <t>Taїсія</t>
  </si>
  <si>
    <t>BelOly</t>
  </si>
  <si>
    <t>А.А</t>
  </si>
  <si>
    <t>Анна 😉</t>
  </si>
  <si>
    <t>Галина г. Каменск-уральский.</t>
  </si>
  <si>
    <t>Fitpapa</t>
  </si>
  <si>
    <t>Георгий</t>
  </si>
  <si>
    <t>Oxana Wagner</t>
  </si>
  <si>
    <t>Здравствуйте, меня зовут Wagner Oxana</t>
  </si>
  <si>
    <t>YaRudak</t>
  </si>
  <si>
    <t>Ярослав Рудак</t>
  </si>
  <si>
    <t>Delfinn_Guarani</t>
  </si>
  <si>
    <t>BitRayden</t>
  </si>
  <si>
    <t>Andrej</t>
  </si>
  <si>
    <t>Мирослава Мирослава</t>
  </si>
  <si>
    <t>Ruboxy</t>
  </si>
  <si>
    <t>Оксана Рубо</t>
  </si>
  <si>
    <t>MamadalievShukrat</t>
  </si>
  <si>
    <t>Shukrat</t>
  </si>
  <si>
    <t>Anna Nesterova</t>
  </si>
  <si>
    <t>Koroleva_Coach_Nataly</t>
  </si>
  <si>
    <t>Nataly Koroleva</t>
  </si>
  <si>
    <t>adnan_allami</t>
  </si>
  <si>
    <t>Adnan313 Aaaaakkkkk</t>
  </si>
  <si>
    <t>Ольга Нарбутовских</t>
  </si>
  <si>
    <t>axekris</t>
  </si>
  <si>
    <t>Кристина Kristina</t>
  </si>
  <si>
    <t>Jеanna Poli</t>
  </si>
  <si>
    <t>zvezdapervayy</t>
  </si>
  <si>
    <t>Azali_far</t>
  </si>
  <si>
    <t>Азалия Фаррахова</t>
  </si>
  <si>
    <t>LiliyaShemchuk</t>
  </si>
  <si>
    <t>Sergey_Pyankov</t>
  </si>
  <si>
    <t>Sergei Piankov</t>
  </si>
  <si>
    <t>Irina Veselova</t>
  </si>
  <si>
    <t>JuliaBegus</t>
  </si>
  <si>
    <t>Юлия Б.</t>
  </si>
  <si>
    <t>suryadasmg</t>
  </si>
  <si>
    <t>Surya das</t>
  </si>
  <si>
    <t>SVET8790</t>
  </si>
  <si>
    <t>SV</t>
  </si>
  <si>
    <t>mueller_natalie</t>
  </si>
  <si>
    <t>Natalie Müller</t>
  </si>
  <si>
    <t>Татьяна Левашова💞</t>
  </si>
  <si>
    <t>vissskey</t>
  </si>
  <si>
    <t>Юля Горнина</t>
  </si>
  <si>
    <t>HelenaGumenyuk</t>
  </si>
  <si>
    <t>Елена Гуменюк</t>
  </si>
  <si>
    <t>ZhannaErykalina</t>
  </si>
  <si>
    <t>Zhanna</t>
  </si>
  <si>
    <t>sofya_garaeva</t>
  </si>
  <si>
    <t>Софья Владимировна</t>
  </si>
  <si>
    <t>Iryna Utsekha</t>
  </si>
  <si>
    <t>Людмила Краснодар</t>
  </si>
  <si>
    <t>Tata2506</t>
  </si>
  <si>
    <t>AlenaShadrina</t>
  </si>
  <si>
    <t>Алёна Шадрина</t>
  </si>
  <si>
    <t>Kuba</t>
  </si>
  <si>
    <t>Элес</t>
  </si>
  <si>
    <t>Anna_ZhN</t>
  </si>
  <si>
    <t>OLESA WE😽</t>
  </si>
  <si>
    <t>Леся</t>
  </si>
  <si>
    <t>natali_bash</t>
  </si>
  <si>
    <t>lenadii01</t>
  </si>
  <si>
    <t>Лена Нифонтова</t>
  </si>
  <si>
    <t>Юлия Магомедовна</t>
  </si>
  <si>
    <t>Lakshminorilsk</t>
  </si>
  <si>
    <t>Elena Belyakova</t>
  </si>
  <si>
    <t>KseniaCandle</t>
  </si>
  <si>
    <t>🐲</t>
  </si>
  <si>
    <t>Асемай</t>
  </si>
  <si>
    <t>Güneşin</t>
  </si>
  <si>
    <t>Svetlana Svetoch</t>
  </si>
  <si>
    <t>Светлеющая Елена</t>
  </si>
  <si>
    <t>Irina_Udalova2021</t>
  </si>
  <si>
    <t>Ирина Удалова</t>
  </si>
  <si>
    <t>Sokolova1990</t>
  </si>
  <si>
    <t>tkatherine</t>
  </si>
  <si>
    <t>Kate T</t>
  </si>
  <si>
    <t>AliceYanush</t>
  </si>
  <si>
    <t>Алиса Януш</t>
  </si>
  <si>
    <t>pearl2111</t>
  </si>
  <si>
    <t>IYN</t>
  </si>
  <si>
    <t>Ирина К</t>
  </si>
  <si>
    <t>Доброе утро, меня зовут Ирина.
Хочу с вами на марафон.</t>
  </si>
  <si>
    <t>Nodira369</t>
  </si>
  <si>
    <t>Hobbirk9779</t>
  </si>
  <si>
    <t>𝔊𝔞𝔩𝔦𝔫𝔞 ℌ𝔬𝔟𝔟𝔦𝔯𝔨</t>
  </si>
  <si>
    <t>Евгения границкая</t>
  </si>
  <si>
    <t>pAnAmerA_n_n</t>
  </si>
  <si>
    <t>alena_shev333</t>
  </si>
  <si>
    <t>Алена Шевченко</t>
  </si>
  <si>
    <t>Мaxim</t>
  </si>
  <si>
    <t>luiza_kamalova</t>
  </si>
  <si>
    <t>eluchshaya</t>
  </si>
  <si>
    <t>elena_dony</t>
  </si>
  <si>
    <t>Елена Донченко</t>
  </si>
  <si>
    <t>Надя Ёмина</t>
  </si>
  <si>
    <t>Zulfiya0024</t>
  </si>
  <si>
    <t>Зульфия Турсункулова</t>
  </si>
  <si>
    <t>Анетта П</t>
  </si>
  <si>
    <t>Nasya_life</t>
  </si>
  <si>
    <t>анастасия угрюмова</t>
  </si>
  <si>
    <t>Элен Элен</t>
  </si>
  <si>
    <t>Olga1705Petrova</t>
  </si>
  <si>
    <t>Ольга Петрова</t>
  </si>
  <si>
    <t>stelinka777</t>
  </si>
  <si>
    <t>@stelinka</t>
  </si>
  <si>
    <t>Aida21011993</t>
  </si>
  <si>
    <t>Исаева Аида</t>
  </si>
  <si>
    <t>anzlika1</t>
  </si>
  <si>
    <t>Аnjela Shagalova</t>
  </si>
  <si>
    <t>RomanovaRuslana</t>
  </si>
  <si>
    <t>Iulia</t>
  </si>
  <si>
    <t>жулдыз</t>
  </si>
  <si>
    <t>God_leader777</t>
  </si>
  <si>
    <t>Alexander Shatalov</t>
  </si>
  <si>
    <t>илона илона</t>
  </si>
  <si>
    <t>Илона</t>
  </si>
  <si>
    <t>Elena К</t>
  </si>
  <si>
    <t>Svetlana_Altynsarievna</t>
  </si>
  <si>
    <t>Св Св</t>
  </si>
  <si>
    <t>Зумрад Мирзакаримова</t>
  </si>
  <si>
    <t>Привет</t>
  </si>
  <si>
    <t>Terra_12</t>
  </si>
  <si>
    <t>H Q</t>
  </si>
  <si>
    <t>Ekaterinylik P</t>
  </si>
  <si>
    <t>T K</t>
  </si>
  <si>
    <t>Aleksandra</t>
  </si>
  <si>
    <t>IgorjVl</t>
  </si>
  <si>
    <t>Clknn</t>
  </si>
  <si>
    <t>X</t>
  </si>
  <si>
    <t>yeshe7</t>
  </si>
  <si>
    <t>Galina</t>
  </si>
  <si>
    <t>🌸Adelina🌸</t>
  </si>
  <si>
    <t>Erika</t>
  </si>
  <si>
    <t>_natalka__</t>
  </si>
  <si>
    <t>Наталія</t>
  </si>
  <si>
    <t>bort9171</t>
  </si>
  <si>
    <t>Борис Борисович</t>
  </si>
  <si>
    <t>VestaBast</t>
  </si>
  <si>
    <t>O.Svetlana❣️</t>
  </si>
  <si>
    <t>TatsianaHirshveld</t>
  </si>
  <si>
    <t>Татьяна Гиршвельд</t>
  </si>
  <si>
    <t>Elena_hasan</t>
  </si>
  <si>
    <t>valentinaljas</t>
  </si>
  <si>
    <t>Natalya Drozdenko</t>
  </si>
  <si>
    <t>marinacaplinskaa9</t>
  </si>
  <si>
    <t>Дарья Дарья</t>
  </si>
  <si>
    <t>E Kh</t>
  </si>
  <si>
    <t>ValeriЯ</t>
  </si>
  <si>
    <t>Irma</t>
  </si>
  <si>
    <t>Jelena Kruglova</t>
  </si>
  <si>
    <t>Viktoriya</t>
  </si>
  <si>
    <t>Viki Treviso</t>
  </si>
  <si>
    <t>firemuse</t>
  </si>
  <si>
    <t>Кsenya</t>
  </si>
  <si>
    <t>tatiana192470</t>
  </si>
  <si>
    <t>Татьяна197024 Татьяна197024</t>
  </si>
  <si>
    <t>......</t>
  </si>
  <si>
    <t>Ахмитшина Луиза Илюза</t>
  </si>
  <si>
    <t>ГРЭЙС</t>
  </si>
  <si>
    <t>Гуличтан</t>
  </si>
  <si>
    <t>Tatiana Maiorova</t>
  </si>
  <si>
    <t>BulbulSarmanova</t>
  </si>
  <si>
    <t>Bulbul Sarmanova</t>
  </si>
  <si>
    <t>Ox_1kc</t>
  </si>
  <si>
    <t>Оксана Кривовица (Пятигорск)</t>
  </si>
  <si>
    <t>MarinaBarabanova1</t>
  </si>
  <si>
    <t>KAisuly</t>
  </si>
  <si>
    <t>Gavryusya</t>
  </si>
  <si>
    <t>Виталий.</t>
  </si>
  <si>
    <t>Танюша</t>
  </si>
  <si>
    <t>mariarunich</t>
  </si>
  <si>
    <t>Мария Рунич</t>
  </si>
  <si>
    <t>Елена Бутько</t>
  </si>
  <si>
    <t>OLGA_BREHOVA</t>
  </si>
  <si>
    <t>Ольга Брехова, г. Нижний Тагил</t>
  </si>
  <si>
    <t>V_V_Y_X</t>
  </si>
  <si>
    <t>Юлия Грачева</t>
  </si>
  <si>
    <t>Tatiana_Romanova8</t>
  </si>
  <si>
    <t>Tatiana Romanova</t>
  </si>
  <si>
    <t>Elenakolesnik80</t>
  </si>
  <si>
    <t>Колесник Елена</t>
  </si>
  <si>
    <t>Arati_SV</t>
  </si>
  <si>
    <t>Aarathi</t>
  </si>
  <si>
    <t>Asi_B</t>
  </si>
  <si>
    <t>Asi</t>
  </si>
  <si>
    <t>N_O_V_7</t>
  </si>
  <si>
    <t>NaRalina</t>
  </si>
  <si>
    <t>Linariya Khannanova</t>
  </si>
  <si>
    <t>Glaillgmiis</t>
  </si>
  <si>
    <t>Глаиллгмиис Гмалтсс</t>
  </si>
  <si>
    <t>Аня Трофимова</t>
  </si>
  <si>
    <t>Аня</t>
  </si>
  <si>
    <t>ОЛЬГА ЕВГЕНЬЕВНА</t>
  </si>
  <si>
    <t>lolaxan69</t>
  </si>
  <si>
    <t>Алёнка Рыжая</t>
  </si>
  <si>
    <t>ShantaSangha</t>
  </si>
  <si>
    <t>Sveta_Volkova</t>
  </si>
  <si>
    <t>Marina_Kachina</t>
  </si>
  <si>
    <t>Марина Кашина</t>
  </si>
  <si>
    <t>advokatPLC</t>
  </si>
  <si>
    <t>DilyaRA</t>
  </si>
  <si>
    <t>alieva Dono</t>
  </si>
  <si>
    <t>Alexandra</t>
  </si>
  <si>
    <t>alija_numerolog</t>
  </si>
  <si>
    <t>АЛИЯ</t>
  </si>
  <si>
    <t>Natalya_andrukhovich</t>
  </si>
  <si>
    <t>Наталья Андрухович</t>
  </si>
  <si>
    <t>Natalybeliaeva</t>
  </si>
  <si>
    <t>mehribon_N_X</t>
  </si>
  <si>
    <t>Mehribon Nurmamatovna</t>
  </si>
  <si>
    <t>Елена Филатова</t>
  </si>
  <si>
    <t>Svitlana Nasheda</t>
  </si>
  <si>
    <t>Світлана</t>
  </si>
  <si>
    <t>Lika_5225</t>
  </si>
  <si>
    <t>Lika, Financial consulting</t>
  </si>
  <si>
    <t>Irinyspb</t>
  </si>
  <si>
    <t>Ирина Храмова</t>
  </si>
  <si>
    <t>pervio7</t>
  </si>
  <si>
    <t>таня</t>
  </si>
  <si>
    <t>Кудрат Джабборов</t>
  </si>
  <si>
    <t>Ainur Zhakenova</t>
  </si>
  <si>
    <t>TsySelena</t>
  </si>
  <si>
    <t>Selena</t>
  </si>
  <si>
    <t>Svetlana Cherry</t>
  </si>
  <si>
    <t>Нелля</t>
  </si>
  <si>
    <t>kenaz23</t>
  </si>
  <si>
    <t>Елена Гуд</t>
  </si>
  <si>
    <t>olya_shmikova</t>
  </si>
  <si>
    <t>VIKTOR13</t>
  </si>
  <si>
    <t>Lara50Zara</t>
  </si>
  <si>
    <t>Лариса Загребельная</t>
  </si>
  <si>
    <t>Jelena Jelena</t>
  </si>
  <si>
    <t>👑𝐿𝓎𝓊𝒷𝒾𝓂𝒶𝓎𝒶👑❤🧿</t>
  </si>
  <si>
    <t>Nadia Kolsol</t>
  </si>
  <si>
    <t>ilbart_o</t>
  </si>
  <si>
    <t>ИльхОМ</t>
  </si>
  <si>
    <t>VickiTorrie</t>
  </si>
  <si>
    <t>Veronika</t>
  </si>
  <si>
    <t>LanaSon</t>
  </si>
  <si>
    <t>SvetlanaSon</t>
  </si>
  <si>
    <t>RozaTolegen</t>
  </si>
  <si>
    <t>Umm Abdulbaset</t>
  </si>
  <si>
    <t>Сокина</t>
  </si>
  <si>
    <t>Olga I</t>
  </si>
  <si>
    <t>Elina_Gaintceva</t>
  </si>
  <si>
    <t>bagira_2163</t>
  </si>
  <si>
    <t>Elena Isakova</t>
  </si>
  <si>
    <t>Natalia D</t>
  </si>
  <si>
    <t>cebotari_oxana</t>
  </si>
  <si>
    <t>С Oxana</t>
  </si>
  <si>
    <t>Svdat</t>
  </si>
  <si>
    <t>Svetlanadeutsch</t>
  </si>
  <si>
    <t>Svetlana V.</t>
  </si>
  <si>
    <t>ElenKaAromaMama</t>
  </si>
  <si>
    <t>Elenka</t>
  </si>
  <si>
    <t>Jiznibezstrahov</t>
  </si>
  <si>
    <t>Виктория Кулиш</t>
  </si>
  <si>
    <t>MariaTreeoflife</t>
  </si>
  <si>
    <t>Maria Tree of life</t>
  </si>
  <si>
    <t>Lesya88855</t>
  </si>
  <si>
    <t>Набижон Сохибов</t>
  </si>
  <si>
    <t>LiKsenia</t>
  </si>
  <si>
    <t>Ksenia</t>
  </si>
  <si>
    <t>andrei_novator</t>
  </si>
  <si>
    <t>Андрей Тесла</t>
  </si>
  <si>
    <t>vrnk12</t>
  </si>
  <si>
    <t>МАНШУК</t>
  </si>
  <si>
    <t>irinastanislavovnaivanova</t>
  </si>
  <si>
    <t>Irina Ivanova</t>
  </si>
  <si>
    <t>darina_a_a</t>
  </si>
  <si>
    <t>𝓓𝓐𝓡𝓘𝓝𝓐</t>
  </si>
  <si>
    <t>Кустанова Райхан</t>
  </si>
  <si>
    <t>BvBvCs</t>
  </si>
  <si>
    <t>ввв свв</t>
  </si>
  <si>
    <t>Aurelia</t>
  </si>
  <si>
    <t>Аурелия</t>
  </si>
  <si>
    <t>Наталья Черная</t>
  </si>
  <si>
    <t>beketovaelena</t>
  </si>
  <si>
    <t>Elena Beketova</t>
  </si>
  <si>
    <t>IGRA_2022</t>
  </si>
  <si>
    <t>Natalia Bv</t>
  </si>
  <si>
    <t>Таша</t>
  </si>
  <si>
    <t>Jasur Almuratov</t>
  </si>
  <si>
    <t>redhead_shameless</t>
  </si>
  <si>
    <t>Asia Yakunina</t>
  </si>
  <si>
    <t>rmznvl</t>
  </si>
  <si>
    <t>Leisan</t>
  </si>
  <si>
    <t>SlonBahasa</t>
  </si>
  <si>
    <t>Slon Bahasa 🇮🇩 Обучаю индонезийскому языку онлайн 🇮🇩</t>
  </si>
  <si>
    <t>L N</t>
  </si>
  <si>
    <t>belent11</t>
  </si>
  <si>
    <t>Ирина Насонова22</t>
  </si>
  <si>
    <t>Julia Sim</t>
  </si>
  <si>
    <t>Elenzay</t>
  </si>
  <si>
    <t>Elen Elen</t>
  </si>
  <si>
    <t>Assel Zhan</t>
  </si>
  <si>
    <t>Здравствуйте. Меня зовут Мухаббат</t>
  </si>
  <si>
    <t>mirasolnc</t>
  </si>
  <si>
    <t>Альмира Солнцева</t>
  </si>
  <si>
    <t>elbrus74</t>
  </si>
  <si>
    <t>Эльбрус</t>
  </si>
  <si>
    <t>sarvadeva</t>
  </si>
  <si>
    <t>Сергей Верясов</t>
  </si>
  <si>
    <t>@Dariia27</t>
  </si>
  <si>
    <t>Tiana</t>
  </si>
  <si>
    <t>САБИРОВ</t>
  </si>
  <si>
    <t>Здравствуйте , моё имя Мирсоат !</t>
  </si>
  <si>
    <t>Oxana Kushnirenko</t>
  </si>
  <si>
    <t>в в</t>
  </si>
  <si>
    <t>tanyaskarb</t>
  </si>
  <si>
    <t>Tanya Skarb</t>
  </si>
  <si>
    <t>Минсалия Рахвалова</t>
  </si>
  <si>
    <t>Минсалия</t>
  </si>
  <si>
    <t>эльвира</t>
  </si>
  <si>
    <t>Анна Пономаренко</t>
  </si>
  <si>
    <t>Екатерина Князева</t>
  </si>
  <si>
    <t>DINARA INKAROVNA</t>
  </si>
  <si>
    <t>Ludmila Jepifanova</t>
  </si>
  <si>
    <t>nars_kharaniya</t>
  </si>
  <si>
    <t>Nars Kh</t>
  </si>
  <si>
    <t>ASN52</t>
  </si>
  <si>
    <t>Aleksandra Smirnova</t>
  </si>
  <si>
    <t>Nasibahdj</t>
  </si>
  <si>
    <t>Nasiba Djoraeva</t>
  </si>
  <si>
    <t>rukin_niktar</t>
  </si>
  <si>
    <t>Николай РУКИн</t>
  </si>
  <si>
    <t>alicarxx</t>
  </si>
  <si>
    <t>ALI GARX</t>
  </si>
  <si>
    <t>Герен</t>
  </si>
  <si>
    <t>Juliya Sosnovskaya</t>
  </si>
  <si>
    <t>bd_din</t>
  </si>
  <si>
    <t>Galaktikli</t>
  </si>
  <si>
    <t>Angelina Galaktionova WARRIOR</t>
  </si>
  <si>
    <t>dace tomsone</t>
  </si>
  <si>
    <t>Andrii Kozer</t>
  </si>
  <si>
    <t>КНК Аллах спасибо тебе за моих детей</t>
  </si>
  <si>
    <t>DILFUZ</t>
  </si>
  <si>
    <t>Дилфуза</t>
  </si>
  <si>
    <t>Лариса Янул</t>
  </si>
  <si>
    <t>BorzilovaYS</t>
  </si>
  <si>
    <t>Юлия Борзилова</t>
  </si>
  <si>
    <t>Anna Bondarciuc</t>
  </si>
  <si>
    <t>SERGEJ LOMIDZE</t>
  </si>
  <si>
    <t>UrszulaFlisDrebschok</t>
  </si>
  <si>
    <t>Urszula Flis-Drebschok</t>
  </si>
  <si>
    <t>Natalia_Tebloeva</t>
  </si>
  <si>
    <t>Natalia Tebloeva</t>
  </si>
  <si>
    <t>Благодарю вас, Таня</t>
  </si>
  <si>
    <t>Abibulla</t>
  </si>
  <si>
    <t>Guljchic</t>
  </si>
  <si>
    <t>Гульнара Булыгина(сп.Самсудинова мен.Сельдушева)</t>
  </si>
  <si>
    <t>Rustam68</t>
  </si>
  <si>
    <t>Darya_Andronova</t>
  </si>
  <si>
    <t>ketochka2006</t>
  </si>
  <si>
    <t>Кеточка 🍬</t>
  </si>
  <si>
    <t>Katya Lagutina</t>
  </si>
  <si>
    <t>LarisaWorld</t>
  </si>
  <si>
    <t>Татьяна Тулова</t>
  </si>
  <si>
    <t>Интеллигент</t>
  </si>
  <si>
    <t>Виктория Сухарева</t>
  </si>
  <si>
    <t>aigulnat</t>
  </si>
  <si>
    <t>Айгуль НАТ</t>
  </si>
  <si>
    <t>Татьяна Бобрышева</t>
  </si>
  <si>
    <t>zara_811408</t>
  </si>
  <si>
    <t>ZAREMA</t>
  </si>
  <si>
    <t>alexavto5</t>
  </si>
  <si>
    <t>annn_ttt</t>
  </si>
  <si>
    <t>An T</t>
  </si>
  <si>
    <t>GoldenQueen8888</t>
  </si>
  <si>
    <t>Lola</t>
  </si>
  <si>
    <t>Oksana Vlaszczenko</t>
  </si>
  <si>
    <t>Elena_Vasiljeva</t>
  </si>
  <si>
    <t>Елена Психолог</t>
  </si>
  <si>
    <t>shayma108</t>
  </si>
  <si>
    <t>Kamalatmika</t>
  </si>
  <si>
    <t>Инна🐸</t>
  </si>
  <si>
    <t>наргиза</t>
  </si>
  <si>
    <t>Nargiza4243</t>
  </si>
  <si>
    <t>Наргиза Фазилова</t>
  </si>
  <si>
    <t>Tanyusha1105</t>
  </si>
  <si>
    <t>Psixo_logika</t>
  </si>
  <si>
    <t>Nozimaxon Muratova</t>
  </si>
  <si>
    <t>sp4rgic</t>
  </si>
  <si>
    <t>Dmitry Kaverzin</t>
  </si>
  <si>
    <t>светлана кузьменко</t>
  </si>
  <si>
    <t>Лутфия Олимовна</t>
  </si>
  <si>
    <t>Лутфия</t>
  </si>
  <si>
    <t>irinalknyazeva</t>
  </si>
  <si>
    <t>olga_dasta</t>
  </si>
  <si>
    <t>Olga_Dasta</t>
  </si>
  <si>
    <t>aza_braza23</t>
  </si>
  <si>
    <t>Azat Onaibek</t>
  </si>
  <si>
    <t>Наташа Кушка</t>
  </si>
  <si>
    <t>Yolia1979</t>
  </si>
  <si>
    <t>Anna Yushko</t>
  </si>
  <si>
    <t>HalynaHavdiak</t>
  </si>
  <si>
    <t>Halyna</t>
  </si>
  <si>
    <t>Dnepr1981</t>
  </si>
  <si>
    <t>𝓐𝓵𝓮𝔁𝓮𝔂</t>
  </si>
  <si>
    <t>NASIBAARSLON</t>
  </si>
  <si>
    <t>Nasiba Sabirova</t>
  </si>
  <si>
    <t>Neco567</t>
  </si>
  <si>
    <t>ABDULAZIZ</t>
  </si>
  <si>
    <t>🧿Мara🧿</t>
  </si>
  <si>
    <t>Марал</t>
  </si>
  <si>
    <t>Андрей chelentano</t>
  </si>
  <si>
    <t>cwetokgranata</t>
  </si>
  <si>
    <t>Veselin Stoyanov</t>
  </si>
  <si>
    <t>Веселин Стоянов</t>
  </si>
  <si>
    <t>Володя Кіцелюк</t>
  </si>
  <si>
    <t>IrenaStipcakova</t>
  </si>
  <si>
    <t>Ирена Штипчакова, Чехия</t>
  </si>
  <si>
    <t>Наталья Гаврилюк</t>
  </si>
  <si>
    <t>Виталий Кузьменко</t>
  </si>
  <si>
    <t>SvetlanaRasovskaya</t>
  </si>
  <si>
    <t>Елена Ф</t>
  </si>
  <si>
    <t>Vladyslava Moisei Vladyslava Moisei</t>
  </si>
  <si>
    <t>Vladyslava Moisei</t>
  </si>
  <si>
    <t>Лукьянец Лариса</t>
  </si>
  <si>
    <t>Михаил Козлов</t>
  </si>
  <si>
    <t>Анна Шикина</t>
  </si>
  <si>
    <t>Виктор Бойчук</t>
  </si>
  <si>
    <t>elizaveta_vladimirovna13</t>
  </si>
  <si>
    <t>Elizaveta</t>
  </si>
  <si>
    <t>mariya_buss</t>
  </si>
  <si>
    <t>Iryna_matvieva</t>
  </si>
  <si>
    <t>Iryna Matvieva</t>
  </si>
  <si>
    <t>Mhbbt_t</t>
  </si>
  <si>
    <t>Mухаббат</t>
  </si>
  <si>
    <t>Mossyakina Olga</t>
  </si>
  <si>
    <t>indiraxim</t>
  </si>
  <si>
    <t>Индира Рахимова</t>
  </si>
  <si>
    <t>irinamalaya18</t>
  </si>
  <si>
    <t>Ірина Мала</t>
  </si>
  <si>
    <t>Alina Alexeeva</t>
  </si>
  <si>
    <t>يولدوز</t>
  </si>
  <si>
    <t>SSP75</t>
  </si>
  <si>
    <t>Алиса Селезнёва</t>
  </si>
  <si>
    <t>D3US8</t>
  </si>
  <si>
    <t>Arthur Doc</t>
  </si>
  <si>
    <t>Raisa Raisa</t>
  </si>
  <si>
    <t>Раиса</t>
  </si>
  <si>
    <t>Оксана Близнюк</t>
  </si>
  <si>
    <t>corameli</t>
  </si>
  <si>
    <t>T. T.</t>
  </si>
  <si>
    <t>кобзева ирина</t>
  </si>
  <si>
    <t>Myozotis7</t>
  </si>
  <si>
    <t>КорнелиуПрисакарь Любимая</t>
  </si>
  <si>
    <t>AngelinaMatveeva</t>
  </si>
  <si>
    <t>Ангелина Матвеева</t>
  </si>
  <si>
    <t>Kseniyatih</t>
  </si>
  <si>
    <t>Ксения Тихонова</t>
  </si>
  <si>
    <t>Alla9595</t>
  </si>
  <si>
    <t>Володимир Которобай</t>
  </si>
  <si>
    <t>Dilraboxon_75</t>
  </si>
  <si>
    <t>Дилрабохон</t>
  </si>
  <si>
    <t>ElenaAbramova27</t>
  </si>
  <si>
    <t>Елена Абрамова</t>
  </si>
  <si>
    <t>Pirnyazova</t>
  </si>
  <si>
    <t>Колганат Пирниязова</t>
  </si>
  <si>
    <t>Татьяна Куренёва</t>
  </si>
  <si>
    <t>Инга Запорожец</t>
  </si>
  <si>
    <t>TrojanHelen</t>
  </si>
  <si>
    <t>Татьяна Попова</t>
  </si>
  <si>
    <t>Muhammadjon Ergashev</t>
  </si>
  <si>
    <t>rat_64</t>
  </si>
  <si>
    <t>Аспет Рушанова</t>
  </si>
  <si>
    <t>Andrei Obleac</t>
  </si>
  <si>
    <t>Andrei</t>
  </si>
  <si>
    <t>Шухратхон</t>
  </si>
  <si>
    <t>Андрій Запоріжжя</t>
  </si>
  <si>
    <t>mira_zin</t>
  </si>
  <si>
    <t>Mira Zinkevych</t>
  </si>
  <si>
    <t>GULI Ismatova</t>
  </si>
  <si>
    <t>TatianaGalimova</t>
  </si>
  <si>
    <t>TATYANA GALIMOVA</t>
  </si>
  <si>
    <t>ch_krn</t>
  </si>
  <si>
    <t>Дарья Чукарина</t>
  </si>
  <si>
    <t>........</t>
  </si>
  <si>
    <t>Alyona</t>
  </si>
  <si>
    <t>Samira_mh_77</t>
  </si>
  <si>
    <t>Samira🦋</t>
  </si>
  <si>
    <t>Светлана Светик</t>
  </si>
  <si>
    <t>lina lina</t>
  </si>
  <si>
    <t>Наталія Копійка</t>
  </si>
  <si>
    <t>razumaha</t>
  </si>
  <si>
    <t>Aleksandr Shchur</t>
  </si>
  <si>
    <t>Olim1967</t>
  </si>
  <si>
    <t>👑OA👑</t>
  </si>
  <si>
    <t>Елена Ш</t>
  </si>
  <si>
    <t>Yanochkabramovna</t>
  </si>
  <si>
    <t>Yana ❤️</t>
  </si>
  <si>
    <t>Окс Окс</t>
  </si>
  <si>
    <t>RuslanZdes</t>
  </si>
  <si>
    <t>Руслан Цветинский</t>
  </si>
  <si>
    <t>Natalya Borisova</t>
  </si>
  <si>
    <t>Katira1</t>
  </si>
  <si>
    <t>66487 Kaтира</t>
  </si>
  <si>
    <t>Ольга Наслимова</t>
  </si>
  <si>
    <t>Juliya1407</t>
  </si>
  <si>
    <t>Юлия Тюкова</t>
  </si>
  <si>
    <t>Ольга Мартученко</t>
  </si>
  <si>
    <t>Tatiana Smirnova</t>
  </si>
  <si>
    <t>𝕬𝖐𝖇𝖆𝖗 𝕬𝖐𝖇𝖆𝖗</t>
  </si>
  <si>
    <t>Валентин Дяченко</t>
  </si>
  <si>
    <t>Galaprokopenko</t>
  </si>
  <si>
    <t>Прокопенко Галина</t>
  </si>
  <si>
    <t>derinagalina</t>
  </si>
  <si>
    <t>Галина Дерина</t>
  </si>
  <si>
    <t>Yasmina_Bakhtiyar</t>
  </si>
  <si>
    <t>Я А</t>
  </si>
  <si>
    <t>Nina</t>
  </si>
  <si>
    <t>Игорь Вароненко</t>
  </si>
  <si>
    <t>Doktor1983A</t>
  </si>
  <si>
    <t>🏘</t>
  </si>
  <si>
    <t>neznamova_svetlana</t>
  </si>
  <si>
    <t>Светлана, бьюти-тренер</t>
  </si>
  <si>
    <t>Olga_0072</t>
  </si>
  <si>
    <t>елена</t>
  </si>
  <si>
    <t>AntoninaFenix</t>
  </si>
  <si>
    <t>Антонина Ширяева</t>
  </si>
  <si>
    <t>MiOxa</t>
  </si>
  <si>
    <t>Oxana Mishina</t>
  </si>
  <si>
    <t>Anton2020da</t>
  </si>
  <si>
    <t>Антон Лебедев</t>
  </si>
  <si>
    <t>bayarmaurbaeva</t>
  </si>
  <si>
    <t>Баярма</t>
  </si>
  <si>
    <t>Светлана Зайцева</t>
  </si>
  <si>
    <t>Светлана .
Здравствуйте!!!</t>
  </si>
  <si>
    <t>Елена Сабадаш</t>
  </si>
  <si>
    <t>DitaKukule</t>
  </si>
  <si>
    <t>Dita</t>
  </si>
  <si>
    <t>ljuba68</t>
  </si>
  <si>
    <t>Ljuba</t>
  </si>
  <si>
    <t>FelicitasCat</t>
  </si>
  <si>
    <t>Temirkhanova</t>
  </si>
  <si>
    <t>Julyinjuly</t>
  </si>
  <si>
    <t>Yulya Lyula</t>
  </si>
  <si>
    <t>Aida</t>
  </si>
  <si>
    <t>Содик</t>
  </si>
  <si>
    <t>threnova</t>
  </si>
  <si>
    <t>Татьяна Хренова</t>
  </si>
  <si>
    <t>Olha_Voice</t>
  </si>
  <si>
    <t>Olha</t>
  </si>
  <si>
    <t>Elena_Sedih</t>
  </si>
  <si>
    <t>Елена Седых</t>
  </si>
  <si>
    <t>ElenaFeshenko</t>
  </si>
  <si>
    <t>Маша Маша</t>
  </si>
  <si>
    <t>AsyaVn1404</t>
  </si>
  <si>
    <t>Asu*Vn</t>
  </si>
  <si>
    <t>Elvira_khan</t>
  </si>
  <si>
    <t>Эльвира Ханнанова</t>
  </si>
  <si>
    <t>LAWYER_IIN</t>
  </si>
  <si>
    <t>LAWYER</t>
  </si>
  <si>
    <t>Alisa_Beydik</t>
  </si>
  <si>
    <t>Алиса Бейдик</t>
  </si>
  <si>
    <t>Олена Пархоменко</t>
  </si>
  <si>
    <t>olesyarada</t>
  </si>
  <si>
    <t>serge_dov</t>
  </si>
  <si>
    <t>Serhii Dovbnia</t>
  </si>
  <si>
    <t>lediinv</t>
  </si>
  <si>
    <t>Иришка</t>
  </si>
  <si>
    <t>Gsgdgd</t>
  </si>
  <si>
    <t>Василь Стаценко</t>
  </si>
  <si>
    <t>trendovik_a</t>
  </si>
  <si>
    <t>Анастасия Решетина</t>
  </si>
  <si>
    <t>Света Абдимуратова</t>
  </si>
  <si>
    <t>pershinaviktory</t>
  </si>
  <si>
    <t>Smartlight_CR</t>
  </si>
  <si>
    <t>Жора Рахимбаев</t>
  </si>
  <si>
    <t>Olenka_1808</t>
  </si>
  <si>
    <t>Оленька</t>
  </si>
  <si>
    <t>Katya_Panakotta</t>
  </si>
  <si>
    <t>Екатерина Панова</t>
  </si>
  <si>
    <t>Ваня</t>
  </si>
  <si>
    <t>SandraAlexa</t>
  </si>
  <si>
    <t>iri789</t>
  </si>
  <si>
    <t>TotTarh48534649</t>
  </si>
  <si>
    <t>Andrey Lytvyn</t>
  </si>
  <si>
    <t>Наталія Саврацька</t>
  </si>
  <si>
    <t>pavelk888</t>
  </si>
  <si>
    <t>Pavel K</t>
  </si>
  <si>
    <t>Кахрамон</t>
  </si>
  <si>
    <t>vitaliimv</t>
  </si>
  <si>
    <t>Vitaliy</t>
  </si>
  <si>
    <t>mukharramm</t>
  </si>
  <si>
    <t>Muharramxon</t>
  </si>
  <si>
    <t>Ирина Мунасыпова</t>
  </si>
  <si>
    <t>irinakrol</t>
  </si>
  <si>
    <t>Irina Krol</t>
  </si>
  <si>
    <t>Ирина Водопьянова</t>
  </si>
  <si>
    <t>Віталий Світ</t>
  </si>
  <si>
    <t>виталий</t>
  </si>
  <si>
    <t>dm_tel</t>
  </si>
  <si>
    <t>Dmitry</t>
  </si>
  <si>
    <t>amira828</t>
  </si>
  <si>
    <t>J.S.</t>
  </si>
  <si>
    <t>Stasia24</t>
  </si>
  <si>
    <t>Анастасия Двинянина</t>
  </si>
  <si>
    <t>Анн Анн</t>
  </si>
  <si>
    <t>rushanasim</t>
  </si>
  <si>
    <t>Дайнис</t>
  </si>
  <si>
    <t>Alexandr Alexandr</t>
  </si>
  <si>
    <t>Наталия Наталия</t>
  </si>
  <si>
    <t>Nberdugina</t>
  </si>
  <si>
    <t>Наталья Бердюгина</t>
  </si>
  <si>
    <t>lidapudra</t>
  </si>
  <si>
    <t>AssassinKost Ёж</t>
  </si>
  <si>
    <t>Anatoliu83</t>
  </si>
  <si>
    <t>Toha</t>
  </si>
  <si>
    <t>Воха</t>
  </si>
  <si>
    <t>Marina Biryukova</t>
  </si>
  <si>
    <t>Татьяня</t>
  </si>
  <si>
    <t>Happilena</t>
  </si>
  <si>
    <t>Елена Блоцкая</t>
  </si>
  <si>
    <t>NataliiaDumas</t>
  </si>
  <si>
    <t>Nataliia</t>
  </si>
  <si>
    <t>katrisha444</t>
  </si>
  <si>
    <t>Kateryna Happy</t>
  </si>
  <si>
    <t>Татьяна П</t>
  </si>
  <si>
    <t>Светлана Лавренчук</t>
  </si>
  <si>
    <t>Светлана🤗</t>
  </si>
  <si>
    <t>V</t>
  </si>
  <si>
    <t>Nika_Mari</t>
  </si>
  <si>
    <t>Марина Никульченко</t>
  </si>
  <si>
    <t>djutinkam</t>
  </si>
  <si>
    <t>Ld1957</t>
  </si>
  <si>
    <t>Лилия Долгополова</t>
  </si>
  <si>
    <t>Beshka60</t>
  </si>
  <si>
    <t>Татьяна Стешенко</t>
  </si>
  <si>
    <t>Andrew International Lawer Andreas Rechstberater Asesor Jurídico Internacional Conseiller juridique international</t>
  </si>
  <si>
    <t>Andrew</t>
  </si>
  <si>
    <t>vova5746</t>
  </si>
  <si>
    <t>Владимир Ревякин</t>
  </si>
  <si>
    <t>Добрый день ☀️Анжелика 🫶</t>
  </si>
  <si>
    <t>Алекс Соловей</t>
  </si>
  <si>
    <t>Julachka</t>
  </si>
  <si>
    <t>Julia Iva</t>
  </si>
  <si>
    <t>shibirkin</t>
  </si>
  <si>
    <t>Serhii</t>
  </si>
  <si>
    <t>Salon_Margarita</t>
  </si>
  <si>
    <t>Dimix_9</t>
  </si>
  <si>
    <t>Natalia Kabashima</t>
  </si>
  <si>
    <t>Я Наталья из Японии</t>
  </si>
  <si>
    <t>Світлана Світлана</t>
  </si>
  <si>
    <t>з</t>
  </si>
  <si>
    <t>elenavolodina_agora</t>
  </si>
  <si>
    <t>Елена Володина</t>
  </si>
  <si>
    <t>Natalia Orlova</t>
  </si>
  <si>
    <t>saooodat</t>
  </si>
  <si>
    <t>* * *</t>
  </si>
  <si>
    <t>ElenaGorbulia</t>
  </si>
  <si>
    <t>Елена Горбуля</t>
  </si>
  <si>
    <t>IrinaKaver</t>
  </si>
  <si>
    <t>Irina Kaverzina</t>
  </si>
  <si>
    <t>Tatiana_Oganian</t>
  </si>
  <si>
    <t>Татьяна Оганян</t>
  </si>
  <si>
    <t>Здравствуйте! Меня зовут Ирина.</t>
  </si>
  <si>
    <t>Алексей Гроза</t>
  </si>
  <si>
    <t>tallyfive</t>
  </si>
  <si>
    <t>Талли</t>
  </si>
  <si>
    <t>shevchenkosergey76</t>
  </si>
  <si>
    <t>Evgeny Khomyakov</t>
  </si>
  <si>
    <t>kotik2868</t>
  </si>
  <si>
    <t>Елена Фролова</t>
  </si>
  <si>
    <t>svetlana_accord</t>
  </si>
  <si>
    <t>Svetlana_Accord</t>
  </si>
  <si>
    <t>ligalog</t>
  </si>
  <si>
    <t>Līga Logina</t>
  </si>
  <si>
    <t>Ірина Гелетій</t>
  </si>
  <si>
    <t>Galina Nikolaeva</t>
  </si>
  <si>
    <t>Добрый день. Меня зовут Татьяна</t>
  </si>
  <si>
    <t>nataliaha59</t>
  </si>
  <si>
    <t>MariyaSonce</t>
  </si>
  <si>
    <t>Марія Сонце</t>
  </si>
  <si>
    <t>vira_shkrob</t>
  </si>
  <si>
    <t>Віра Шкрьоб</t>
  </si>
  <si>
    <t>shagalieva1974</t>
  </si>
  <si>
    <t>Анжела Самоисследователь. Проводник</t>
  </si>
  <si>
    <t>zdcgbjm34</t>
  </si>
  <si>
    <t>NatashaMoroz</t>
  </si>
  <si>
    <t>Наталья Мороз</t>
  </si>
  <si>
    <t>NavsaShunkh</t>
  </si>
  <si>
    <t>Navs</t>
  </si>
  <si>
    <t>conscientiahappiness</t>
  </si>
  <si>
    <t>Наталья Кисельман</t>
  </si>
  <si>
    <t>ekaterina_0502</t>
  </si>
  <si>
    <t>Катенька ☀️✨</t>
  </si>
  <si>
    <t>Елена Кость</t>
  </si>
  <si>
    <t>veralyk1812</t>
  </si>
  <si>
    <t>Вера Лукьянова</t>
  </si>
  <si>
    <t>Алёна Демяненко</t>
  </si>
  <si>
    <t>MartaKot</t>
  </si>
  <si>
    <t>Марта</t>
  </si>
  <si>
    <t>Alma Human</t>
  </si>
  <si>
    <t>alenka1784</t>
  </si>
  <si>
    <t>Алена Михайлова</t>
  </si>
  <si>
    <t>Nokseron</t>
  </si>
  <si>
    <t>Оксана Соседова</t>
  </si>
  <si>
    <t>inna</t>
  </si>
  <si>
    <t>ildarsx</t>
  </si>
  <si>
    <t>nyakiya_yunkina</t>
  </si>
  <si>
    <t>Някия Юнкина</t>
  </si>
  <si>
    <t>Zhenis Z</t>
  </si>
  <si>
    <t>kristinochka_ms</t>
  </si>
  <si>
    <t>Кристина Мартемьянова</t>
  </si>
  <si>
    <t>Any Thing</t>
  </si>
  <si>
    <t>Oksana7518</t>
  </si>
  <si>
    <t>Даша Лобанова</t>
  </si>
  <si>
    <t>Svetlana_Kicheva</t>
  </si>
  <si>
    <t>Светлана Кичёва</t>
  </si>
  <si>
    <t>Kolesnikova_pravo</t>
  </si>
  <si>
    <t>Ольга Колесникова</t>
  </si>
  <si>
    <t>irinar68</t>
  </si>
  <si>
    <t>ира</t>
  </si>
  <si>
    <t>Elena Savina</t>
  </si>
  <si>
    <t>Старуха Изергиль</t>
  </si>
  <si>
    <t>rushana_sigbatulina</t>
  </si>
  <si>
    <t>Rushana Sigbatulina</t>
  </si>
  <si>
    <t>angelinagavrilina</t>
  </si>
  <si>
    <t>Angelina ✨</t>
  </si>
  <si>
    <t>Mariia_Voloshchuk</t>
  </si>
  <si>
    <t>Mariia Voloshchuk</t>
  </si>
  <si>
    <t>Инна .</t>
  </si>
  <si>
    <t>Tanechka0999</t>
  </si>
  <si>
    <t>ermakova_mv</t>
  </si>
  <si>
    <t>Татьяна Зайцева</t>
  </si>
  <si>
    <t>Ekaterinagor2022</t>
  </si>
  <si>
    <t>Nikolay12345677</t>
  </si>
  <si>
    <t>niК💣лай🤟🦋</t>
  </si>
  <si>
    <t>ale_target</t>
  </si>
  <si>
    <t>alHellfox</t>
  </si>
  <si>
    <t>Alina HellFox</t>
  </si>
  <si>
    <t>lionmar</t>
  </si>
  <si>
    <t>МE • healthcoach</t>
  </si>
  <si>
    <t>lime_valentina</t>
  </si>
  <si>
    <t>Валентина Королева</t>
  </si>
  <si>
    <t>Никита Моренков</t>
  </si>
  <si>
    <t>Sitniki</t>
  </si>
  <si>
    <t>Ирина Ситникова</t>
  </si>
  <si>
    <t>OlgaKrasina</t>
  </si>
  <si>
    <t>mamasita_auff</t>
  </si>
  <si>
    <t>Аnna</t>
  </si>
  <si>
    <t>Nataliumbro</t>
  </si>
  <si>
    <t>Natalia Ambrajevich</t>
  </si>
  <si>
    <t>rina_000</t>
  </si>
  <si>
    <t>Rin</t>
  </si>
  <si>
    <t>Jenechka_Kulikova</t>
  </si>
  <si>
    <t>Miss. KULIKOVA</t>
  </si>
  <si>
    <t>a_2772_a</t>
  </si>
  <si>
    <t>A I</t>
  </si>
  <si>
    <t>Rocker667</t>
  </si>
  <si>
    <t>Толик</t>
  </si>
  <si>
    <t>🌷Нигора🌷</t>
  </si>
  <si>
    <t>Вадим Золотов</t>
  </si>
  <si>
    <t>Stellakivi</t>
  </si>
  <si>
    <t>Стелла Киви</t>
  </si>
  <si>
    <t>Nargiza Nurmatova</t>
  </si>
  <si>
    <t>Marfuga</t>
  </si>
  <si>
    <t>vl_witch</t>
  </si>
  <si>
    <t>Vladislava</t>
  </si>
  <si>
    <t>Элина Бучко</t>
  </si>
  <si>
    <t>Kateryna Nesterenko</t>
  </si>
  <si>
    <t>Александр Тепляков</t>
  </si>
  <si>
    <t>Ольга Федоренко</t>
  </si>
  <si>
    <t>AlenaPasechenko</t>
  </si>
  <si>
    <t>Алена Пасеченко✨ экспоненциальный коуч✨</t>
  </si>
  <si>
    <t>Доброе утро! Меня зовут Татьяна</t>
  </si>
  <si>
    <t>R D</t>
  </si>
  <si>
    <t>😊</t>
  </si>
  <si>
    <t>Denisova Marina</t>
  </si>
  <si>
    <t>Марина.</t>
  </si>
  <si>
    <t>krasotasvb</t>
  </si>
  <si>
    <t>Мila Grudinova</t>
  </si>
  <si>
    <t>Mira Mira</t>
  </si>
  <si>
    <t>Ирина Мазурова</t>
  </si>
  <si>
    <t>$$$$$$</t>
  </si>
  <si>
    <t>Feruzamuminova</t>
  </si>
  <si>
    <t>Феруза Раимжановна</t>
  </si>
  <si>
    <t>Эльмира*****</t>
  </si>
  <si>
    <t>Наталья Забелинска</t>
  </si>
  <si>
    <t>nurlan_almasbek</t>
  </si>
  <si>
    <t>Нурлан Алмасбек | Энергопрактик</t>
  </si>
  <si>
    <t>Екатерина Трифоненко</t>
  </si>
  <si>
    <t>Привет, меня зовут Екатерина.</t>
  </si>
  <si>
    <t>GalinaZekyn</t>
  </si>
  <si>
    <t>Галина Зекун</t>
  </si>
  <si>
    <t>Aigerim Nuskak</t>
  </si>
  <si>
    <t>Ekat20_22</t>
  </si>
  <si>
    <t>Юля Плотникова</t>
  </si>
  <si>
    <t>vadim_muran</t>
  </si>
  <si>
    <t>Vadik</t>
  </si>
  <si>
    <t>kochaira77</t>
  </si>
  <si>
    <t>Ирина Кочурова</t>
  </si>
  <si>
    <t>Annush Lubov</t>
  </si>
  <si>
    <t>ViktoriaPelevina</t>
  </si>
  <si>
    <t>Mila7162</t>
  </si>
  <si>
    <t>Lyudmila Kornilova</t>
  </si>
  <si>
    <t>annalva</t>
  </si>
  <si>
    <t>Анна Л🌻🌞🕉</t>
  </si>
  <si>
    <t>Bottatyana</t>
  </si>
  <si>
    <t>Татьяна Ботова</t>
  </si>
  <si>
    <t>rodeon108</t>
  </si>
  <si>
    <t>Родион</t>
  </si>
  <si>
    <t>Ludmila111177</t>
  </si>
  <si>
    <t>Zayatskaif</t>
  </si>
  <si>
    <t>Шавкат Хайруллаев</t>
  </si>
  <si>
    <t>Tatiana Burakhovych</t>
  </si>
  <si>
    <t>Nadezhda_O16</t>
  </si>
  <si>
    <t>Okulova Nadezhda</t>
  </si>
  <si>
    <t>nikolairina8</t>
  </si>
  <si>
    <t>Ирена</t>
  </si>
  <si>
    <t>yakymenkolara</t>
  </si>
  <si>
    <t>Лариса Якименко</t>
  </si>
  <si>
    <t>Инна Лушникова</t>
  </si>
  <si>
    <t>.$.</t>
  </si>
  <si>
    <t>lesiaagvanan</t>
  </si>
  <si>
    <t>леся агванян</t>
  </si>
  <si>
    <t>Masuda💐</t>
  </si>
  <si>
    <t>kumari_kanti</t>
  </si>
  <si>
    <t>Ксения Фиксель</t>
  </si>
  <si>
    <t>Dadu Igor</t>
  </si>
  <si>
    <t>Yulia K</t>
  </si>
  <si>
    <t>LL888V</t>
  </si>
  <si>
    <t>mariiaboduen</t>
  </si>
  <si>
    <t>Mariya Malkova</t>
  </si>
  <si>
    <t>Chernika89kati</t>
  </si>
  <si>
    <t>AnastasiaP_127</t>
  </si>
  <si>
    <t>Маргарита Ардо</t>
  </si>
  <si>
    <t>talgat_latypov</t>
  </si>
  <si>
    <t>Талгат Латыпов</t>
  </si>
  <si>
    <t>Asiya062609</t>
  </si>
  <si>
    <t>Asiya_R_</t>
  </si>
  <si>
    <t>iebolotov</t>
  </si>
  <si>
    <t>Илья Болотов</t>
  </si>
  <si>
    <t>nastyatiklanova</t>
  </si>
  <si>
    <t>Настя Нейрокоуч, гипнолог</t>
  </si>
  <si>
    <t>mamykina71</t>
  </si>
  <si>
    <t>Ольга Мамыкина</t>
  </si>
  <si>
    <t>🧚🏼‍♀️🧚🏼‍♀️🧚🏼‍♀️</t>
  </si>
  <si>
    <t>Дильноза</t>
  </si>
  <si>
    <t>Татьяна Головченко</t>
  </si>
  <si>
    <t>katarina_ti</t>
  </si>
  <si>
    <t>Имя Фамилия</t>
  </si>
  <si>
    <t>USELVIRA</t>
  </si>
  <si>
    <t>Эльвира Усеинова</t>
  </si>
  <si>
    <t>Liubov Panchenko</t>
  </si>
  <si>
    <t>Здравствуйте, я - Любовь.</t>
  </si>
  <si>
    <t>Aksenova_Almira</t>
  </si>
  <si>
    <t>ermolkin</t>
  </si>
  <si>
    <t>Vladislav Ermolkin</t>
  </si>
  <si>
    <t>Татьяна Артамонова</t>
  </si>
  <si>
    <t>elllandman</t>
  </si>
  <si>
    <t>Elena Landman</t>
  </si>
  <si>
    <t>Жанна Ермакова</t>
  </si>
  <si>
    <t>loulouminou777</t>
  </si>
  <si>
    <t>abbos13dinoradiyoramuhammadamin</t>
  </si>
  <si>
    <t>❤️شكرا جزيلا لك</t>
  </si>
  <si>
    <t>Зулайхо</t>
  </si>
  <si>
    <t>Аліна Семеног</t>
  </si>
  <si>
    <t>Аліна</t>
  </si>
  <si>
    <t>ursini74</t>
  </si>
  <si>
    <t>Екатерина Крахмальная</t>
  </si>
  <si>
    <t>NastasiyaBorisovna</t>
  </si>
  <si>
    <t>Nastasiya Borisovna</t>
  </si>
  <si>
    <t>Irina_Irina_Irina</t>
  </si>
  <si>
    <t>Evgeniya A</t>
  </si>
  <si>
    <t>Тольчик.</t>
  </si>
  <si>
    <t>Наталия Доценко</t>
  </si>
  <si>
    <t>. .</t>
  </si>
  <si>
    <t>ф</t>
  </si>
  <si>
    <t>Andrey8417</t>
  </si>
  <si>
    <t>Андр</t>
  </si>
  <si>
    <t>Раиса Горбунова</t>
  </si>
  <si>
    <t>LiliannaSemenuta</t>
  </si>
  <si>
    <t>Лилианна Семенюта</t>
  </si>
  <si>
    <t>djalaloffa</t>
  </si>
  <si>
    <t>Фатима Джалалова</t>
  </si>
  <si>
    <t>Bah&amp;mar Bah&amp;mar</t>
  </si>
  <si>
    <t>OksanaZacharova</t>
  </si>
  <si>
    <t>Anna_jvania</t>
  </si>
  <si>
    <t>Anna Anna</t>
  </si>
  <si>
    <t>люда</t>
  </si>
  <si>
    <t>Наталья Конунникова</t>
  </si>
  <si>
    <t>Nataly</t>
  </si>
  <si>
    <t>Natali Bambuleac</t>
  </si>
  <si>
    <t>prinsessaa1k</t>
  </si>
  <si>
    <t>Людмила h</t>
  </si>
  <si>
    <t>f_d_mn</t>
  </si>
  <si>
    <t>Alya</t>
  </si>
  <si>
    <t>dulila12</t>
  </si>
  <si>
    <t>Nodir</t>
  </si>
  <si>
    <t>Валерий Виноградов</t>
  </si>
  <si>
    <t>Yourmajesty_87</t>
  </si>
  <si>
    <t>Kira Peskova</t>
  </si>
  <si>
    <t>SofiyaSudina</t>
  </si>
  <si>
    <t>София Судьина</t>
  </si>
  <si>
    <t>🌹</t>
  </si>
  <si>
    <t>Гульбану</t>
  </si>
  <si>
    <t>Kofoku</t>
  </si>
  <si>
    <t>Юлия Катышева</t>
  </si>
  <si>
    <t>zamlelayaosebe</t>
  </si>
  <si>
    <t>Алёна Замлелая</t>
  </si>
  <si>
    <t>Эрика</t>
  </si>
  <si>
    <t>Марийа</t>
  </si>
  <si>
    <t>Мое имя Татьяна</t>
  </si>
  <si>
    <t>Здравствуйте, меня зовут Анна</t>
  </si>
  <si>
    <t>lydacka56</t>
  </si>
  <si>
    <t>Fa3005</t>
  </si>
  <si>
    <t>tania12222</t>
  </si>
  <si>
    <t>Marina Li</t>
  </si>
  <si>
    <t>Ирина Бхарат</t>
  </si>
  <si>
    <t>katrin_muratova</t>
  </si>
  <si>
    <t>Катерина Муратова</t>
  </si>
  <si>
    <t>Tateeee</t>
  </si>
  <si>
    <t>Tatyana Tatyana</t>
  </si>
  <si>
    <t>elya_fox</t>
  </si>
  <si>
    <t>lisa arkhipova</t>
  </si>
  <si>
    <t>Надія Надія</t>
  </si>
  <si>
    <t>Tatiana_Erofeev</t>
  </si>
  <si>
    <t>Татьяна Ерофеева</t>
  </si>
  <si>
    <t>nilson111992</t>
  </si>
  <si>
    <t>Наиля Сейфулина</t>
  </si>
  <si>
    <t>Zulya06_10</t>
  </si>
  <si>
    <t>Zulya Xafizovа</t>
  </si>
  <si>
    <t>Валентина Идрюкова</t>
  </si>
  <si>
    <t>Anastasiia_wealth</t>
  </si>
  <si>
    <t>Anastasiia Wealth</t>
  </si>
  <si>
    <t>Валера</t>
  </si>
  <si>
    <t>Семён Брон</t>
  </si>
  <si>
    <t>melkozerovaaa</t>
  </si>
  <si>
    <t>Sasha</t>
  </si>
  <si>
    <t>AlegMix</t>
  </si>
  <si>
    <t>Олег Михалычев</t>
  </si>
  <si>
    <t>@Светланочка Анатольевна</t>
  </si>
  <si>
    <t>One1177</t>
  </si>
  <si>
    <t>Vladimir B</t>
  </si>
  <si>
    <t>yanamadley</t>
  </si>
  <si>
    <t>Yanina</t>
  </si>
  <si>
    <t>Elnaevo</t>
  </si>
  <si>
    <t>Елена Амелькина</t>
  </si>
  <si>
    <t>kraasmag</t>
  </si>
  <si>
    <t>Евгений Мар</t>
  </si>
  <si>
    <t>tetiana_dombrovska</t>
  </si>
  <si>
    <t>Тетяна Домбровська</t>
  </si>
  <si>
    <t>Juliyaviolin</t>
  </si>
  <si>
    <t>Ткаченко Ольга</t>
  </si>
  <si>
    <t>Виталий Галкин</t>
  </si>
  <si>
    <t>IbelieveIcanfly8392</t>
  </si>
  <si>
    <t>Лира</t>
  </si>
  <si>
    <t>Зинет Тахаев</t>
  </si>
  <si>
    <t>lisenkoevg</t>
  </si>
  <si>
    <t>Лысенко Евгений</t>
  </si>
  <si>
    <t>LADY_GAYA</t>
  </si>
  <si>
    <t>olga_nova_ya</t>
  </si>
  <si>
    <t>Ольга Николаевна</t>
  </si>
  <si>
    <t>al200977</t>
  </si>
  <si>
    <t>slobozhanski</t>
  </si>
  <si>
    <t>[][3![}J[]N</t>
  </si>
  <si>
    <t>Popovici Mihail</t>
  </si>
  <si>
    <t>Elena Писарева Дальнереченск 🌹</t>
  </si>
  <si>
    <t>Віктор Тарасенко</t>
  </si>
  <si>
    <t>Oksana Melpomena</t>
  </si>
  <si>
    <t>Олександр</t>
  </si>
  <si>
    <t>AlexandraStav</t>
  </si>
  <si>
    <t>M Arina👑</t>
  </si>
  <si>
    <t>Наталья Кудрявцева</t>
  </si>
  <si>
    <t>Anastasia050490</t>
  </si>
  <si>
    <t>Анастасия Коновалова</t>
  </si>
  <si>
    <t>Natashapritchina</t>
  </si>
  <si>
    <t>Наталья Притчина</t>
  </si>
  <si>
    <t>ElenaDemidova2</t>
  </si>
  <si>
    <t>Точка Опоры - Отдел счастья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</si>
</sst>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Arial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0"/>
      <color theme="1"/>
      <name val="Montserrat"/>
    </font>
    <font>
      <b/>
      <sz val="12"/>
      <color theme="1"/>
      <name val="Montserrat"/>
    </font>
    <font>
      <b/>
      <sz val="11"/>
      <color theme="1"/>
      <name val="Montserrat"/>
    </font>
    <font>
      <b/>
      <sz val="10"/>
      <color theme="1"/>
      <name val="Montserrat"/>
    </font>
    <font>
      <u/>
      <sz val="10"/>
      <color rgb="FF0000FF"/>
      <name val="Montserrat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sz val="9"/>
      <color theme="1"/>
      <name val="Arial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0FAEC"/>
        <bgColor rgb="FFE0FAEC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wrapText="1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10" fillId="0" borderId="1" xfId="0" applyFont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9" fillId="5" borderId="1" xfId="0" applyFont="1" applyFill="1" applyBorder="1" applyAlignment="1">
      <alignment horizontal="right" wrapText="1"/>
    </xf>
    <xf numFmtId="0" fontId="9" fillId="6" borderId="1" xfId="0" applyFont="1" applyFill="1" applyBorder="1" applyAlignment="1">
      <alignment wrapText="1"/>
    </xf>
    <xf numFmtId="0" fontId="9" fillId="6" borderId="1" xfId="0" applyFont="1" applyFill="1" applyBorder="1" applyAlignment="1">
      <alignment horizontal="right" wrapText="1"/>
    </xf>
    <xf numFmtId="0" fontId="9" fillId="7" borderId="1" xfId="0" applyFont="1" applyFill="1" applyBorder="1" applyAlignment="1">
      <alignment wrapText="1"/>
    </xf>
    <xf numFmtId="3" fontId="9" fillId="0" borderId="1" xfId="0" applyNumberFormat="1" applyFont="1" applyBorder="1" applyAlignment="1">
      <alignment wrapText="1"/>
    </xf>
    <xf numFmtId="0" fontId="11" fillId="0" borderId="0" xfId="0" applyNumberFormat="1" applyFont="1" applyAlignment="1">
      <alignment horizontal="left"/>
    </xf>
    <xf numFmtId="0" fontId="1" fillId="0" borderId="0" xfId="0" applyFont="1" applyAlignment="1"/>
    <xf numFmtId="0" fontId="0" fillId="0" borderId="0" xfId="0" applyNumberFormat="1" applyFont="1" applyAlignment="1">
      <alignment horizontal="left"/>
    </xf>
    <xf numFmtId="0" fontId="9" fillId="0" borderId="0" xfId="0" applyFont="1" applyBorder="1" applyAlignment="1">
      <alignment horizontal="right" wrapText="1"/>
    </xf>
    <xf numFmtId="0" fontId="11" fillId="0" borderId="1" xfId="0" applyNumberFormat="1" applyFont="1" applyBorder="1" applyAlignment="1">
      <alignment horizontal="left"/>
    </xf>
  </cellXfs>
  <cellStyles count="1">
    <cellStyle name="Обычный" xfId="0" builtinId="0"/>
  </cellStyles>
  <dxfs count="12"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F4EEE7"/>
          <bgColor rgb="FFF4EEE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</dxfs>
  <tableStyles count="4">
    <tableStyle name="Свод-style" pivot="0" count="3">
      <tableStyleElement type="headerRow" dxfId="11"/>
      <tableStyleElement type="firstRowStripe" dxfId="10"/>
      <tableStyleElement type="secondRowStripe" dxfId="9"/>
    </tableStyle>
    <tableStyle name="Люди-style" pivot="0" count="3">
      <tableStyleElement type="headerRow" dxfId="8"/>
      <tableStyleElement type="firstRowStripe" dxfId="7"/>
      <tableStyleElement type="secondRowStripe" dxfId="6"/>
    </tableStyle>
    <tableStyle name="Свод QUERY-style" pivot="0" count="3">
      <tableStyleElement type="headerRow" dxfId="5"/>
      <tableStyleElement type="firstRowStripe" dxfId="4"/>
      <tableStyleElement type="secondRowStripe" dxfId="3"/>
    </tableStyle>
    <tableStyle name="Список участников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id="2" name="Table_2" displayName="Table_2" ref="A1:S2251">
  <tableColumns count="19">
    <tableColumn id="1" name="id"/>
    <tableColumn id="2" name="Имя"/>
    <tableColumn id="3" name="Фамилия"/>
    <tableColumn id="4" name="Email"/>
    <tableColumn id="5" name="Телефон"/>
    <tableColumn id="6" name="Дата рождения"/>
    <tableColumn id="7" name="Возраст"/>
    <tableColumn id="8" name="Страна"/>
    <tableColumn id="9" name="Город"/>
    <tableColumn id="10" name="Телеграм"/>
    <tableColumn id="11" name="top2"/>
    <tableColumn id="12" name="Antiego"/>
    <tableColumn id="13" name="top"/>
    <tableColumn id="14" name="retrit_gorod"/>
    <tableColumn id="15" name="retrit_dom"/>
    <tableColumn id="16" name="retrit_vyezdnoy"/>
    <tableColumn id="17" name="obuchenie_v_DSH"/>
    <tableColumn id="18" name="Intensiv"/>
    <tableColumn id="19" name="Nichego"/>
  </tableColumns>
  <tableStyleInfo name="Люди-style" showFirstColumn="1" showLastColumn="1" showRowStripes="1" showColumnStripes="0"/>
</table>
</file>

<file path=xl/tables/table2.xml><?xml version="1.0" encoding="utf-8"?>
<table xmlns="http://schemas.openxmlformats.org/spreadsheetml/2006/main" id="3" name="Table_3" displayName="Table_3" ref="A1:G2272" headerRowCount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Свод QUER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t.me/karina_motion" TargetMode="External"/><Relationship Id="rId1" Type="http://schemas.openxmlformats.org/officeDocument/2006/relationships/hyperlink" Target="https://t.me/Anna_Sizova_Phot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58"/>
  <sheetViews>
    <sheetView workbookViewId="0"/>
  </sheetViews>
  <sheetFormatPr defaultColWidth="12.625" defaultRowHeight="15" customHeight="1"/>
  <cols>
    <col min="1" max="1" width="14" customWidth="1"/>
    <col min="2" max="2" width="26.375" customWidth="1"/>
    <col min="3" max="3" width="22.125" customWidth="1"/>
    <col min="4" max="4" width="17.625" customWidth="1"/>
    <col min="5" max="5" width="16.625" customWidth="1"/>
    <col min="6" max="6" width="39.625" customWidth="1"/>
    <col min="7" max="7" width="30.25" customWidth="1"/>
  </cols>
  <sheetData>
    <row r="1" spans="1:7" ht="47.25">
      <c r="A1" s="2" t="s">
        <v>5</v>
      </c>
      <c r="B1" s="2" t="s">
        <v>0</v>
      </c>
      <c r="C1" s="2" t="s">
        <v>1</v>
      </c>
      <c r="D1" s="2" t="s">
        <v>2</v>
      </c>
      <c r="E1" s="2" t="s">
        <v>6</v>
      </c>
      <c r="F1" s="2" t="s">
        <v>7</v>
      </c>
      <c r="G1" s="2" t="s">
        <v>8</v>
      </c>
    </row>
    <row r="2" spans="1:7" ht="25.5">
      <c r="A2" s="3">
        <v>122385279</v>
      </c>
      <c r="B2" s="4" t="s">
        <v>9</v>
      </c>
      <c r="C2" s="3" t="s">
        <v>10</v>
      </c>
      <c r="D2" s="3"/>
      <c r="E2" s="3" t="s">
        <v>11</v>
      </c>
      <c r="F2" s="4" t="s">
        <v>12</v>
      </c>
      <c r="G2" s="4" t="s">
        <v>13</v>
      </c>
    </row>
    <row r="3" spans="1:7" ht="25.5">
      <c r="A3" s="5">
        <v>69226375</v>
      </c>
      <c r="B3" s="6" t="s">
        <v>14</v>
      </c>
      <c r="C3" s="5" t="s">
        <v>15</v>
      </c>
      <c r="D3" s="5">
        <v>79774294072</v>
      </c>
      <c r="E3" s="5" t="s">
        <v>16</v>
      </c>
      <c r="F3" s="6" t="s">
        <v>17</v>
      </c>
      <c r="G3" s="6" t="s">
        <v>18</v>
      </c>
    </row>
    <row r="4" spans="1:7" ht="25.5">
      <c r="A4" s="3">
        <v>108279800</v>
      </c>
      <c r="B4" s="4" t="s">
        <v>19</v>
      </c>
      <c r="C4" s="3" t="s">
        <v>20</v>
      </c>
      <c r="D4" s="3" t="s">
        <v>21</v>
      </c>
      <c r="E4" s="3" t="s">
        <v>22</v>
      </c>
      <c r="F4" s="4" t="s">
        <v>12</v>
      </c>
      <c r="G4" s="4" t="s">
        <v>13</v>
      </c>
    </row>
    <row r="5" spans="1:7" ht="25.5">
      <c r="A5" s="5">
        <v>113703450</v>
      </c>
      <c r="B5" s="6" t="s">
        <v>23</v>
      </c>
      <c r="C5" s="5" t="s">
        <v>24</v>
      </c>
      <c r="D5" s="5" t="s">
        <v>25</v>
      </c>
      <c r="E5" s="5" t="s">
        <v>26</v>
      </c>
      <c r="F5" s="6" t="s">
        <v>17</v>
      </c>
      <c r="G5" s="6" t="s">
        <v>18</v>
      </c>
    </row>
    <row r="6" spans="1:7" ht="25.5">
      <c r="A6" s="3">
        <v>88485110</v>
      </c>
      <c r="B6" s="4" t="s">
        <v>27</v>
      </c>
      <c r="C6" s="3" t="s">
        <v>28</v>
      </c>
      <c r="D6" s="3">
        <v>79679611111</v>
      </c>
      <c r="E6" s="3" t="s">
        <v>29</v>
      </c>
      <c r="F6" s="4" t="s">
        <v>17</v>
      </c>
      <c r="G6" s="4" t="s">
        <v>18</v>
      </c>
    </row>
    <row r="7" spans="1:7" ht="25.5">
      <c r="A7" s="5">
        <v>44524687</v>
      </c>
      <c r="B7" s="6" t="s">
        <v>30</v>
      </c>
      <c r="C7" s="5" t="s">
        <v>31</v>
      </c>
      <c r="D7" s="5">
        <v>79006474256</v>
      </c>
      <c r="E7" s="5" t="s">
        <v>32</v>
      </c>
      <c r="F7" s="6" t="s">
        <v>17</v>
      </c>
      <c r="G7" s="6" t="s">
        <v>18</v>
      </c>
    </row>
    <row r="8" spans="1:7" ht="25.5">
      <c r="A8" s="3">
        <v>58366228</v>
      </c>
      <c r="B8" s="4" t="s">
        <v>33</v>
      </c>
      <c r="C8" s="3" t="s">
        <v>34</v>
      </c>
      <c r="D8" s="3">
        <v>79263978128</v>
      </c>
      <c r="E8" s="3" t="s">
        <v>35</v>
      </c>
      <c r="F8" s="4" t="s">
        <v>17</v>
      </c>
      <c r="G8" s="4" t="s">
        <v>18</v>
      </c>
    </row>
    <row r="9" spans="1:7" ht="25.5">
      <c r="A9" s="5">
        <v>142861454</v>
      </c>
      <c r="B9" s="6" t="s">
        <v>36</v>
      </c>
      <c r="C9" s="5" t="s">
        <v>37</v>
      </c>
      <c r="D9" s="5" t="s">
        <v>38</v>
      </c>
      <c r="E9" s="5" t="s">
        <v>39</v>
      </c>
      <c r="F9" s="6" t="s">
        <v>17</v>
      </c>
      <c r="G9" s="6" t="s">
        <v>18</v>
      </c>
    </row>
    <row r="10" spans="1:7" ht="25.5">
      <c r="A10" s="3">
        <v>50612397</v>
      </c>
      <c r="B10" s="4" t="s">
        <v>40</v>
      </c>
      <c r="C10" s="3" t="s">
        <v>41</v>
      </c>
      <c r="D10" s="3">
        <v>79259105165</v>
      </c>
      <c r="E10" s="3" t="s">
        <v>42</v>
      </c>
      <c r="F10" s="4" t="s">
        <v>17</v>
      </c>
      <c r="G10" s="4" t="s">
        <v>18</v>
      </c>
    </row>
    <row r="11" spans="1:7" ht="25.5">
      <c r="A11" s="5">
        <v>72496872</v>
      </c>
      <c r="B11" s="6" t="s">
        <v>43</v>
      </c>
      <c r="C11" s="5" t="s">
        <v>44</v>
      </c>
      <c r="D11" s="5">
        <v>79156392705</v>
      </c>
      <c r="E11" s="5" t="s">
        <v>45</v>
      </c>
      <c r="F11" s="6" t="s">
        <v>17</v>
      </c>
      <c r="G11" s="6" t="s">
        <v>18</v>
      </c>
    </row>
    <row r="12" spans="1:7" ht="25.5">
      <c r="A12" s="3">
        <v>65519597</v>
      </c>
      <c r="B12" s="4" t="s">
        <v>46</v>
      </c>
      <c r="C12" s="3" t="s">
        <v>47</v>
      </c>
      <c r="D12" s="3">
        <v>79633605903</v>
      </c>
      <c r="E12" s="3" t="s">
        <v>48</v>
      </c>
      <c r="F12" s="4" t="s">
        <v>49</v>
      </c>
      <c r="G12" s="4" t="s">
        <v>50</v>
      </c>
    </row>
    <row r="13" spans="1:7" ht="25.5">
      <c r="A13" s="5">
        <v>80482136</v>
      </c>
      <c r="B13" s="6" t="s">
        <v>51</v>
      </c>
      <c r="C13" s="5" t="s">
        <v>52</v>
      </c>
      <c r="D13" s="5" t="s">
        <v>53</v>
      </c>
      <c r="E13" s="5" t="s">
        <v>54</v>
      </c>
      <c r="F13" s="6" t="s">
        <v>55</v>
      </c>
      <c r="G13" s="6" t="s">
        <v>56</v>
      </c>
    </row>
    <row r="14" spans="1:7" ht="25.5">
      <c r="A14" s="3">
        <v>113793863</v>
      </c>
      <c r="B14" s="4" t="s">
        <v>57</v>
      </c>
      <c r="C14" s="3" t="s">
        <v>58</v>
      </c>
      <c r="D14" s="3" t="s">
        <v>59</v>
      </c>
      <c r="E14" s="3" t="s">
        <v>60</v>
      </c>
      <c r="F14" s="4" t="s">
        <v>61</v>
      </c>
      <c r="G14" s="4" t="s">
        <v>62</v>
      </c>
    </row>
    <row r="15" spans="1:7" ht="14.25">
      <c r="A15" s="5">
        <v>55750410</v>
      </c>
      <c r="B15" s="6" t="s">
        <v>63</v>
      </c>
      <c r="C15" s="5" t="s">
        <v>64</v>
      </c>
      <c r="D15" s="5">
        <v>79897704789</v>
      </c>
      <c r="E15" s="5" t="s">
        <v>65</v>
      </c>
      <c r="F15" s="6" t="s">
        <v>55</v>
      </c>
      <c r="G15" s="6" t="s">
        <v>56</v>
      </c>
    </row>
    <row r="16" spans="1:7" ht="14.25">
      <c r="A16" s="3">
        <v>107383457</v>
      </c>
      <c r="B16" s="4" t="s">
        <v>66</v>
      </c>
      <c r="C16" s="3" t="s">
        <v>67</v>
      </c>
      <c r="D16" s="3" t="s">
        <v>68</v>
      </c>
      <c r="E16" s="3" t="s">
        <v>69</v>
      </c>
      <c r="F16" s="4" t="s">
        <v>70</v>
      </c>
      <c r="G16" s="4" t="s">
        <v>71</v>
      </c>
    </row>
    <row r="17" spans="1:7" ht="25.5">
      <c r="A17" s="5">
        <v>163563056</v>
      </c>
      <c r="B17" s="6" t="s">
        <v>72</v>
      </c>
      <c r="C17" s="5" t="s">
        <v>73</v>
      </c>
      <c r="D17" s="5" t="s">
        <v>74</v>
      </c>
      <c r="E17" s="5" t="s">
        <v>75</v>
      </c>
      <c r="F17" s="6" t="s">
        <v>76</v>
      </c>
      <c r="G17" s="6" t="s">
        <v>77</v>
      </c>
    </row>
    <row r="18" spans="1:7" ht="25.5">
      <c r="A18" s="3">
        <v>109319216</v>
      </c>
      <c r="B18" s="4" t="s">
        <v>78</v>
      </c>
      <c r="C18" s="3" t="s">
        <v>79</v>
      </c>
      <c r="D18" s="3" t="s">
        <v>80</v>
      </c>
      <c r="E18" s="3" t="s">
        <v>81</v>
      </c>
      <c r="F18" s="4" t="s">
        <v>82</v>
      </c>
      <c r="G18" s="4" t="s">
        <v>83</v>
      </c>
    </row>
    <row r="19" spans="1:7" ht="25.5">
      <c r="A19" s="5">
        <v>72157345</v>
      </c>
      <c r="B19" s="6" t="s">
        <v>84</v>
      </c>
      <c r="C19" s="5" t="s">
        <v>85</v>
      </c>
      <c r="D19" s="5" t="s">
        <v>86</v>
      </c>
      <c r="E19" s="5" t="s">
        <v>87</v>
      </c>
      <c r="F19" s="6" t="s">
        <v>88</v>
      </c>
      <c r="G19" s="6" t="s">
        <v>89</v>
      </c>
    </row>
    <row r="20" spans="1:7" ht="25.5">
      <c r="A20" s="3">
        <v>142861454</v>
      </c>
      <c r="B20" s="4" t="s">
        <v>36</v>
      </c>
      <c r="C20" s="3" t="s">
        <v>37</v>
      </c>
      <c r="D20" s="3" t="s">
        <v>38</v>
      </c>
      <c r="E20" s="3" t="s">
        <v>90</v>
      </c>
      <c r="F20" s="4" t="s">
        <v>91</v>
      </c>
      <c r="G20" s="4" t="s">
        <v>92</v>
      </c>
    </row>
    <row r="21" spans="1:7" ht="15.75" customHeight="1">
      <c r="A21" s="5">
        <v>136521059</v>
      </c>
      <c r="B21" s="6" t="s">
        <v>93</v>
      </c>
      <c r="C21" s="5" t="s">
        <v>94</v>
      </c>
      <c r="D21" s="5" t="s">
        <v>95</v>
      </c>
      <c r="E21" s="5" t="s">
        <v>96</v>
      </c>
      <c r="F21" s="6" t="s">
        <v>97</v>
      </c>
      <c r="G21" s="6" t="s">
        <v>98</v>
      </c>
    </row>
    <row r="22" spans="1:7" ht="15.75" customHeight="1">
      <c r="A22" s="3">
        <v>136521059</v>
      </c>
      <c r="B22" s="4" t="s">
        <v>93</v>
      </c>
      <c r="C22" s="3" t="s">
        <v>94</v>
      </c>
      <c r="D22" s="3" t="s">
        <v>95</v>
      </c>
      <c r="E22" s="3" t="s">
        <v>99</v>
      </c>
      <c r="F22" s="4" t="s">
        <v>97</v>
      </c>
      <c r="G22" s="4" t="s">
        <v>98</v>
      </c>
    </row>
    <row r="23" spans="1:7" ht="15.75" customHeight="1">
      <c r="A23" s="5">
        <v>142861454</v>
      </c>
      <c r="B23" s="6" t="s">
        <v>36</v>
      </c>
      <c r="C23" s="5" t="s">
        <v>37</v>
      </c>
      <c r="D23" s="5" t="s">
        <v>38</v>
      </c>
      <c r="E23" s="5" t="s">
        <v>100</v>
      </c>
      <c r="F23" s="6" t="s">
        <v>91</v>
      </c>
      <c r="G23" s="6" t="s">
        <v>92</v>
      </c>
    </row>
    <row r="24" spans="1:7" ht="15.75" customHeight="1">
      <c r="A24" s="3">
        <v>160450708</v>
      </c>
      <c r="B24" s="4" t="s">
        <v>101</v>
      </c>
      <c r="C24" s="3" t="s">
        <v>102</v>
      </c>
      <c r="D24" s="3" t="s">
        <v>103</v>
      </c>
      <c r="E24" s="3" t="s">
        <v>104</v>
      </c>
      <c r="F24" s="4" t="s">
        <v>91</v>
      </c>
      <c r="G24" s="4" t="s">
        <v>92</v>
      </c>
    </row>
    <row r="25" spans="1:7" ht="15.75" customHeight="1">
      <c r="A25" s="5">
        <v>90352678</v>
      </c>
      <c r="B25" s="6" t="s">
        <v>105</v>
      </c>
      <c r="C25" s="5" t="s">
        <v>106</v>
      </c>
      <c r="D25" s="5" t="s">
        <v>107</v>
      </c>
      <c r="E25" s="5" t="s">
        <v>108</v>
      </c>
      <c r="F25" s="6" t="s">
        <v>82</v>
      </c>
      <c r="G25" s="6" t="s">
        <v>83</v>
      </c>
    </row>
    <row r="26" spans="1:7" ht="15.75" customHeight="1">
      <c r="A26" s="3">
        <v>59988008</v>
      </c>
      <c r="B26" s="4" t="s">
        <v>109</v>
      </c>
      <c r="C26" s="3" t="s">
        <v>110</v>
      </c>
      <c r="D26" s="3">
        <v>79263535558</v>
      </c>
      <c r="E26" s="3" t="s">
        <v>111</v>
      </c>
      <c r="F26" s="4" t="s">
        <v>91</v>
      </c>
      <c r="G26" s="4" t="s">
        <v>92</v>
      </c>
    </row>
    <row r="27" spans="1:7" ht="15.75" customHeight="1">
      <c r="A27" s="5">
        <v>96326091</v>
      </c>
      <c r="B27" s="6" t="s">
        <v>112</v>
      </c>
      <c r="C27" s="5" t="s">
        <v>113</v>
      </c>
      <c r="D27" s="5">
        <v>37126748038</v>
      </c>
      <c r="E27" s="5" t="s">
        <v>114</v>
      </c>
      <c r="F27" s="6" t="s">
        <v>115</v>
      </c>
      <c r="G27" s="6" t="s">
        <v>116</v>
      </c>
    </row>
    <row r="28" spans="1:7" ht="15.75" customHeight="1">
      <c r="A28" s="3">
        <v>73683798</v>
      </c>
      <c r="B28" s="4" t="s">
        <v>117</v>
      </c>
      <c r="C28" s="3" t="s">
        <v>118</v>
      </c>
      <c r="D28" s="3">
        <v>375297604563</v>
      </c>
      <c r="E28" s="3" t="s">
        <v>119</v>
      </c>
      <c r="F28" s="4" t="s">
        <v>88</v>
      </c>
      <c r="G28" s="4" t="s">
        <v>89</v>
      </c>
    </row>
    <row r="29" spans="1:7" ht="15.75" customHeight="1">
      <c r="A29" s="5">
        <v>69469106</v>
      </c>
      <c r="B29" s="6" t="s">
        <v>120</v>
      </c>
      <c r="C29" s="5" t="s">
        <v>121</v>
      </c>
      <c r="D29" s="5" t="s">
        <v>122</v>
      </c>
      <c r="E29" s="5" t="s">
        <v>123</v>
      </c>
      <c r="F29" s="6" t="s">
        <v>55</v>
      </c>
      <c r="G29" s="6" t="s">
        <v>56</v>
      </c>
    </row>
    <row r="30" spans="1:7" ht="15.75" customHeight="1">
      <c r="A30" s="3">
        <v>64579474</v>
      </c>
      <c r="B30" s="4" t="s">
        <v>124</v>
      </c>
      <c r="C30" s="3" t="s">
        <v>125</v>
      </c>
      <c r="D30" s="3">
        <v>380713212251</v>
      </c>
      <c r="E30" s="3" t="s">
        <v>126</v>
      </c>
      <c r="F30" s="4" t="s">
        <v>127</v>
      </c>
      <c r="G30" s="4" t="s">
        <v>56</v>
      </c>
    </row>
    <row r="31" spans="1:7" ht="15.75" customHeight="1">
      <c r="A31" s="5">
        <v>162376459</v>
      </c>
      <c r="B31" s="6" t="s">
        <v>128</v>
      </c>
      <c r="C31" s="5" t="s">
        <v>129</v>
      </c>
      <c r="D31" s="5" t="s">
        <v>130</v>
      </c>
      <c r="E31" s="5" t="s">
        <v>131</v>
      </c>
      <c r="F31" s="6" t="s">
        <v>115</v>
      </c>
      <c r="G31" s="6" t="s">
        <v>116</v>
      </c>
    </row>
    <row r="32" spans="1:7" ht="15.75" customHeight="1">
      <c r="A32" s="3">
        <v>80482136</v>
      </c>
      <c r="B32" s="4" t="s">
        <v>51</v>
      </c>
      <c r="C32" s="3" t="s">
        <v>52</v>
      </c>
      <c r="D32" s="3" t="s">
        <v>53</v>
      </c>
      <c r="E32" s="3" t="s">
        <v>132</v>
      </c>
      <c r="F32" s="4" t="s">
        <v>55</v>
      </c>
      <c r="G32" s="4" t="s">
        <v>56</v>
      </c>
    </row>
    <row r="33" spans="1:7" ht="15.75" customHeight="1">
      <c r="A33" s="5">
        <v>146814109</v>
      </c>
      <c r="B33" s="6" t="s">
        <v>133</v>
      </c>
      <c r="C33" s="5" t="s">
        <v>134</v>
      </c>
      <c r="D33" s="5" t="s">
        <v>135</v>
      </c>
      <c r="E33" s="5" t="s">
        <v>136</v>
      </c>
      <c r="F33" s="6" t="s">
        <v>91</v>
      </c>
      <c r="G33" s="6" t="s">
        <v>92</v>
      </c>
    </row>
    <row r="34" spans="1:7" ht="15.75" customHeight="1">
      <c r="A34" s="3">
        <v>74506456</v>
      </c>
      <c r="B34" s="4" t="s">
        <v>137</v>
      </c>
      <c r="C34" s="3" t="s">
        <v>138</v>
      </c>
      <c r="D34" s="3" t="s">
        <v>139</v>
      </c>
      <c r="E34" s="3" t="s">
        <v>140</v>
      </c>
      <c r="F34" s="4" t="s">
        <v>141</v>
      </c>
      <c r="G34" s="4" t="s">
        <v>56</v>
      </c>
    </row>
    <row r="35" spans="1:7" ht="15.75" customHeight="1">
      <c r="A35" s="5">
        <v>142861454</v>
      </c>
      <c r="B35" s="6" t="s">
        <v>36</v>
      </c>
      <c r="C35" s="5" t="s">
        <v>37</v>
      </c>
      <c r="D35" s="5" t="s">
        <v>38</v>
      </c>
      <c r="E35" s="5" t="s">
        <v>142</v>
      </c>
      <c r="F35" s="6" t="s">
        <v>91</v>
      </c>
      <c r="G35" s="6" t="s">
        <v>92</v>
      </c>
    </row>
    <row r="36" spans="1:7" ht="15.75" customHeight="1">
      <c r="A36" s="3">
        <v>74506456</v>
      </c>
      <c r="B36" s="4" t="s">
        <v>137</v>
      </c>
      <c r="C36" s="3" t="s">
        <v>138</v>
      </c>
      <c r="D36" s="3" t="s">
        <v>139</v>
      </c>
      <c r="E36" s="3" t="s">
        <v>143</v>
      </c>
      <c r="F36" s="4" t="s">
        <v>141</v>
      </c>
      <c r="G36" s="4" t="s">
        <v>56</v>
      </c>
    </row>
    <row r="37" spans="1:7" ht="15.75" customHeight="1">
      <c r="A37" s="5">
        <v>92965067</v>
      </c>
      <c r="B37" s="6" t="s">
        <v>144</v>
      </c>
      <c r="C37" s="5" t="s">
        <v>145</v>
      </c>
      <c r="D37" s="5" t="s">
        <v>146</v>
      </c>
      <c r="E37" s="5" t="s">
        <v>147</v>
      </c>
      <c r="F37" s="6" t="s">
        <v>148</v>
      </c>
      <c r="G37" s="6" t="s">
        <v>149</v>
      </c>
    </row>
    <row r="38" spans="1:7" ht="15.75" customHeight="1">
      <c r="A38" s="3">
        <v>138863844</v>
      </c>
      <c r="B38" s="4" t="s">
        <v>150</v>
      </c>
      <c r="C38" s="3" t="s">
        <v>151</v>
      </c>
      <c r="D38" s="3" t="s">
        <v>152</v>
      </c>
      <c r="E38" s="3" t="s">
        <v>153</v>
      </c>
      <c r="F38" s="4" t="s">
        <v>154</v>
      </c>
      <c r="G38" s="4" t="s">
        <v>155</v>
      </c>
    </row>
    <row r="39" spans="1:7" ht="15.75" customHeight="1">
      <c r="A39" s="5">
        <v>123081043</v>
      </c>
      <c r="B39" s="6" t="s">
        <v>156</v>
      </c>
      <c r="C39" s="5" t="s">
        <v>157</v>
      </c>
      <c r="D39" s="5" t="s">
        <v>158</v>
      </c>
      <c r="E39" s="5" t="s">
        <v>159</v>
      </c>
      <c r="F39" s="6" t="s">
        <v>148</v>
      </c>
      <c r="G39" s="6" t="s">
        <v>149</v>
      </c>
    </row>
    <row r="40" spans="1:7" ht="15.75" customHeight="1">
      <c r="A40" s="3">
        <v>99974439</v>
      </c>
      <c r="B40" s="4" t="s">
        <v>160</v>
      </c>
      <c r="C40" s="3" t="s">
        <v>161</v>
      </c>
      <c r="D40" s="3" t="s">
        <v>162</v>
      </c>
      <c r="E40" s="3" t="s">
        <v>163</v>
      </c>
      <c r="F40" s="4" t="s">
        <v>55</v>
      </c>
      <c r="G40" s="4" t="s">
        <v>56</v>
      </c>
    </row>
    <row r="41" spans="1:7" ht="15.75" customHeight="1">
      <c r="A41" s="5">
        <v>99974439</v>
      </c>
      <c r="B41" s="6" t="s">
        <v>160</v>
      </c>
      <c r="C41" s="5" t="s">
        <v>161</v>
      </c>
      <c r="D41" s="5" t="s">
        <v>162</v>
      </c>
      <c r="E41" s="5" t="s">
        <v>164</v>
      </c>
      <c r="F41" s="6" t="s">
        <v>55</v>
      </c>
      <c r="G41" s="6" t="s">
        <v>56</v>
      </c>
    </row>
    <row r="42" spans="1:7" ht="15.75" customHeight="1">
      <c r="A42" s="3">
        <v>45752685</v>
      </c>
      <c r="B42" s="4" t="s">
        <v>165</v>
      </c>
      <c r="C42" s="3" t="s">
        <v>166</v>
      </c>
      <c r="D42" s="3" t="s">
        <v>167</v>
      </c>
      <c r="E42" s="3" t="s">
        <v>168</v>
      </c>
      <c r="F42" s="4" t="s">
        <v>91</v>
      </c>
      <c r="G42" s="4" t="s">
        <v>92</v>
      </c>
    </row>
    <row r="43" spans="1:7" ht="15.75" customHeight="1">
      <c r="A43" s="5">
        <v>79139679</v>
      </c>
      <c r="B43" s="6" t="s">
        <v>169</v>
      </c>
      <c r="C43" s="5" t="s">
        <v>170</v>
      </c>
      <c r="D43" s="5">
        <v>77775256550</v>
      </c>
      <c r="E43" s="5" t="s">
        <v>171</v>
      </c>
      <c r="F43" s="6" t="s">
        <v>172</v>
      </c>
      <c r="G43" s="6" t="s">
        <v>173</v>
      </c>
    </row>
    <row r="44" spans="1:7" ht="15.75" customHeight="1">
      <c r="A44" s="3">
        <v>126795043</v>
      </c>
      <c r="B44" s="4" t="s">
        <v>174</v>
      </c>
      <c r="C44" s="3" t="s">
        <v>175</v>
      </c>
      <c r="D44" s="3" t="s">
        <v>176</v>
      </c>
      <c r="E44" s="3" t="s">
        <v>177</v>
      </c>
      <c r="F44" s="4" t="s">
        <v>172</v>
      </c>
      <c r="G44" s="4" t="s">
        <v>173</v>
      </c>
    </row>
    <row r="45" spans="1:7" ht="15.75" customHeight="1">
      <c r="A45" s="5">
        <v>127549104</v>
      </c>
      <c r="B45" s="6" t="s">
        <v>178</v>
      </c>
      <c r="C45" s="5" t="s">
        <v>179</v>
      </c>
      <c r="D45" s="5" t="s">
        <v>180</v>
      </c>
      <c r="E45" s="5" t="s">
        <v>181</v>
      </c>
      <c r="F45" s="6" t="s">
        <v>141</v>
      </c>
      <c r="G45" s="6" t="s">
        <v>56</v>
      </c>
    </row>
    <row r="46" spans="1:7" ht="15.75" customHeight="1">
      <c r="A46" s="3">
        <v>78223056</v>
      </c>
      <c r="B46" s="4" t="s">
        <v>182</v>
      </c>
      <c r="C46" s="3" t="s">
        <v>183</v>
      </c>
      <c r="D46" s="3">
        <v>79161528379</v>
      </c>
      <c r="E46" s="3" t="s">
        <v>184</v>
      </c>
      <c r="F46" s="4" t="s">
        <v>55</v>
      </c>
      <c r="G46" s="4" t="s">
        <v>56</v>
      </c>
    </row>
    <row r="47" spans="1:7" ht="15.75" customHeight="1">
      <c r="A47" s="5">
        <v>82972451</v>
      </c>
      <c r="B47" s="6" t="s">
        <v>185</v>
      </c>
      <c r="C47" s="5" t="s">
        <v>186</v>
      </c>
      <c r="D47" s="5" t="s">
        <v>187</v>
      </c>
      <c r="E47" s="5" t="s">
        <v>188</v>
      </c>
      <c r="F47" s="6" t="s">
        <v>172</v>
      </c>
      <c r="G47" s="6" t="s">
        <v>173</v>
      </c>
    </row>
    <row r="48" spans="1:7" ht="15.75" customHeight="1">
      <c r="A48" s="3">
        <v>160455805</v>
      </c>
      <c r="B48" s="4" t="s">
        <v>189</v>
      </c>
      <c r="C48" s="3" t="s">
        <v>190</v>
      </c>
      <c r="D48" s="3" t="s">
        <v>191</v>
      </c>
      <c r="E48" s="3" t="s">
        <v>192</v>
      </c>
      <c r="F48" s="4" t="s">
        <v>193</v>
      </c>
      <c r="G48" s="4" t="s">
        <v>194</v>
      </c>
    </row>
    <row r="49" spans="1:7" ht="15.75" customHeight="1">
      <c r="A49" s="5">
        <v>109319216</v>
      </c>
      <c r="B49" s="6" t="s">
        <v>78</v>
      </c>
      <c r="C49" s="5" t="s">
        <v>79</v>
      </c>
      <c r="D49" s="5" t="s">
        <v>80</v>
      </c>
      <c r="E49" s="5" t="s">
        <v>195</v>
      </c>
      <c r="F49" s="6" t="s">
        <v>196</v>
      </c>
      <c r="G49" s="6" t="s">
        <v>197</v>
      </c>
    </row>
    <row r="50" spans="1:7" ht="15.75" customHeight="1">
      <c r="A50" s="3">
        <v>108939949</v>
      </c>
      <c r="B50" s="4" t="s">
        <v>198</v>
      </c>
      <c r="C50" s="3" t="s">
        <v>199</v>
      </c>
      <c r="D50" s="3">
        <v>79519415950</v>
      </c>
      <c r="E50" s="3" t="s">
        <v>200</v>
      </c>
      <c r="F50" s="4" t="s">
        <v>55</v>
      </c>
      <c r="G50" s="4" t="s">
        <v>56</v>
      </c>
    </row>
    <row r="51" spans="1:7" ht="15.75" customHeight="1">
      <c r="A51" s="5">
        <v>49299703</v>
      </c>
      <c r="B51" s="6" t="s">
        <v>201</v>
      </c>
      <c r="C51" s="5" t="s">
        <v>202</v>
      </c>
      <c r="D51" s="5">
        <v>491637889400</v>
      </c>
      <c r="E51" s="5" t="s">
        <v>203</v>
      </c>
      <c r="F51" s="6" t="s">
        <v>204</v>
      </c>
      <c r="G51" s="6" t="s">
        <v>205</v>
      </c>
    </row>
    <row r="52" spans="1:7" ht="15.75" customHeight="1">
      <c r="A52" s="3">
        <v>107858032</v>
      </c>
      <c r="B52" s="4" t="s">
        <v>206</v>
      </c>
      <c r="C52" s="3" t="s">
        <v>207</v>
      </c>
      <c r="D52" s="3" t="s">
        <v>208</v>
      </c>
      <c r="E52" s="3" t="s">
        <v>209</v>
      </c>
      <c r="F52" s="4" t="s">
        <v>210</v>
      </c>
      <c r="G52" s="4" t="s">
        <v>211</v>
      </c>
    </row>
    <row r="53" spans="1:7" ht="15.75" customHeight="1">
      <c r="A53" s="5">
        <v>72157345</v>
      </c>
      <c r="B53" s="6" t="s">
        <v>84</v>
      </c>
      <c r="C53" s="5" t="s">
        <v>85</v>
      </c>
      <c r="D53" s="5" t="s">
        <v>86</v>
      </c>
      <c r="E53" s="5" t="s">
        <v>212</v>
      </c>
      <c r="F53" s="6" t="s">
        <v>213</v>
      </c>
      <c r="G53" s="6" t="s">
        <v>89</v>
      </c>
    </row>
    <row r="54" spans="1:7" ht="15.75" customHeight="1">
      <c r="A54" s="3">
        <v>113703450</v>
      </c>
      <c r="B54" s="4" t="s">
        <v>23</v>
      </c>
      <c r="C54" s="3" t="s">
        <v>24</v>
      </c>
      <c r="D54" s="3" t="s">
        <v>25</v>
      </c>
      <c r="E54" s="3" t="s">
        <v>214</v>
      </c>
      <c r="F54" s="4" t="s">
        <v>55</v>
      </c>
      <c r="G54" s="4" t="s">
        <v>56</v>
      </c>
    </row>
    <row r="55" spans="1:7" ht="15.75" customHeight="1">
      <c r="A55" s="5">
        <v>50643476</v>
      </c>
      <c r="B55" s="6" t="s">
        <v>215</v>
      </c>
      <c r="C55" s="5" t="s">
        <v>216</v>
      </c>
      <c r="D55" s="5">
        <v>375297330814</v>
      </c>
      <c r="E55" s="5" t="s">
        <v>217</v>
      </c>
      <c r="F55" s="6" t="s">
        <v>55</v>
      </c>
      <c r="G55" s="6" t="s">
        <v>56</v>
      </c>
    </row>
    <row r="56" spans="1:7" ht="15.75" customHeight="1">
      <c r="A56" s="3">
        <v>62845648</v>
      </c>
      <c r="B56" s="4" t="s">
        <v>218</v>
      </c>
      <c r="C56" s="3" t="s">
        <v>219</v>
      </c>
      <c r="D56" s="3">
        <v>380996472209</v>
      </c>
      <c r="E56" s="3" t="s">
        <v>220</v>
      </c>
      <c r="F56" s="4" t="s">
        <v>221</v>
      </c>
      <c r="G56" s="4" t="s">
        <v>222</v>
      </c>
    </row>
    <row r="57" spans="1:7" ht="15.75" customHeight="1">
      <c r="A57" s="5">
        <v>161795029</v>
      </c>
      <c r="B57" s="6" t="s">
        <v>223</v>
      </c>
      <c r="C57" s="5" t="s">
        <v>224</v>
      </c>
      <c r="D57" s="5" t="s">
        <v>225</v>
      </c>
      <c r="E57" s="5" t="s">
        <v>226</v>
      </c>
      <c r="F57" s="6" t="s">
        <v>55</v>
      </c>
      <c r="G57" s="6" t="s">
        <v>56</v>
      </c>
    </row>
    <row r="58" spans="1:7" ht="15.75" customHeight="1">
      <c r="A58" s="3">
        <v>113703450</v>
      </c>
      <c r="B58" s="4" t="s">
        <v>23</v>
      </c>
      <c r="C58" s="3" t="s">
        <v>24</v>
      </c>
      <c r="D58" s="3" t="s">
        <v>25</v>
      </c>
      <c r="E58" s="3" t="s">
        <v>227</v>
      </c>
      <c r="F58" s="4" t="s">
        <v>228</v>
      </c>
      <c r="G58" s="4" t="s">
        <v>229</v>
      </c>
    </row>
    <row r="59" spans="1:7" ht="15.75" customHeight="1">
      <c r="A59" s="5">
        <v>76610416</v>
      </c>
      <c r="B59" s="6" t="s">
        <v>230</v>
      </c>
      <c r="C59" s="5" t="s">
        <v>231</v>
      </c>
      <c r="D59" s="5" t="s">
        <v>232</v>
      </c>
      <c r="E59" s="5" t="s">
        <v>233</v>
      </c>
      <c r="F59" s="6" t="s">
        <v>76</v>
      </c>
      <c r="G59" s="6" t="s">
        <v>77</v>
      </c>
    </row>
    <row r="60" spans="1:7" ht="15.75" customHeight="1">
      <c r="A60" s="3">
        <v>76610416</v>
      </c>
      <c r="B60" s="4" t="s">
        <v>230</v>
      </c>
      <c r="C60" s="3" t="s">
        <v>231</v>
      </c>
      <c r="D60" s="3" t="s">
        <v>232</v>
      </c>
      <c r="E60" s="3" t="s">
        <v>234</v>
      </c>
      <c r="F60" s="4" t="s">
        <v>76</v>
      </c>
      <c r="G60" s="4" t="s">
        <v>77</v>
      </c>
    </row>
    <row r="61" spans="1:7" ht="15.75" customHeight="1">
      <c r="A61" s="5">
        <v>76610416</v>
      </c>
      <c r="B61" s="6" t="s">
        <v>230</v>
      </c>
      <c r="C61" s="5" t="s">
        <v>231</v>
      </c>
      <c r="D61" s="5" t="s">
        <v>232</v>
      </c>
      <c r="E61" s="5" t="s">
        <v>235</v>
      </c>
      <c r="F61" s="6" t="s">
        <v>76</v>
      </c>
      <c r="G61" s="6" t="s">
        <v>77</v>
      </c>
    </row>
    <row r="62" spans="1:7" ht="15.75" customHeight="1">
      <c r="A62" s="3">
        <v>145077800</v>
      </c>
      <c r="B62" s="4" t="s">
        <v>236</v>
      </c>
      <c r="C62" s="3" t="s">
        <v>237</v>
      </c>
      <c r="D62" s="3" t="s">
        <v>238</v>
      </c>
      <c r="E62" s="3" t="s">
        <v>239</v>
      </c>
      <c r="F62" s="4" t="s">
        <v>55</v>
      </c>
      <c r="G62" s="4" t="s">
        <v>56</v>
      </c>
    </row>
    <row r="63" spans="1:7" ht="15.75" customHeight="1">
      <c r="A63" s="5">
        <v>87407143</v>
      </c>
      <c r="B63" s="6" t="s">
        <v>240</v>
      </c>
      <c r="C63" s="5" t="s">
        <v>241</v>
      </c>
      <c r="D63" s="5" t="s">
        <v>242</v>
      </c>
      <c r="E63" s="5" t="s">
        <v>243</v>
      </c>
      <c r="F63" s="6" t="s">
        <v>148</v>
      </c>
      <c r="G63" s="6" t="s">
        <v>149</v>
      </c>
    </row>
    <row r="64" spans="1:7" ht="15.75" customHeight="1">
      <c r="A64" s="3">
        <v>68098777</v>
      </c>
      <c r="B64" s="4" t="s">
        <v>244</v>
      </c>
      <c r="C64" s="3" t="s">
        <v>245</v>
      </c>
      <c r="D64" s="3">
        <v>491708879669</v>
      </c>
      <c r="E64" s="3" t="s">
        <v>246</v>
      </c>
      <c r="F64" s="4" t="s">
        <v>196</v>
      </c>
      <c r="G64" s="4" t="s">
        <v>197</v>
      </c>
    </row>
    <row r="65" spans="1:7" ht="15.75" customHeight="1">
      <c r="A65" s="5">
        <v>43528937</v>
      </c>
      <c r="B65" s="6" t="s">
        <v>247</v>
      </c>
      <c r="C65" s="5" t="s">
        <v>248</v>
      </c>
      <c r="D65" s="5">
        <v>79281794882</v>
      </c>
      <c r="E65" s="5" t="s">
        <v>249</v>
      </c>
      <c r="F65" s="6" t="s">
        <v>55</v>
      </c>
      <c r="G65" s="6" t="s">
        <v>56</v>
      </c>
    </row>
    <row r="66" spans="1:7" ht="15.75" customHeight="1">
      <c r="A66" s="3">
        <v>47349198</v>
      </c>
      <c r="B66" s="4" t="s">
        <v>250</v>
      </c>
      <c r="C66" s="3" t="s">
        <v>251</v>
      </c>
      <c r="D66" s="3">
        <v>79030986224</v>
      </c>
      <c r="E66" s="3" t="s">
        <v>252</v>
      </c>
      <c r="F66" s="4" t="s">
        <v>253</v>
      </c>
      <c r="G66" s="4" t="s">
        <v>254</v>
      </c>
    </row>
    <row r="67" spans="1:7" ht="15.75" customHeight="1">
      <c r="A67" s="5">
        <v>157340922</v>
      </c>
      <c r="B67" s="6" t="s">
        <v>255</v>
      </c>
      <c r="C67" s="5" t="s">
        <v>256</v>
      </c>
      <c r="D67" s="5" t="s">
        <v>257</v>
      </c>
      <c r="E67" s="5" t="s">
        <v>258</v>
      </c>
      <c r="F67" s="6" t="s">
        <v>259</v>
      </c>
      <c r="G67" s="6" t="s">
        <v>260</v>
      </c>
    </row>
    <row r="68" spans="1:7" ht="15.75" customHeight="1">
      <c r="A68" s="3">
        <v>114710165</v>
      </c>
      <c r="B68" s="4" t="s">
        <v>261</v>
      </c>
      <c r="C68" s="3" t="s">
        <v>262</v>
      </c>
      <c r="D68" s="3">
        <v>79181351575</v>
      </c>
      <c r="E68" s="3" t="s">
        <v>263</v>
      </c>
      <c r="F68" s="4" t="s">
        <v>70</v>
      </c>
      <c r="G68" s="4" t="s">
        <v>71</v>
      </c>
    </row>
    <row r="69" spans="1:7" ht="15.75" customHeight="1">
      <c r="A69" s="5">
        <v>122542795</v>
      </c>
      <c r="B69" s="6" t="s">
        <v>264</v>
      </c>
      <c r="C69" s="5" t="s">
        <v>265</v>
      </c>
      <c r="D69" s="5" t="s">
        <v>266</v>
      </c>
      <c r="E69" s="5" t="s">
        <v>267</v>
      </c>
      <c r="F69" s="6" t="s">
        <v>82</v>
      </c>
      <c r="G69" s="6" t="s">
        <v>83</v>
      </c>
    </row>
    <row r="70" spans="1:7" ht="15.75" customHeight="1">
      <c r="A70" s="3">
        <v>113703450</v>
      </c>
      <c r="B70" s="4" t="s">
        <v>23</v>
      </c>
      <c r="C70" s="3" t="s">
        <v>24</v>
      </c>
      <c r="D70" s="3" t="s">
        <v>25</v>
      </c>
      <c r="E70" s="3" t="s">
        <v>268</v>
      </c>
      <c r="F70" s="4" t="s">
        <v>269</v>
      </c>
      <c r="G70" s="4" t="s">
        <v>270</v>
      </c>
    </row>
    <row r="71" spans="1:7" ht="15.75" customHeight="1">
      <c r="A71" s="5">
        <v>50612397</v>
      </c>
      <c r="B71" s="6" t="s">
        <v>40</v>
      </c>
      <c r="C71" s="5" t="s">
        <v>41</v>
      </c>
      <c r="D71" s="5">
        <v>79259105165</v>
      </c>
      <c r="E71" s="5" t="s">
        <v>271</v>
      </c>
      <c r="F71" s="6" t="s">
        <v>269</v>
      </c>
      <c r="G71" s="6" t="s">
        <v>270</v>
      </c>
    </row>
    <row r="72" spans="1:7" ht="15.75" customHeight="1">
      <c r="A72" s="3">
        <v>142861454</v>
      </c>
      <c r="B72" s="4" t="s">
        <v>36</v>
      </c>
      <c r="C72" s="3" t="s">
        <v>37</v>
      </c>
      <c r="D72" s="3" t="s">
        <v>38</v>
      </c>
      <c r="E72" s="3" t="s">
        <v>272</v>
      </c>
      <c r="F72" s="4" t="s">
        <v>269</v>
      </c>
      <c r="G72" s="4" t="s">
        <v>270</v>
      </c>
    </row>
    <row r="73" spans="1:7" ht="15.75" customHeight="1">
      <c r="A73" s="5">
        <v>44524687</v>
      </c>
      <c r="B73" s="6" t="s">
        <v>30</v>
      </c>
      <c r="C73" s="5" t="s">
        <v>31</v>
      </c>
      <c r="D73" s="5">
        <v>79006474256</v>
      </c>
      <c r="E73" s="5" t="s">
        <v>272</v>
      </c>
      <c r="F73" s="6" t="s">
        <v>269</v>
      </c>
      <c r="G73" s="6" t="s">
        <v>270</v>
      </c>
    </row>
    <row r="74" spans="1:7" ht="15.75" customHeight="1">
      <c r="A74" s="3">
        <v>88485110</v>
      </c>
      <c r="B74" s="4" t="s">
        <v>27</v>
      </c>
      <c r="C74" s="3" t="s">
        <v>28</v>
      </c>
      <c r="D74" s="3">
        <v>79679611111</v>
      </c>
      <c r="E74" s="3" t="s">
        <v>273</v>
      </c>
      <c r="F74" s="4" t="s">
        <v>269</v>
      </c>
      <c r="G74" s="4" t="s">
        <v>270</v>
      </c>
    </row>
    <row r="75" spans="1:7" ht="15.75" customHeight="1">
      <c r="A75" s="5">
        <v>122385279</v>
      </c>
      <c r="B75" s="6" t="s">
        <v>9</v>
      </c>
      <c r="C75" s="5" t="s">
        <v>10</v>
      </c>
      <c r="D75" s="5"/>
      <c r="E75" s="5" t="s">
        <v>273</v>
      </c>
      <c r="F75" s="6" t="s">
        <v>274</v>
      </c>
      <c r="G75" s="6" t="s">
        <v>275</v>
      </c>
    </row>
    <row r="76" spans="1:7" ht="15.75" customHeight="1">
      <c r="A76" s="3">
        <v>69226375</v>
      </c>
      <c r="B76" s="4" t="s">
        <v>14</v>
      </c>
      <c r="C76" s="3" t="s">
        <v>15</v>
      </c>
      <c r="D76" s="3">
        <v>79774294072</v>
      </c>
      <c r="E76" s="3" t="s">
        <v>273</v>
      </c>
      <c r="F76" s="4" t="s">
        <v>269</v>
      </c>
      <c r="G76" s="4" t="s">
        <v>270</v>
      </c>
    </row>
    <row r="77" spans="1:7" ht="15.75" customHeight="1">
      <c r="A77" s="5">
        <v>108279800</v>
      </c>
      <c r="B77" s="6" t="s">
        <v>19</v>
      </c>
      <c r="C77" s="5" t="s">
        <v>20</v>
      </c>
      <c r="D77" s="5" t="s">
        <v>21</v>
      </c>
      <c r="E77" s="5" t="s">
        <v>276</v>
      </c>
      <c r="F77" s="6" t="s">
        <v>274</v>
      </c>
      <c r="G77" s="6" t="s">
        <v>275</v>
      </c>
    </row>
    <row r="78" spans="1:7" ht="15.75" customHeight="1">
      <c r="A78" s="3">
        <v>58366228</v>
      </c>
      <c r="B78" s="4" t="s">
        <v>33</v>
      </c>
      <c r="C78" s="3" t="s">
        <v>34</v>
      </c>
      <c r="D78" s="3">
        <v>79263978128</v>
      </c>
      <c r="E78" s="3" t="s">
        <v>277</v>
      </c>
      <c r="F78" s="4" t="s">
        <v>269</v>
      </c>
      <c r="G78" s="4" t="s">
        <v>270</v>
      </c>
    </row>
    <row r="79" spans="1:7" ht="15.75" customHeight="1">
      <c r="A79" s="5">
        <v>72496872</v>
      </c>
      <c r="B79" s="6" t="s">
        <v>43</v>
      </c>
      <c r="C79" s="5" t="s">
        <v>44</v>
      </c>
      <c r="D79" s="5">
        <v>79156392705</v>
      </c>
      <c r="E79" s="5" t="s">
        <v>278</v>
      </c>
      <c r="F79" s="6" t="s">
        <v>269</v>
      </c>
      <c r="G79" s="6" t="s">
        <v>270</v>
      </c>
    </row>
    <row r="80" spans="1:7" ht="15.75" customHeight="1">
      <c r="A80" s="3">
        <v>114710165</v>
      </c>
      <c r="B80" s="4" t="s">
        <v>261</v>
      </c>
      <c r="C80" s="3" t="s">
        <v>262</v>
      </c>
      <c r="D80" s="3">
        <v>79181351575</v>
      </c>
      <c r="E80" s="3" t="s">
        <v>279</v>
      </c>
      <c r="F80" s="4" t="s">
        <v>91</v>
      </c>
      <c r="G80" s="4" t="s">
        <v>92</v>
      </c>
    </row>
    <row r="81" spans="1:7" ht="15.75" customHeight="1">
      <c r="A81" s="5">
        <v>138863844</v>
      </c>
      <c r="B81" s="6" t="s">
        <v>150</v>
      </c>
      <c r="C81" s="5" t="s">
        <v>151</v>
      </c>
      <c r="D81" s="5" t="s">
        <v>152</v>
      </c>
      <c r="E81" s="5" t="s">
        <v>280</v>
      </c>
      <c r="F81" s="6" t="s">
        <v>281</v>
      </c>
      <c r="G81" s="6" t="s">
        <v>282</v>
      </c>
    </row>
    <row r="82" spans="1:7" ht="15.75" customHeight="1">
      <c r="A82" s="3">
        <v>87978421</v>
      </c>
      <c r="B82" s="4" t="s">
        <v>283</v>
      </c>
      <c r="C82" s="3" t="s">
        <v>284</v>
      </c>
      <c r="D82" s="3">
        <v>375296783690</v>
      </c>
      <c r="E82" s="3" t="s">
        <v>285</v>
      </c>
      <c r="F82" s="4" t="s">
        <v>55</v>
      </c>
      <c r="G82" s="4" t="s">
        <v>56</v>
      </c>
    </row>
    <row r="83" spans="1:7" ht="15.75" customHeight="1">
      <c r="A83" s="5">
        <v>82489095</v>
      </c>
      <c r="B83" s="6" t="s">
        <v>286</v>
      </c>
      <c r="C83" s="5" t="s">
        <v>287</v>
      </c>
      <c r="D83" s="5">
        <v>79875327379</v>
      </c>
      <c r="E83" s="5" t="s">
        <v>288</v>
      </c>
      <c r="F83" s="6" t="s">
        <v>141</v>
      </c>
      <c r="G83" s="6" t="s">
        <v>56</v>
      </c>
    </row>
    <row r="84" spans="1:7" ht="15.75" customHeight="1">
      <c r="A84" s="3">
        <v>162133676</v>
      </c>
      <c r="B84" s="4" t="s">
        <v>289</v>
      </c>
      <c r="C84" s="3" t="s">
        <v>290</v>
      </c>
      <c r="D84" s="3">
        <v>26402041</v>
      </c>
      <c r="E84" s="3" t="s">
        <v>291</v>
      </c>
      <c r="F84" s="4" t="s">
        <v>292</v>
      </c>
      <c r="G84" s="4" t="s">
        <v>293</v>
      </c>
    </row>
    <row r="85" spans="1:7" ht="15.75" customHeight="1">
      <c r="A85" s="5">
        <v>78276817</v>
      </c>
      <c r="B85" s="6" t="s">
        <v>294</v>
      </c>
      <c r="C85" s="5" t="s">
        <v>295</v>
      </c>
      <c r="D85" s="5">
        <v>79112151024</v>
      </c>
      <c r="E85" s="5" t="s">
        <v>296</v>
      </c>
      <c r="F85" s="6" t="s">
        <v>91</v>
      </c>
      <c r="G85" s="6" t="s">
        <v>92</v>
      </c>
    </row>
    <row r="86" spans="1:7" ht="15.75" customHeight="1">
      <c r="A86" s="3">
        <v>45785519</v>
      </c>
      <c r="B86" s="4" t="s">
        <v>297</v>
      </c>
      <c r="C86" s="3" t="s">
        <v>298</v>
      </c>
      <c r="D86" s="3">
        <v>79513438672</v>
      </c>
      <c r="E86" s="3" t="s">
        <v>299</v>
      </c>
      <c r="F86" s="4" t="s">
        <v>55</v>
      </c>
      <c r="G86" s="4" t="s">
        <v>56</v>
      </c>
    </row>
    <row r="87" spans="1:7" ht="15.75" customHeight="1">
      <c r="A87" s="5">
        <v>74927795</v>
      </c>
      <c r="B87" s="6" t="s">
        <v>300</v>
      </c>
      <c r="C87" s="5" t="s">
        <v>301</v>
      </c>
      <c r="D87" s="5">
        <v>380977710948</v>
      </c>
      <c r="E87" s="5" t="s">
        <v>302</v>
      </c>
      <c r="F87" s="6" t="s">
        <v>55</v>
      </c>
      <c r="G87" s="6" t="s">
        <v>56</v>
      </c>
    </row>
    <row r="88" spans="1:7" ht="15.75" customHeight="1">
      <c r="A88" s="3">
        <v>72504477</v>
      </c>
      <c r="B88" s="4" t="s">
        <v>303</v>
      </c>
      <c r="C88" s="3" t="s">
        <v>304</v>
      </c>
      <c r="D88" s="3" t="s">
        <v>305</v>
      </c>
      <c r="E88" s="3" t="s">
        <v>306</v>
      </c>
      <c r="F88" s="4" t="s">
        <v>221</v>
      </c>
      <c r="G88" s="4" t="s">
        <v>222</v>
      </c>
    </row>
    <row r="89" spans="1:7" ht="15.75" customHeight="1">
      <c r="A89" s="5">
        <v>85381133</v>
      </c>
      <c r="B89" s="6" t="s">
        <v>307</v>
      </c>
      <c r="C89" s="5" t="s">
        <v>308</v>
      </c>
      <c r="D89" s="5">
        <v>46702302444</v>
      </c>
      <c r="E89" s="5" t="s">
        <v>309</v>
      </c>
      <c r="F89" s="6" t="s">
        <v>310</v>
      </c>
      <c r="G89" s="6" t="s">
        <v>311</v>
      </c>
    </row>
    <row r="90" spans="1:7" ht="15.75" customHeight="1">
      <c r="A90" s="3">
        <v>126386484</v>
      </c>
      <c r="B90" s="4" t="s">
        <v>312</v>
      </c>
      <c r="C90" s="3" t="s">
        <v>313</v>
      </c>
      <c r="D90" s="3">
        <v>79082896868</v>
      </c>
      <c r="E90" s="3" t="s">
        <v>314</v>
      </c>
      <c r="F90" s="4" t="s">
        <v>310</v>
      </c>
      <c r="G90" s="4" t="s">
        <v>311</v>
      </c>
    </row>
    <row r="91" spans="1:7" ht="15.75" customHeight="1">
      <c r="A91" s="5">
        <v>66065045</v>
      </c>
      <c r="B91" s="6" t="s">
        <v>315</v>
      </c>
      <c r="C91" s="5" t="s">
        <v>316</v>
      </c>
      <c r="D91" s="5" t="s">
        <v>317</v>
      </c>
      <c r="E91" s="5" t="s">
        <v>318</v>
      </c>
      <c r="F91" s="6" t="s">
        <v>310</v>
      </c>
      <c r="G91" s="6" t="s">
        <v>311</v>
      </c>
    </row>
    <row r="92" spans="1:7" ht="15.75" customHeight="1">
      <c r="A92" s="3">
        <v>82489095</v>
      </c>
      <c r="B92" s="4" t="s">
        <v>286</v>
      </c>
      <c r="C92" s="3" t="s">
        <v>287</v>
      </c>
      <c r="D92" s="3">
        <v>79875327379</v>
      </c>
      <c r="E92" s="3" t="s">
        <v>319</v>
      </c>
      <c r="F92" s="4" t="s">
        <v>310</v>
      </c>
      <c r="G92" s="4" t="s">
        <v>311</v>
      </c>
    </row>
    <row r="93" spans="1:7" ht="15.75" customHeight="1">
      <c r="A93" s="5">
        <v>62845648</v>
      </c>
      <c r="B93" s="6" t="s">
        <v>218</v>
      </c>
      <c r="C93" s="5" t="s">
        <v>219</v>
      </c>
      <c r="D93" s="5">
        <v>380996472209</v>
      </c>
      <c r="E93" s="5" t="s">
        <v>320</v>
      </c>
      <c r="F93" s="6" t="s">
        <v>310</v>
      </c>
      <c r="G93" s="6" t="s">
        <v>311</v>
      </c>
    </row>
    <row r="94" spans="1:7" ht="15.75" customHeight="1">
      <c r="A94" s="3">
        <v>100107234</v>
      </c>
      <c r="B94" s="4" t="s">
        <v>321</v>
      </c>
      <c r="C94" s="3" t="s">
        <v>322</v>
      </c>
      <c r="D94" s="3" t="s">
        <v>323</v>
      </c>
      <c r="E94" s="3" t="s">
        <v>324</v>
      </c>
      <c r="F94" s="4" t="s">
        <v>310</v>
      </c>
      <c r="G94" s="4" t="s">
        <v>311</v>
      </c>
    </row>
    <row r="95" spans="1:7" ht="15.75" customHeight="1">
      <c r="A95" s="5">
        <v>85035194</v>
      </c>
      <c r="B95" s="6" t="s">
        <v>325</v>
      </c>
      <c r="C95" s="5" t="s">
        <v>326</v>
      </c>
      <c r="D95" s="5">
        <v>491794845355</v>
      </c>
      <c r="E95" s="5" t="s">
        <v>327</v>
      </c>
      <c r="F95" s="6" t="s">
        <v>141</v>
      </c>
      <c r="G95" s="6" t="s">
        <v>56</v>
      </c>
    </row>
    <row r="96" spans="1:7" ht="15.75" customHeight="1">
      <c r="A96" s="3">
        <v>69469106</v>
      </c>
      <c r="B96" s="4" t="s">
        <v>120</v>
      </c>
      <c r="C96" s="3" t="s">
        <v>121</v>
      </c>
      <c r="D96" s="3" t="s">
        <v>122</v>
      </c>
      <c r="E96" s="3" t="s">
        <v>328</v>
      </c>
      <c r="F96" s="4" t="s">
        <v>55</v>
      </c>
      <c r="G96" s="4" t="s">
        <v>56</v>
      </c>
    </row>
    <row r="97" spans="1:7" ht="15.75" customHeight="1">
      <c r="A97" s="5">
        <v>166158391</v>
      </c>
      <c r="B97" s="6" t="s">
        <v>329</v>
      </c>
      <c r="C97" s="5" t="s">
        <v>330</v>
      </c>
      <c r="D97" s="5">
        <v>79965163991</v>
      </c>
      <c r="E97" s="5" t="s">
        <v>331</v>
      </c>
      <c r="F97" s="6" t="s">
        <v>332</v>
      </c>
      <c r="G97" s="6" t="s">
        <v>155</v>
      </c>
    </row>
    <row r="98" spans="1:7" ht="15.75" customHeight="1">
      <c r="A98" s="3">
        <v>107900029</v>
      </c>
      <c r="B98" s="4" t="s">
        <v>333</v>
      </c>
      <c r="C98" s="3" t="s">
        <v>334</v>
      </c>
      <c r="D98" s="3" t="s">
        <v>335</v>
      </c>
      <c r="E98" s="3" t="s">
        <v>336</v>
      </c>
      <c r="F98" s="4" t="s">
        <v>310</v>
      </c>
      <c r="G98" s="4" t="s">
        <v>311</v>
      </c>
    </row>
    <row r="99" spans="1:7" ht="15.75" customHeight="1">
      <c r="A99" s="5">
        <v>59947508</v>
      </c>
      <c r="B99" s="6" t="s">
        <v>337</v>
      </c>
      <c r="C99" s="5" t="s">
        <v>338</v>
      </c>
      <c r="D99" s="5" t="s">
        <v>339</v>
      </c>
      <c r="E99" s="5" t="s">
        <v>340</v>
      </c>
      <c r="F99" s="6" t="s">
        <v>55</v>
      </c>
      <c r="G99" s="6" t="s">
        <v>56</v>
      </c>
    </row>
    <row r="100" spans="1:7" ht="15.75" customHeight="1">
      <c r="A100" s="3">
        <v>93239049</v>
      </c>
      <c r="B100" s="4" t="s">
        <v>341</v>
      </c>
      <c r="C100" s="3" t="s">
        <v>342</v>
      </c>
      <c r="D100" s="3" t="s">
        <v>343</v>
      </c>
      <c r="E100" s="3" t="s">
        <v>344</v>
      </c>
      <c r="F100" s="4" t="s">
        <v>345</v>
      </c>
      <c r="G100" s="4" t="s">
        <v>346</v>
      </c>
    </row>
    <row r="101" spans="1:7" ht="15.75" customHeight="1">
      <c r="A101" s="5">
        <v>126816775</v>
      </c>
      <c r="B101" s="6" t="s">
        <v>347</v>
      </c>
      <c r="C101" s="5" t="s">
        <v>348</v>
      </c>
      <c r="D101" s="5">
        <v>79173419788</v>
      </c>
      <c r="E101" s="5" t="s">
        <v>349</v>
      </c>
      <c r="F101" s="6" t="s">
        <v>55</v>
      </c>
      <c r="G101" s="6" t="s">
        <v>56</v>
      </c>
    </row>
    <row r="102" spans="1:7" ht="15.75" customHeight="1">
      <c r="A102" s="3">
        <v>45752685</v>
      </c>
      <c r="B102" s="4" t="s">
        <v>165</v>
      </c>
      <c r="C102" s="3" t="s">
        <v>166</v>
      </c>
      <c r="D102" s="3" t="s">
        <v>167</v>
      </c>
      <c r="E102" s="3" t="s">
        <v>350</v>
      </c>
      <c r="F102" s="4" t="s">
        <v>55</v>
      </c>
      <c r="G102" s="4" t="s">
        <v>56</v>
      </c>
    </row>
    <row r="103" spans="1:7" ht="15.75" customHeight="1">
      <c r="A103" s="5">
        <v>45752685</v>
      </c>
      <c r="B103" s="6" t="s">
        <v>165</v>
      </c>
      <c r="C103" s="5" t="s">
        <v>166</v>
      </c>
      <c r="D103" s="5" t="s">
        <v>167</v>
      </c>
      <c r="E103" s="5" t="s">
        <v>351</v>
      </c>
      <c r="F103" s="6" t="s">
        <v>55</v>
      </c>
      <c r="G103" s="6" t="s">
        <v>56</v>
      </c>
    </row>
    <row r="104" spans="1:7" ht="15.75" customHeight="1">
      <c r="A104" s="3">
        <v>100065368</v>
      </c>
      <c r="B104" s="4" t="s">
        <v>352</v>
      </c>
      <c r="C104" s="3" t="s">
        <v>353</v>
      </c>
      <c r="D104" s="3" t="s">
        <v>354</v>
      </c>
      <c r="E104" s="3" t="s">
        <v>355</v>
      </c>
      <c r="F104" s="4" t="s">
        <v>356</v>
      </c>
      <c r="G104" s="4" t="s">
        <v>357</v>
      </c>
    </row>
    <row r="105" spans="1:7" ht="15.75" customHeight="1">
      <c r="A105" s="5">
        <v>44176249</v>
      </c>
      <c r="B105" s="6" t="s">
        <v>358</v>
      </c>
      <c r="C105" s="5" t="s">
        <v>359</v>
      </c>
      <c r="D105" s="5">
        <v>9720543687050</v>
      </c>
      <c r="E105" s="5" t="s">
        <v>360</v>
      </c>
      <c r="F105" s="6" t="s">
        <v>356</v>
      </c>
      <c r="G105" s="6" t="s">
        <v>357</v>
      </c>
    </row>
    <row r="106" spans="1:7" ht="15.75" customHeight="1">
      <c r="A106" s="3">
        <v>159553374</v>
      </c>
      <c r="B106" s="4" t="s">
        <v>361</v>
      </c>
      <c r="C106" s="3" t="s">
        <v>362</v>
      </c>
      <c r="D106" s="3" t="s">
        <v>363</v>
      </c>
      <c r="E106" s="3" t="s">
        <v>364</v>
      </c>
      <c r="F106" s="4" t="s">
        <v>356</v>
      </c>
      <c r="G106" s="4" t="s">
        <v>357</v>
      </c>
    </row>
    <row r="107" spans="1:7" ht="15.75" customHeight="1">
      <c r="A107" s="5">
        <v>132163269</v>
      </c>
      <c r="B107" s="6" t="s">
        <v>365</v>
      </c>
      <c r="C107" s="5" t="s">
        <v>366</v>
      </c>
      <c r="D107" s="5">
        <v>79266941242</v>
      </c>
      <c r="E107" s="5" t="s">
        <v>367</v>
      </c>
      <c r="F107" s="6" t="s">
        <v>368</v>
      </c>
      <c r="G107" s="6" t="s">
        <v>369</v>
      </c>
    </row>
    <row r="108" spans="1:7" ht="15.75" customHeight="1">
      <c r="A108" s="3">
        <v>66311716</v>
      </c>
      <c r="B108" s="4" t="s">
        <v>370</v>
      </c>
      <c r="C108" s="3" t="s">
        <v>371</v>
      </c>
      <c r="D108" s="3" t="s">
        <v>372</v>
      </c>
      <c r="E108" s="3" t="s">
        <v>373</v>
      </c>
      <c r="F108" s="4" t="s">
        <v>356</v>
      </c>
      <c r="G108" s="4" t="s">
        <v>357</v>
      </c>
    </row>
    <row r="109" spans="1:7" ht="15.75" customHeight="1">
      <c r="A109" s="5">
        <v>87412864</v>
      </c>
      <c r="B109" s="6" t="s">
        <v>374</v>
      </c>
      <c r="C109" s="5" t="s">
        <v>375</v>
      </c>
      <c r="D109" s="5" t="s">
        <v>376</v>
      </c>
      <c r="E109" s="5" t="s">
        <v>377</v>
      </c>
      <c r="F109" s="6" t="s">
        <v>356</v>
      </c>
      <c r="G109" s="6" t="s">
        <v>357</v>
      </c>
    </row>
    <row r="110" spans="1:7" ht="15.75" customHeight="1">
      <c r="A110" s="3">
        <v>83397493</v>
      </c>
      <c r="B110" s="4" t="s">
        <v>378</v>
      </c>
      <c r="C110" s="3" t="s">
        <v>379</v>
      </c>
      <c r="D110" s="3">
        <v>79034174329</v>
      </c>
      <c r="E110" s="3" t="s">
        <v>380</v>
      </c>
      <c r="F110" s="4" t="s">
        <v>356</v>
      </c>
      <c r="G110" s="4" t="s">
        <v>357</v>
      </c>
    </row>
    <row r="111" spans="1:7" ht="15.75" customHeight="1">
      <c r="A111" s="5">
        <v>126816775</v>
      </c>
      <c r="B111" s="6" t="s">
        <v>347</v>
      </c>
      <c r="C111" s="5" t="s">
        <v>348</v>
      </c>
      <c r="D111" s="5">
        <v>79173419788</v>
      </c>
      <c r="E111" s="5" t="s">
        <v>381</v>
      </c>
      <c r="F111" s="6" t="s">
        <v>356</v>
      </c>
      <c r="G111" s="6" t="s">
        <v>357</v>
      </c>
    </row>
    <row r="112" spans="1:7" ht="15.75" customHeight="1">
      <c r="A112" s="3">
        <v>82489095</v>
      </c>
      <c r="B112" s="4" t="s">
        <v>286</v>
      </c>
      <c r="C112" s="3" t="s">
        <v>287</v>
      </c>
      <c r="D112" s="3">
        <v>79875327379</v>
      </c>
      <c r="E112" s="3" t="s">
        <v>382</v>
      </c>
      <c r="F112" s="4" t="s">
        <v>356</v>
      </c>
      <c r="G112" s="4" t="s">
        <v>357</v>
      </c>
    </row>
    <row r="113" spans="1:7" ht="15.75" customHeight="1">
      <c r="A113" s="5">
        <v>67530982</v>
      </c>
      <c r="B113" s="6" t="s">
        <v>383</v>
      </c>
      <c r="C113" s="5" t="s">
        <v>384</v>
      </c>
      <c r="D113" s="5">
        <v>79168585246</v>
      </c>
      <c r="E113" s="5" t="s">
        <v>385</v>
      </c>
      <c r="F113" s="6" t="s">
        <v>55</v>
      </c>
      <c r="G113" s="6" t="s">
        <v>56</v>
      </c>
    </row>
    <row r="114" spans="1:7" ht="15.75" customHeight="1">
      <c r="A114" s="3">
        <v>121548126</v>
      </c>
      <c r="B114" s="4" t="s">
        <v>386</v>
      </c>
      <c r="C114" s="3" t="s">
        <v>387</v>
      </c>
      <c r="D114" s="3" t="s">
        <v>388</v>
      </c>
      <c r="E114" s="3" t="s">
        <v>389</v>
      </c>
      <c r="F114" s="4" t="s">
        <v>390</v>
      </c>
      <c r="G114" s="4" t="s">
        <v>391</v>
      </c>
    </row>
    <row r="115" spans="1:7" ht="15.75" customHeight="1">
      <c r="A115" s="5">
        <v>47211305</v>
      </c>
      <c r="B115" s="6" t="s">
        <v>392</v>
      </c>
      <c r="C115" s="5" t="s">
        <v>393</v>
      </c>
      <c r="D115" s="5">
        <v>79025242387</v>
      </c>
      <c r="E115" s="5" t="s">
        <v>394</v>
      </c>
      <c r="F115" s="6" t="s">
        <v>390</v>
      </c>
      <c r="G115" s="6" t="s">
        <v>391</v>
      </c>
    </row>
    <row r="116" spans="1:7" ht="15.75" customHeight="1">
      <c r="A116" s="3">
        <v>76610416</v>
      </c>
      <c r="B116" s="4" t="s">
        <v>230</v>
      </c>
      <c r="C116" s="3" t="s">
        <v>231</v>
      </c>
      <c r="D116" s="3" t="s">
        <v>232</v>
      </c>
      <c r="E116" s="3" t="s">
        <v>395</v>
      </c>
      <c r="F116" s="4" t="s">
        <v>76</v>
      </c>
      <c r="G116" s="4" t="s">
        <v>77</v>
      </c>
    </row>
    <row r="117" spans="1:7" ht="15.75" customHeight="1">
      <c r="A117" s="5">
        <v>56018039</v>
      </c>
      <c r="B117" s="6" t="s">
        <v>396</v>
      </c>
      <c r="C117" s="5" t="s">
        <v>397</v>
      </c>
      <c r="D117" s="5">
        <v>77771333373</v>
      </c>
      <c r="E117" s="5" t="s">
        <v>398</v>
      </c>
      <c r="F117" s="6" t="s">
        <v>399</v>
      </c>
      <c r="G117" s="6" t="s">
        <v>400</v>
      </c>
    </row>
    <row r="118" spans="1:7" ht="15.75" customHeight="1">
      <c r="A118" s="3">
        <v>56018039</v>
      </c>
      <c r="B118" s="4" t="s">
        <v>396</v>
      </c>
      <c r="C118" s="3" t="s">
        <v>397</v>
      </c>
      <c r="D118" s="3">
        <v>77771333373</v>
      </c>
      <c r="E118" s="3" t="s">
        <v>401</v>
      </c>
      <c r="F118" s="4" t="s">
        <v>399</v>
      </c>
      <c r="G118" s="4" t="s">
        <v>400</v>
      </c>
    </row>
    <row r="119" spans="1:7" ht="15.75" customHeight="1">
      <c r="A119" s="5">
        <v>121548126</v>
      </c>
      <c r="B119" s="6" t="s">
        <v>386</v>
      </c>
      <c r="C119" s="5" t="s">
        <v>387</v>
      </c>
      <c r="D119" s="5" t="s">
        <v>388</v>
      </c>
      <c r="E119" s="5" t="s">
        <v>402</v>
      </c>
      <c r="F119" s="6" t="s">
        <v>399</v>
      </c>
      <c r="G119" s="6" t="s">
        <v>400</v>
      </c>
    </row>
    <row r="120" spans="1:7" ht="15.75" customHeight="1">
      <c r="A120" s="3">
        <v>108939949</v>
      </c>
      <c r="B120" s="4" t="s">
        <v>198</v>
      </c>
      <c r="C120" s="3" t="s">
        <v>199</v>
      </c>
      <c r="D120" s="3">
        <v>79519415950</v>
      </c>
      <c r="E120" s="3" t="s">
        <v>403</v>
      </c>
      <c r="F120" s="4" t="s">
        <v>55</v>
      </c>
      <c r="G120" s="4" t="s">
        <v>56</v>
      </c>
    </row>
    <row r="121" spans="1:7" ht="15.75" customHeight="1">
      <c r="A121" s="5">
        <v>121548126</v>
      </c>
      <c r="B121" s="6" t="s">
        <v>386</v>
      </c>
      <c r="C121" s="5" t="s">
        <v>387</v>
      </c>
      <c r="D121" s="5" t="s">
        <v>388</v>
      </c>
      <c r="E121" s="5" t="s">
        <v>404</v>
      </c>
      <c r="F121" s="6" t="s">
        <v>70</v>
      </c>
      <c r="G121" s="6" t="s">
        <v>71</v>
      </c>
    </row>
    <row r="122" spans="1:7" ht="15.75" customHeight="1">
      <c r="A122" s="3">
        <v>113703450</v>
      </c>
      <c r="B122" s="4" t="s">
        <v>23</v>
      </c>
      <c r="C122" s="3" t="s">
        <v>24</v>
      </c>
      <c r="D122" s="3" t="s">
        <v>25</v>
      </c>
      <c r="E122" s="3" t="s">
        <v>405</v>
      </c>
      <c r="F122" s="4" t="s">
        <v>55</v>
      </c>
      <c r="G122" s="4" t="s">
        <v>56</v>
      </c>
    </row>
    <row r="123" spans="1:7" ht="15.75" customHeight="1">
      <c r="A123" s="5">
        <v>50643476</v>
      </c>
      <c r="B123" s="6" t="s">
        <v>215</v>
      </c>
      <c r="C123" s="5" t="s">
        <v>216</v>
      </c>
      <c r="D123" s="5">
        <v>375297330814</v>
      </c>
      <c r="E123" s="5" t="s">
        <v>406</v>
      </c>
      <c r="F123" s="6" t="s">
        <v>55</v>
      </c>
      <c r="G123" s="6" t="s">
        <v>56</v>
      </c>
    </row>
    <row r="124" spans="1:7" ht="15.75" customHeight="1">
      <c r="A124" s="3">
        <v>55750410</v>
      </c>
      <c r="B124" s="4" t="s">
        <v>63</v>
      </c>
      <c r="C124" s="3" t="s">
        <v>64</v>
      </c>
      <c r="D124" s="3">
        <v>79897704789</v>
      </c>
      <c r="E124" s="3" t="s">
        <v>407</v>
      </c>
      <c r="F124" s="4" t="s">
        <v>55</v>
      </c>
      <c r="G124" s="4" t="s">
        <v>56</v>
      </c>
    </row>
    <row r="125" spans="1:7" ht="15.75" customHeight="1">
      <c r="A125" s="5">
        <v>80482136</v>
      </c>
      <c r="B125" s="6" t="s">
        <v>51</v>
      </c>
      <c r="C125" s="5" t="s">
        <v>52</v>
      </c>
      <c r="D125" s="5" t="s">
        <v>53</v>
      </c>
      <c r="E125" s="5" t="s">
        <v>408</v>
      </c>
      <c r="F125" s="6" t="s">
        <v>55</v>
      </c>
      <c r="G125" s="6" t="s">
        <v>56</v>
      </c>
    </row>
    <row r="126" spans="1:7" ht="15.75" customHeight="1">
      <c r="A126" s="3">
        <v>80482136</v>
      </c>
      <c r="B126" s="4" t="s">
        <v>51</v>
      </c>
      <c r="C126" s="3" t="s">
        <v>52</v>
      </c>
      <c r="D126" s="3" t="s">
        <v>53</v>
      </c>
      <c r="E126" s="3" t="s">
        <v>409</v>
      </c>
      <c r="F126" s="4" t="s">
        <v>55</v>
      </c>
      <c r="G126" s="4" t="s">
        <v>56</v>
      </c>
    </row>
    <row r="127" spans="1:7" ht="15.75" customHeight="1">
      <c r="A127" s="5">
        <v>80482136</v>
      </c>
      <c r="B127" s="6" t="s">
        <v>51</v>
      </c>
      <c r="C127" s="5" t="s">
        <v>52</v>
      </c>
      <c r="D127" s="5" t="s">
        <v>53</v>
      </c>
      <c r="E127" s="5" t="s">
        <v>410</v>
      </c>
      <c r="F127" s="6" t="s">
        <v>55</v>
      </c>
      <c r="G127" s="6" t="s">
        <v>56</v>
      </c>
    </row>
    <row r="128" spans="1:7" ht="15.75" customHeight="1">
      <c r="A128" s="3">
        <v>80482136</v>
      </c>
      <c r="B128" s="4" t="s">
        <v>51</v>
      </c>
      <c r="C128" s="3" t="s">
        <v>52</v>
      </c>
      <c r="D128" s="3" t="s">
        <v>53</v>
      </c>
      <c r="E128" s="3" t="s">
        <v>411</v>
      </c>
      <c r="F128" s="4" t="s">
        <v>55</v>
      </c>
      <c r="G128" s="4" t="s">
        <v>56</v>
      </c>
    </row>
    <row r="129" spans="1:7" ht="15.75" customHeight="1">
      <c r="A129" s="5">
        <v>80482136</v>
      </c>
      <c r="B129" s="6" t="s">
        <v>51</v>
      </c>
      <c r="C129" s="5" t="s">
        <v>52</v>
      </c>
      <c r="D129" s="5" t="s">
        <v>53</v>
      </c>
      <c r="E129" s="5" t="s">
        <v>412</v>
      </c>
      <c r="F129" s="6" t="s">
        <v>55</v>
      </c>
      <c r="G129" s="6" t="s">
        <v>56</v>
      </c>
    </row>
    <row r="130" spans="1:7" ht="15.75" customHeight="1">
      <c r="A130" s="3">
        <v>80482136</v>
      </c>
      <c r="B130" s="4" t="s">
        <v>51</v>
      </c>
      <c r="C130" s="3" t="s">
        <v>52</v>
      </c>
      <c r="D130" s="3" t="s">
        <v>53</v>
      </c>
      <c r="E130" s="3" t="s">
        <v>413</v>
      </c>
      <c r="F130" s="4" t="s">
        <v>55</v>
      </c>
      <c r="G130" s="4" t="s">
        <v>56</v>
      </c>
    </row>
    <row r="131" spans="1:7" ht="15.75" customHeight="1">
      <c r="A131" s="5">
        <v>80482136</v>
      </c>
      <c r="B131" s="6" t="s">
        <v>51</v>
      </c>
      <c r="C131" s="5" t="s">
        <v>52</v>
      </c>
      <c r="D131" s="5" t="s">
        <v>53</v>
      </c>
      <c r="E131" s="5" t="s">
        <v>414</v>
      </c>
      <c r="F131" s="6" t="s">
        <v>55</v>
      </c>
      <c r="G131" s="6" t="s">
        <v>56</v>
      </c>
    </row>
    <row r="132" spans="1:7" ht="15.75" customHeight="1">
      <c r="A132" s="3">
        <v>80482136</v>
      </c>
      <c r="B132" s="4" t="s">
        <v>51</v>
      </c>
      <c r="C132" s="3" t="s">
        <v>52</v>
      </c>
      <c r="D132" s="3" t="s">
        <v>53</v>
      </c>
      <c r="E132" s="3" t="s">
        <v>415</v>
      </c>
      <c r="F132" s="4" t="s">
        <v>55</v>
      </c>
      <c r="G132" s="4" t="s">
        <v>56</v>
      </c>
    </row>
    <row r="133" spans="1:7" ht="15.75" customHeight="1">
      <c r="A133" s="5">
        <v>92907328</v>
      </c>
      <c r="B133" s="6" t="s">
        <v>416</v>
      </c>
      <c r="C133" s="5" t="s">
        <v>417</v>
      </c>
      <c r="D133" s="5" t="s">
        <v>418</v>
      </c>
      <c r="E133" s="5" t="s">
        <v>419</v>
      </c>
      <c r="F133" s="6" t="s">
        <v>420</v>
      </c>
      <c r="G133" s="6" t="s">
        <v>421</v>
      </c>
    </row>
    <row r="134" spans="1:7" ht="15.75" customHeight="1">
      <c r="A134" s="3">
        <v>99974439</v>
      </c>
      <c r="B134" s="4" t="s">
        <v>160</v>
      </c>
      <c r="C134" s="3" t="s">
        <v>161</v>
      </c>
      <c r="D134" s="3" t="s">
        <v>162</v>
      </c>
      <c r="E134" s="3" t="s">
        <v>422</v>
      </c>
      <c r="F134" s="4" t="s">
        <v>55</v>
      </c>
      <c r="G134" s="4" t="s">
        <v>56</v>
      </c>
    </row>
    <row r="135" spans="1:7" ht="15.75" customHeight="1">
      <c r="A135" s="5">
        <v>82916830</v>
      </c>
      <c r="B135" s="6" t="s">
        <v>423</v>
      </c>
      <c r="C135" s="5" t="s">
        <v>424</v>
      </c>
      <c r="D135" s="5" t="s">
        <v>425</v>
      </c>
      <c r="E135" s="5" t="s">
        <v>426</v>
      </c>
      <c r="F135" s="6" t="s">
        <v>420</v>
      </c>
      <c r="G135" s="6" t="s">
        <v>421</v>
      </c>
    </row>
    <row r="136" spans="1:7" ht="15.75" customHeight="1">
      <c r="A136" s="3">
        <v>100065368</v>
      </c>
      <c r="B136" s="4" t="s">
        <v>352</v>
      </c>
      <c r="C136" s="3" t="s">
        <v>353</v>
      </c>
      <c r="D136" s="3" t="s">
        <v>354</v>
      </c>
      <c r="E136" s="3" t="s">
        <v>427</v>
      </c>
      <c r="F136" s="4" t="s">
        <v>420</v>
      </c>
      <c r="G136" s="4" t="s">
        <v>421</v>
      </c>
    </row>
    <row r="137" spans="1:7" ht="15.75" customHeight="1">
      <c r="A137" s="5">
        <v>122087340</v>
      </c>
      <c r="B137" s="6" t="s">
        <v>428</v>
      </c>
      <c r="C137" s="5" t="s">
        <v>429</v>
      </c>
      <c r="D137" s="5" t="s">
        <v>430</v>
      </c>
      <c r="E137" s="5" t="s">
        <v>431</v>
      </c>
      <c r="F137" s="6" t="s">
        <v>432</v>
      </c>
      <c r="G137" s="6" t="s">
        <v>77</v>
      </c>
    </row>
    <row r="138" spans="1:7" ht="15.75" customHeight="1">
      <c r="A138" s="3">
        <v>62764272</v>
      </c>
      <c r="B138" s="4" t="s">
        <v>433</v>
      </c>
      <c r="C138" s="3" t="s">
        <v>434</v>
      </c>
      <c r="D138" s="3">
        <v>380676967306</v>
      </c>
      <c r="E138" s="3" t="s">
        <v>435</v>
      </c>
      <c r="F138" s="4" t="s">
        <v>436</v>
      </c>
      <c r="G138" s="4" t="s">
        <v>56</v>
      </c>
    </row>
    <row r="139" spans="1:7" ht="15.75" customHeight="1">
      <c r="A139" s="5">
        <v>64486999</v>
      </c>
      <c r="B139" s="6" t="s">
        <v>437</v>
      </c>
      <c r="C139" s="5" t="s">
        <v>438</v>
      </c>
      <c r="D139" s="5">
        <v>87074242121</v>
      </c>
      <c r="E139" s="5" t="s">
        <v>439</v>
      </c>
      <c r="F139" s="6" t="s">
        <v>399</v>
      </c>
      <c r="G139" s="6" t="s">
        <v>400</v>
      </c>
    </row>
    <row r="140" spans="1:7" ht="15.75" customHeight="1">
      <c r="A140" s="3">
        <v>112895581</v>
      </c>
      <c r="B140" s="4" t="s">
        <v>440</v>
      </c>
      <c r="C140" s="3" t="s">
        <v>441</v>
      </c>
      <c r="D140" s="3" t="s">
        <v>442</v>
      </c>
      <c r="E140" s="3" t="s">
        <v>443</v>
      </c>
      <c r="F140" s="4" t="s">
        <v>444</v>
      </c>
      <c r="G140" s="4" t="s">
        <v>445</v>
      </c>
    </row>
    <row r="141" spans="1:7" ht="15.75" customHeight="1">
      <c r="A141" s="5">
        <v>66065045</v>
      </c>
      <c r="B141" s="6" t="s">
        <v>315</v>
      </c>
      <c r="C141" s="5" t="s">
        <v>316</v>
      </c>
      <c r="D141" s="5" t="s">
        <v>317</v>
      </c>
      <c r="E141" s="5" t="s">
        <v>446</v>
      </c>
      <c r="F141" s="6" t="s">
        <v>444</v>
      </c>
      <c r="G141" s="6" t="s">
        <v>445</v>
      </c>
    </row>
    <row r="142" spans="1:7" ht="15.75" customHeight="1">
      <c r="A142" s="3">
        <v>121548126</v>
      </c>
      <c r="B142" s="4" t="s">
        <v>386</v>
      </c>
      <c r="C142" s="3" t="s">
        <v>387</v>
      </c>
      <c r="D142" s="3" t="s">
        <v>388</v>
      </c>
      <c r="E142" s="3" t="s">
        <v>447</v>
      </c>
      <c r="F142" s="4" t="s">
        <v>390</v>
      </c>
      <c r="G142" s="4" t="s">
        <v>391</v>
      </c>
    </row>
    <row r="143" spans="1:7" ht="15.75" customHeight="1">
      <c r="A143" s="5">
        <v>155473142</v>
      </c>
      <c r="B143" s="6" t="s">
        <v>448</v>
      </c>
      <c r="C143" s="5" t="s">
        <v>449</v>
      </c>
      <c r="D143" s="5" t="s">
        <v>450</v>
      </c>
      <c r="E143" s="5" t="s">
        <v>451</v>
      </c>
      <c r="F143" s="6" t="s">
        <v>444</v>
      </c>
      <c r="G143" s="6" t="s">
        <v>445</v>
      </c>
    </row>
    <row r="144" spans="1:7" ht="15.75" customHeight="1">
      <c r="A144" s="3">
        <v>66065045</v>
      </c>
      <c r="B144" s="4" t="s">
        <v>315</v>
      </c>
      <c r="C144" s="3" t="s">
        <v>316</v>
      </c>
      <c r="D144" s="3" t="s">
        <v>317</v>
      </c>
      <c r="E144" s="3" t="s">
        <v>452</v>
      </c>
      <c r="F144" s="4" t="s">
        <v>444</v>
      </c>
      <c r="G144" s="4" t="s">
        <v>445</v>
      </c>
    </row>
    <row r="145" spans="1:7" ht="15.75" customHeight="1">
      <c r="A145" s="5">
        <v>62845648</v>
      </c>
      <c r="B145" s="6" t="s">
        <v>218</v>
      </c>
      <c r="C145" s="5" t="s">
        <v>219</v>
      </c>
      <c r="D145" s="5">
        <v>380996472209</v>
      </c>
      <c r="E145" s="5" t="s">
        <v>453</v>
      </c>
      <c r="F145" s="6" t="s">
        <v>454</v>
      </c>
      <c r="G145" s="6" t="s">
        <v>455</v>
      </c>
    </row>
    <row r="146" spans="1:7" ht="15.75" customHeight="1">
      <c r="A146" s="3">
        <v>72504477</v>
      </c>
      <c r="B146" s="4" t="s">
        <v>303</v>
      </c>
      <c r="C146" s="3" t="s">
        <v>304</v>
      </c>
      <c r="D146" s="3" t="s">
        <v>305</v>
      </c>
      <c r="E146" s="3" t="s">
        <v>456</v>
      </c>
      <c r="F146" s="4" t="s">
        <v>454</v>
      </c>
      <c r="G146" s="4" t="s">
        <v>455</v>
      </c>
    </row>
    <row r="147" spans="1:7" ht="15.75" customHeight="1">
      <c r="A147" s="5">
        <v>138863844</v>
      </c>
      <c r="B147" s="6" t="s">
        <v>150</v>
      </c>
      <c r="C147" s="5" t="s">
        <v>151</v>
      </c>
      <c r="D147" s="5" t="s">
        <v>152</v>
      </c>
      <c r="E147" s="5" t="s">
        <v>457</v>
      </c>
      <c r="F147" s="6" t="s">
        <v>454</v>
      </c>
      <c r="G147" s="6" t="s">
        <v>455</v>
      </c>
    </row>
    <row r="148" spans="1:7" ht="15.75" customHeight="1">
      <c r="A148" s="3">
        <v>160455805</v>
      </c>
      <c r="B148" s="4" t="s">
        <v>189</v>
      </c>
      <c r="C148" s="3" t="s">
        <v>190</v>
      </c>
      <c r="D148" s="3" t="s">
        <v>191</v>
      </c>
      <c r="E148" s="3" t="s">
        <v>458</v>
      </c>
      <c r="F148" s="4" t="s">
        <v>454</v>
      </c>
      <c r="G148" s="4" t="s">
        <v>455</v>
      </c>
    </row>
    <row r="149" spans="1:7" ht="15.75" customHeight="1">
      <c r="A149" s="5">
        <v>166158391</v>
      </c>
      <c r="B149" s="6" t="s">
        <v>329</v>
      </c>
      <c r="C149" s="5" t="s">
        <v>330</v>
      </c>
      <c r="D149" s="5">
        <v>79965163991</v>
      </c>
      <c r="E149" s="5" t="s">
        <v>458</v>
      </c>
      <c r="F149" s="6" t="s">
        <v>454</v>
      </c>
      <c r="G149" s="6" t="s">
        <v>455</v>
      </c>
    </row>
    <row r="150" spans="1:7" ht="15.75" customHeight="1">
      <c r="A150" s="3">
        <v>113028951</v>
      </c>
      <c r="B150" s="4" t="s">
        <v>459</v>
      </c>
      <c r="C150" s="3" t="s">
        <v>460</v>
      </c>
      <c r="D150" s="3" t="s">
        <v>461</v>
      </c>
      <c r="E150" s="3" t="s">
        <v>462</v>
      </c>
      <c r="F150" s="4" t="s">
        <v>444</v>
      </c>
      <c r="G150" s="4" t="s">
        <v>445</v>
      </c>
    </row>
    <row r="151" spans="1:7" ht="15.75" customHeight="1">
      <c r="A151" s="5">
        <v>62845648</v>
      </c>
      <c r="B151" s="6" t="s">
        <v>218</v>
      </c>
      <c r="C151" s="5" t="s">
        <v>219</v>
      </c>
      <c r="D151" s="5">
        <v>380996472209</v>
      </c>
      <c r="E151" s="5" t="s">
        <v>463</v>
      </c>
      <c r="F151" s="6" t="s">
        <v>454</v>
      </c>
      <c r="G151" s="6" t="s">
        <v>455</v>
      </c>
    </row>
    <row r="152" spans="1:7" ht="15.75" customHeight="1">
      <c r="A152" s="3">
        <v>72504477</v>
      </c>
      <c r="B152" s="4" t="s">
        <v>303</v>
      </c>
      <c r="C152" s="3" t="s">
        <v>304</v>
      </c>
      <c r="D152" s="3" t="s">
        <v>305</v>
      </c>
      <c r="E152" s="3" t="s">
        <v>464</v>
      </c>
      <c r="F152" s="4" t="s">
        <v>454</v>
      </c>
      <c r="G152" s="4" t="s">
        <v>455</v>
      </c>
    </row>
    <row r="153" spans="1:7" ht="15.75" customHeight="1">
      <c r="A153" s="5">
        <v>138863844</v>
      </c>
      <c r="B153" s="6" t="s">
        <v>150</v>
      </c>
      <c r="C153" s="5" t="s">
        <v>151</v>
      </c>
      <c r="D153" s="5" t="s">
        <v>152</v>
      </c>
      <c r="E153" s="5" t="s">
        <v>465</v>
      </c>
      <c r="F153" s="6" t="s">
        <v>454</v>
      </c>
      <c r="G153" s="6" t="s">
        <v>455</v>
      </c>
    </row>
    <row r="154" spans="1:7" ht="15.75" customHeight="1">
      <c r="A154" s="3">
        <v>160455805</v>
      </c>
      <c r="B154" s="4" t="s">
        <v>189</v>
      </c>
      <c r="C154" s="3" t="s">
        <v>190</v>
      </c>
      <c r="D154" s="3" t="s">
        <v>191</v>
      </c>
      <c r="E154" s="3" t="s">
        <v>466</v>
      </c>
      <c r="F154" s="4" t="s">
        <v>454</v>
      </c>
      <c r="G154" s="4" t="s">
        <v>455</v>
      </c>
    </row>
    <row r="155" spans="1:7" ht="15.75" customHeight="1">
      <c r="A155" s="5">
        <v>162133676</v>
      </c>
      <c r="B155" s="6" t="s">
        <v>289</v>
      </c>
      <c r="C155" s="5" t="s">
        <v>290</v>
      </c>
      <c r="D155" s="5">
        <v>26402041</v>
      </c>
      <c r="E155" s="5" t="s">
        <v>467</v>
      </c>
      <c r="F155" s="6" t="s">
        <v>454</v>
      </c>
      <c r="G155" s="6" t="s">
        <v>455</v>
      </c>
    </row>
    <row r="156" spans="1:7" ht="15.75" customHeight="1">
      <c r="A156" s="3">
        <v>166158391</v>
      </c>
      <c r="B156" s="4" t="s">
        <v>329</v>
      </c>
      <c r="C156" s="3" t="s">
        <v>330</v>
      </c>
      <c r="D156" s="3">
        <v>79965163991</v>
      </c>
      <c r="E156" s="3" t="s">
        <v>467</v>
      </c>
      <c r="F156" s="4" t="s">
        <v>454</v>
      </c>
      <c r="G156" s="4" t="s">
        <v>455</v>
      </c>
    </row>
    <row r="157" spans="1:7" ht="15.75" customHeight="1">
      <c r="A157" s="5">
        <v>147814075</v>
      </c>
      <c r="B157" s="6" t="s">
        <v>283</v>
      </c>
      <c r="C157" s="5" t="s">
        <v>468</v>
      </c>
      <c r="D157" s="5" t="s">
        <v>469</v>
      </c>
      <c r="E157" s="5" t="s">
        <v>470</v>
      </c>
      <c r="F157" s="6" t="s">
        <v>55</v>
      </c>
      <c r="G157" s="6" t="s">
        <v>56</v>
      </c>
    </row>
    <row r="158" spans="1:7" ht="15.75" customHeight="1">
      <c r="A158" s="3">
        <v>109319216</v>
      </c>
      <c r="B158" s="4" t="s">
        <v>78</v>
      </c>
      <c r="C158" s="3" t="s">
        <v>79</v>
      </c>
      <c r="D158" s="3" t="s">
        <v>80</v>
      </c>
      <c r="E158" s="3" t="s">
        <v>471</v>
      </c>
      <c r="F158" s="4" t="s">
        <v>454</v>
      </c>
      <c r="G158" s="4" t="s">
        <v>455</v>
      </c>
    </row>
    <row r="159" spans="1:7" ht="15.75" customHeight="1">
      <c r="A159" s="5">
        <v>162133676</v>
      </c>
      <c r="B159" s="6" t="s">
        <v>289</v>
      </c>
      <c r="C159" s="5" t="s">
        <v>290</v>
      </c>
      <c r="D159" s="5">
        <v>26402041</v>
      </c>
      <c r="E159" s="5" t="s">
        <v>472</v>
      </c>
      <c r="F159" s="6" t="s">
        <v>473</v>
      </c>
      <c r="G159" s="6" t="s">
        <v>474</v>
      </c>
    </row>
    <row r="160" spans="1:7" ht="15.75" customHeight="1">
      <c r="A160" s="3">
        <v>161795029</v>
      </c>
      <c r="B160" s="4" t="s">
        <v>223</v>
      </c>
      <c r="C160" s="3" t="s">
        <v>224</v>
      </c>
      <c r="D160" s="3" t="s">
        <v>225</v>
      </c>
      <c r="E160" s="3" t="s">
        <v>475</v>
      </c>
      <c r="F160" s="4" t="s">
        <v>55</v>
      </c>
      <c r="G160" s="4" t="s">
        <v>56</v>
      </c>
    </row>
    <row r="161" spans="1:7" ht="15.75" customHeight="1">
      <c r="A161" s="5">
        <v>65690079</v>
      </c>
      <c r="B161" s="6" t="s">
        <v>476</v>
      </c>
      <c r="C161" s="5" t="s">
        <v>477</v>
      </c>
      <c r="D161" s="5" t="s">
        <v>478</v>
      </c>
      <c r="E161" s="5" t="s">
        <v>479</v>
      </c>
      <c r="F161" s="6" t="s">
        <v>97</v>
      </c>
      <c r="G161" s="6" t="s">
        <v>98</v>
      </c>
    </row>
    <row r="162" spans="1:7" ht="15.75" customHeight="1">
      <c r="A162" s="3">
        <v>65690079</v>
      </c>
      <c r="B162" s="4" t="s">
        <v>476</v>
      </c>
      <c r="C162" s="3" t="s">
        <v>477</v>
      </c>
      <c r="D162" s="3" t="s">
        <v>478</v>
      </c>
      <c r="E162" s="3" t="s">
        <v>480</v>
      </c>
      <c r="F162" s="4" t="s">
        <v>481</v>
      </c>
      <c r="G162" s="4" t="s">
        <v>482</v>
      </c>
    </row>
    <row r="163" spans="1:7" ht="15.75" customHeight="1">
      <c r="A163" s="5">
        <v>65690079</v>
      </c>
      <c r="B163" s="6" t="s">
        <v>476</v>
      </c>
      <c r="C163" s="5" t="s">
        <v>477</v>
      </c>
      <c r="D163" s="5" t="s">
        <v>478</v>
      </c>
      <c r="E163" s="5" t="s">
        <v>483</v>
      </c>
      <c r="F163" s="6" t="s">
        <v>484</v>
      </c>
      <c r="G163" s="6" t="s">
        <v>482</v>
      </c>
    </row>
    <row r="164" spans="1:7" ht="15.75" customHeight="1">
      <c r="A164" s="3">
        <v>78223056</v>
      </c>
      <c r="B164" s="4" t="s">
        <v>182</v>
      </c>
      <c r="C164" s="3" t="s">
        <v>183</v>
      </c>
      <c r="D164" s="3">
        <v>79161528379</v>
      </c>
      <c r="E164" s="3" t="s">
        <v>485</v>
      </c>
      <c r="F164" s="4" t="s">
        <v>55</v>
      </c>
      <c r="G164" s="4" t="s">
        <v>56</v>
      </c>
    </row>
    <row r="165" spans="1:7" ht="15.75" customHeight="1">
      <c r="A165" s="5">
        <v>145077800</v>
      </c>
      <c r="B165" s="6" t="s">
        <v>236</v>
      </c>
      <c r="C165" s="5" t="s">
        <v>237</v>
      </c>
      <c r="D165" s="5" t="s">
        <v>238</v>
      </c>
      <c r="E165" s="5" t="s">
        <v>486</v>
      </c>
      <c r="F165" s="6" t="s">
        <v>55</v>
      </c>
      <c r="G165" s="6" t="s">
        <v>56</v>
      </c>
    </row>
    <row r="166" spans="1:7" ht="15.75" customHeight="1">
      <c r="A166" s="3">
        <v>72875564</v>
      </c>
      <c r="B166" s="4" t="s">
        <v>487</v>
      </c>
      <c r="C166" s="3" t="s">
        <v>488</v>
      </c>
      <c r="D166" s="3" t="s">
        <v>489</v>
      </c>
      <c r="E166" s="3" t="s">
        <v>490</v>
      </c>
      <c r="F166" s="4" t="s">
        <v>420</v>
      </c>
      <c r="G166" s="4" t="s">
        <v>421</v>
      </c>
    </row>
    <row r="167" spans="1:7" ht="15.75" customHeight="1">
      <c r="A167" s="5">
        <v>43528937</v>
      </c>
      <c r="B167" s="6" t="s">
        <v>247</v>
      </c>
      <c r="C167" s="5" t="s">
        <v>248</v>
      </c>
      <c r="D167" s="5">
        <v>79281794882</v>
      </c>
      <c r="E167" s="5" t="s">
        <v>491</v>
      </c>
      <c r="F167" s="6" t="s">
        <v>55</v>
      </c>
      <c r="G167" s="6" t="s">
        <v>56</v>
      </c>
    </row>
    <row r="168" spans="1:7" ht="15.75" customHeight="1">
      <c r="A168" s="3">
        <v>160762403</v>
      </c>
      <c r="B168" s="4" t="s">
        <v>492</v>
      </c>
      <c r="C168" s="3" t="s">
        <v>493</v>
      </c>
      <c r="D168" s="3" t="s">
        <v>494</v>
      </c>
      <c r="E168" s="3" t="s">
        <v>495</v>
      </c>
      <c r="F168" s="4" t="s">
        <v>496</v>
      </c>
      <c r="G168" s="4" t="s">
        <v>497</v>
      </c>
    </row>
    <row r="169" spans="1:7" ht="15.75" customHeight="1">
      <c r="A169" s="5">
        <v>159462872</v>
      </c>
      <c r="B169" s="6" t="s">
        <v>498</v>
      </c>
      <c r="C169" s="5" t="s">
        <v>499</v>
      </c>
      <c r="D169" s="5" t="s">
        <v>500</v>
      </c>
      <c r="E169" s="5" t="s">
        <v>501</v>
      </c>
      <c r="F169" s="6" t="s">
        <v>204</v>
      </c>
      <c r="G169" s="6" t="s">
        <v>205</v>
      </c>
    </row>
    <row r="170" spans="1:7" ht="15.75" customHeight="1">
      <c r="A170" s="3">
        <v>122087340</v>
      </c>
      <c r="B170" s="4" t="s">
        <v>428</v>
      </c>
      <c r="C170" s="3" t="s">
        <v>429</v>
      </c>
      <c r="D170" s="3" t="s">
        <v>430</v>
      </c>
      <c r="E170" s="3" t="s">
        <v>502</v>
      </c>
      <c r="F170" s="4" t="s">
        <v>432</v>
      </c>
      <c r="G170" s="4" t="s">
        <v>77</v>
      </c>
    </row>
    <row r="171" spans="1:7" ht="15.75" customHeight="1">
      <c r="A171" s="5">
        <v>122087340</v>
      </c>
      <c r="B171" s="6" t="s">
        <v>428</v>
      </c>
      <c r="C171" s="5" t="s">
        <v>429</v>
      </c>
      <c r="D171" s="5" t="s">
        <v>430</v>
      </c>
      <c r="E171" s="5" t="s">
        <v>503</v>
      </c>
      <c r="F171" s="6" t="s">
        <v>496</v>
      </c>
      <c r="G171" s="6" t="s">
        <v>497</v>
      </c>
    </row>
    <row r="172" spans="1:7" ht="15.75" customHeight="1">
      <c r="A172" s="3">
        <v>121548126</v>
      </c>
      <c r="B172" s="4" t="s">
        <v>386</v>
      </c>
      <c r="C172" s="3" t="s">
        <v>387</v>
      </c>
      <c r="D172" s="3" t="s">
        <v>388</v>
      </c>
      <c r="E172" s="3" t="s">
        <v>504</v>
      </c>
      <c r="F172" s="4" t="s">
        <v>399</v>
      </c>
      <c r="G172" s="4" t="s">
        <v>400</v>
      </c>
    </row>
    <row r="173" spans="1:7" ht="15.75" customHeight="1">
      <c r="A173" s="5">
        <v>161795029</v>
      </c>
      <c r="B173" s="6" t="s">
        <v>223</v>
      </c>
      <c r="C173" s="5" t="s">
        <v>224</v>
      </c>
      <c r="D173" s="5" t="s">
        <v>225</v>
      </c>
      <c r="E173" s="5" t="s">
        <v>505</v>
      </c>
      <c r="F173" s="6" t="s">
        <v>444</v>
      </c>
      <c r="G173" s="6" t="s">
        <v>445</v>
      </c>
    </row>
    <row r="174" spans="1:7" ht="15.75" customHeight="1">
      <c r="A174" s="3">
        <v>161795029</v>
      </c>
      <c r="B174" s="4" t="s">
        <v>223</v>
      </c>
      <c r="C174" s="3" t="s">
        <v>224</v>
      </c>
      <c r="D174" s="3" t="s">
        <v>225</v>
      </c>
      <c r="E174" s="3" t="s">
        <v>506</v>
      </c>
      <c r="F174" s="4" t="s">
        <v>444</v>
      </c>
      <c r="G174" s="4" t="s">
        <v>445</v>
      </c>
    </row>
    <row r="175" spans="1:7" ht="15.75" customHeight="1">
      <c r="A175" s="5">
        <v>73815586</v>
      </c>
      <c r="B175" s="6" t="s">
        <v>507</v>
      </c>
      <c r="C175" s="5" t="s">
        <v>508</v>
      </c>
      <c r="D175" s="5">
        <v>79086311436</v>
      </c>
      <c r="E175" s="5" t="s">
        <v>509</v>
      </c>
      <c r="F175" s="6" t="s">
        <v>432</v>
      </c>
      <c r="G175" s="6" t="s">
        <v>77</v>
      </c>
    </row>
    <row r="176" spans="1:7" ht="15.75" customHeight="1">
      <c r="A176" s="3">
        <v>88674915</v>
      </c>
      <c r="B176" s="4" t="s">
        <v>510</v>
      </c>
      <c r="C176" s="3" t="s">
        <v>511</v>
      </c>
      <c r="D176" s="3" t="s">
        <v>512</v>
      </c>
      <c r="E176" s="3" t="s">
        <v>513</v>
      </c>
      <c r="F176" s="4" t="s">
        <v>444</v>
      </c>
      <c r="G176" s="4" t="s">
        <v>445</v>
      </c>
    </row>
    <row r="177" spans="1:7" ht="15.75" customHeight="1">
      <c r="A177" s="5">
        <v>58366228</v>
      </c>
      <c r="B177" s="6" t="s">
        <v>33</v>
      </c>
      <c r="C177" s="5" t="s">
        <v>34</v>
      </c>
      <c r="D177" s="5">
        <v>79263978128</v>
      </c>
      <c r="E177" s="5" t="s">
        <v>514</v>
      </c>
      <c r="F177" s="6" t="s">
        <v>515</v>
      </c>
      <c r="G177" s="6" t="s">
        <v>516</v>
      </c>
    </row>
    <row r="178" spans="1:7" ht="15.75" customHeight="1">
      <c r="A178" s="3">
        <v>142861454</v>
      </c>
      <c r="B178" s="4" t="s">
        <v>36</v>
      </c>
      <c r="C178" s="3" t="s">
        <v>37</v>
      </c>
      <c r="D178" s="3" t="s">
        <v>38</v>
      </c>
      <c r="E178" s="3" t="s">
        <v>517</v>
      </c>
      <c r="F178" s="4" t="s">
        <v>515</v>
      </c>
      <c r="G178" s="4" t="s">
        <v>516</v>
      </c>
    </row>
    <row r="179" spans="1:7" ht="15.75" customHeight="1">
      <c r="A179" s="5">
        <v>72496872</v>
      </c>
      <c r="B179" s="6" t="s">
        <v>43</v>
      </c>
      <c r="C179" s="5" t="s">
        <v>44</v>
      </c>
      <c r="D179" s="5">
        <v>79156392705</v>
      </c>
      <c r="E179" s="5" t="s">
        <v>518</v>
      </c>
      <c r="F179" s="6" t="s">
        <v>515</v>
      </c>
      <c r="G179" s="6" t="s">
        <v>516</v>
      </c>
    </row>
    <row r="180" spans="1:7" ht="15.75" customHeight="1">
      <c r="A180" s="3">
        <v>44524687</v>
      </c>
      <c r="B180" s="4" t="s">
        <v>30</v>
      </c>
      <c r="C180" s="3" t="s">
        <v>31</v>
      </c>
      <c r="D180" s="3">
        <v>79006474256</v>
      </c>
      <c r="E180" s="3" t="s">
        <v>519</v>
      </c>
      <c r="F180" s="4" t="s">
        <v>515</v>
      </c>
      <c r="G180" s="4" t="s">
        <v>516</v>
      </c>
    </row>
    <row r="181" spans="1:7" ht="15.75" customHeight="1">
      <c r="A181" s="5">
        <v>69226375</v>
      </c>
      <c r="B181" s="6" t="s">
        <v>14</v>
      </c>
      <c r="C181" s="5" t="s">
        <v>15</v>
      </c>
      <c r="D181" s="5">
        <v>79774294072</v>
      </c>
      <c r="E181" s="5" t="s">
        <v>520</v>
      </c>
      <c r="F181" s="6" t="s">
        <v>515</v>
      </c>
      <c r="G181" s="6" t="s">
        <v>516</v>
      </c>
    </row>
    <row r="182" spans="1:7" ht="15.75" customHeight="1">
      <c r="A182" s="3">
        <v>88485110</v>
      </c>
      <c r="B182" s="4" t="s">
        <v>27</v>
      </c>
      <c r="C182" s="3" t="s">
        <v>28</v>
      </c>
      <c r="D182" s="3">
        <v>79679611111</v>
      </c>
      <c r="E182" s="3" t="s">
        <v>521</v>
      </c>
      <c r="F182" s="4" t="s">
        <v>515</v>
      </c>
      <c r="G182" s="4" t="s">
        <v>516</v>
      </c>
    </row>
    <row r="183" spans="1:7" ht="15.75" customHeight="1">
      <c r="A183" s="5">
        <v>62966218</v>
      </c>
      <c r="B183" s="6" t="s">
        <v>522</v>
      </c>
      <c r="C183" s="5" t="s">
        <v>523</v>
      </c>
      <c r="D183" s="5" t="s">
        <v>524</v>
      </c>
      <c r="E183" s="5" t="s">
        <v>525</v>
      </c>
      <c r="F183" s="6" t="s">
        <v>55</v>
      </c>
      <c r="G183" s="6" t="s">
        <v>56</v>
      </c>
    </row>
    <row r="184" spans="1:7" ht="15.75" customHeight="1">
      <c r="A184" s="3">
        <v>117519061</v>
      </c>
      <c r="B184" s="4" t="s">
        <v>526</v>
      </c>
      <c r="C184" s="3" t="s">
        <v>527</v>
      </c>
      <c r="D184" s="3" t="s">
        <v>528</v>
      </c>
      <c r="E184" s="3" t="s">
        <v>529</v>
      </c>
      <c r="F184" s="4" t="s">
        <v>97</v>
      </c>
      <c r="G184" s="4" t="s">
        <v>98</v>
      </c>
    </row>
    <row r="185" spans="1:7" ht="15.75" customHeight="1">
      <c r="A185" s="5">
        <v>117519061</v>
      </c>
      <c r="B185" s="6" t="s">
        <v>526</v>
      </c>
      <c r="C185" s="5" t="s">
        <v>527</v>
      </c>
      <c r="D185" s="5" t="s">
        <v>528</v>
      </c>
      <c r="E185" s="5" t="s">
        <v>530</v>
      </c>
      <c r="F185" s="6" t="s">
        <v>531</v>
      </c>
      <c r="G185" s="6" t="s">
        <v>369</v>
      </c>
    </row>
    <row r="186" spans="1:7" ht="15.75" customHeight="1">
      <c r="A186" s="3">
        <v>74506456</v>
      </c>
      <c r="B186" s="4" t="s">
        <v>137</v>
      </c>
      <c r="C186" s="3" t="s">
        <v>138</v>
      </c>
      <c r="D186" s="3" t="s">
        <v>139</v>
      </c>
      <c r="E186" s="3" t="s">
        <v>532</v>
      </c>
      <c r="F186" s="4" t="s">
        <v>55</v>
      </c>
      <c r="G186" s="4" t="s">
        <v>56</v>
      </c>
    </row>
    <row r="187" spans="1:7" ht="15.75" customHeight="1">
      <c r="A187" s="5">
        <v>147468618</v>
      </c>
      <c r="B187" s="6" t="s">
        <v>533</v>
      </c>
      <c r="C187" s="5" t="s">
        <v>534</v>
      </c>
      <c r="D187" s="5" t="s">
        <v>535</v>
      </c>
      <c r="E187" s="5" t="s">
        <v>536</v>
      </c>
      <c r="F187" s="6" t="s">
        <v>537</v>
      </c>
      <c r="G187" s="6" t="s">
        <v>538</v>
      </c>
    </row>
    <row r="188" spans="1:7" ht="15.75" customHeight="1">
      <c r="A188" s="3">
        <v>87978421</v>
      </c>
      <c r="B188" s="4" t="s">
        <v>283</v>
      </c>
      <c r="C188" s="3" t="s">
        <v>284</v>
      </c>
      <c r="D188" s="3">
        <v>375296783690</v>
      </c>
      <c r="E188" s="3" t="s">
        <v>539</v>
      </c>
      <c r="F188" s="4" t="s">
        <v>537</v>
      </c>
      <c r="G188" s="4" t="s">
        <v>538</v>
      </c>
    </row>
    <row r="189" spans="1:7" ht="15.75" customHeight="1">
      <c r="A189" s="5">
        <v>82916830</v>
      </c>
      <c r="B189" s="6" t="s">
        <v>423</v>
      </c>
      <c r="C189" s="5" t="s">
        <v>424</v>
      </c>
      <c r="D189" s="5" t="s">
        <v>425</v>
      </c>
      <c r="E189" s="5" t="s">
        <v>540</v>
      </c>
      <c r="F189" s="6" t="s">
        <v>537</v>
      </c>
      <c r="G189" s="6" t="s">
        <v>538</v>
      </c>
    </row>
    <row r="190" spans="1:7" ht="15.75" customHeight="1">
      <c r="A190" s="3">
        <v>78223056</v>
      </c>
      <c r="B190" s="4" t="s">
        <v>182</v>
      </c>
      <c r="C190" s="3" t="s">
        <v>183</v>
      </c>
      <c r="D190" s="3">
        <v>79161528379</v>
      </c>
      <c r="E190" s="3" t="s">
        <v>541</v>
      </c>
      <c r="F190" s="4" t="s">
        <v>537</v>
      </c>
      <c r="G190" s="4" t="s">
        <v>538</v>
      </c>
    </row>
    <row r="191" spans="1:7" ht="15.75" customHeight="1">
      <c r="A191" s="5">
        <v>162133676</v>
      </c>
      <c r="B191" s="6" t="s">
        <v>289</v>
      </c>
      <c r="C191" s="5" t="s">
        <v>290</v>
      </c>
      <c r="D191" s="5">
        <v>26402041</v>
      </c>
      <c r="E191" s="5" t="s">
        <v>542</v>
      </c>
      <c r="F191" s="6" t="s">
        <v>537</v>
      </c>
      <c r="G191" s="6" t="s">
        <v>538</v>
      </c>
    </row>
    <row r="192" spans="1:7" ht="15.75" customHeight="1">
      <c r="A192" s="3">
        <v>113421295</v>
      </c>
      <c r="B192" s="4" t="s">
        <v>543</v>
      </c>
      <c r="C192" s="3" t="s">
        <v>544</v>
      </c>
      <c r="D192" s="3" t="s">
        <v>545</v>
      </c>
      <c r="E192" s="3" t="s">
        <v>546</v>
      </c>
      <c r="F192" s="4" t="s">
        <v>55</v>
      </c>
      <c r="G192" s="4" t="s">
        <v>56</v>
      </c>
    </row>
    <row r="193" spans="1:7" ht="15.75" customHeight="1">
      <c r="A193" s="5">
        <v>124951700</v>
      </c>
      <c r="B193" s="6" t="s">
        <v>547</v>
      </c>
      <c r="C193" s="5" t="s">
        <v>548</v>
      </c>
      <c r="D193" s="5" t="s">
        <v>549</v>
      </c>
      <c r="E193" s="5" t="s">
        <v>550</v>
      </c>
      <c r="F193" s="6" t="s">
        <v>444</v>
      </c>
      <c r="G193" s="6" t="s">
        <v>445</v>
      </c>
    </row>
    <row r="194" spans="1:7" ht="15.75" customHeight="1">
      <c r="A194" s="3">
        <v>127549104</v>
      </c>
      <c r="B194" s="4" t="s">
        <v>178</v>
      </c>
      <c r="C194" s="3" t="s">
        <v>179</v>
      </c>
      <c r="D194" s="3" t="s">
        <v>180</v>
      </c>
      <c r="E194" s="3" t="s">
        <v>551</v>
      </c>
      <c r="F194" s="4" t="s">
        <v>537</v>
      </c>
      <c r="G194" s="4" t="s">
        <v>538</v>
      </c>
    </row>
    <row r="195" spans="1:7" ht="15.75" customHeight="1">
      <c r="A195" s="5">
        <v>66065045</v>
      </c>
      <c r="B195" s="6" t="s">
        <v>315</v>
      </c>
      <c r="C195" s="5" t="s">
        <v>316</v>
      </c>
      <c r="D195" s="5" t="s">
        <v>317</v>
      </c>
      <c r="E195" s="5" t="s">
        <v>552</v>
      </c>
      <c r="F195" s="6" t="s">
        <v>537</v>
      </c>
      <c r="G195" s="6" t="s">
        <v>538</v>
      </c>
    </row>
    <row r="196" spans="1:7" ht="15.75" customHeight="1">
      <c r="A196" s="3">
        <v>121548126</v>
      </c>
      <c r="B196" s="4" t="s">
        <v>386</v>
      </c>
      <c r="C196" s="3" t="s">
        <v>387</v>
      </c>
      <c r="D196" s="3" t="s">
        <v>388</v>
      </c>
      <c r="E196" s="3" t="s">
        <v>553</v>
      </c>
      <c r="F196" s="4" t="s">
        <v>444</v>
      </c>
      <c r="G196" s="4" t="s">
        <v>445</v>
      </c>
    </row>
    <row r="197" spans="1:7" ht="15.75" customHeight="1">
      <c r="A197" s="5">
        <v>64579474</v>
      </c>
      <c r="B197" s="6" t="s">
        <v>124</v>
      </c>
      <c r="C197" s="5" t="s">
        <v>125</v>
      </c>
      <c r="D197" s="5">
        <v>380713212251</v>
      </c>
      <c r="E197" s="5" t="s">
        <v>554</v>
      </c>
      <c r="F197" s="6" t="s">
        <v>127</v>
      </c>
      <c r="G197" s="6" t="s">
        <v>56</v>
      </c>
    </row>
    <row r="198" spans="1:7" ht="15.75" customHeight="1">
      <c r="A198" s="3">
        <v>166158391</v>
      </c>
      <c r="B198" s="4" t="s">
        <v>329</v>
      </c>
      <c r="C198" s="3" t="s">
        <v>330</v>
      </c>
      <c r="D198" s="3">
        <v>79965163991</v>
      </c>
      <c r="E198" s="3" t="s">
        <v>555</v>
      </c>
      <c r="F198" s="4" t="s">
        <v>537</v>
      </c>
      <c r="G198" s="4" t="s">
        <v>538</v>
      </c>
    </row>
    <row r="199" spans="1:7" ht="15.75" customHeight="1">
      <c r="A199" s="5">
        <v>165060489</v>
      </c>
      <c r="B199" s="6" t="s">
        <v>556</v>
      </c>
      <c r="C199" s="5" t="s">
        <v>557</v>
      </c>
      <c r="D199" s="5">
        <v>79012813970</v>
      </c>
      <c r="E199" s="5" t="s">
        <v>558</v>
      </c>
      <c r="F199" s="6" t="s">
        <v>537</v>
      </c>
      <c r="G199" s="6" t="s">
        <v>538</v>
      </c>
    </row>
    <row r="200" spans="1:7" ht="15.75" customHeight="1">
      <c r="A200" s="3">
        <v>92965067</v>
      </c>
      <c r="B200" s="4" t="s">
        <v>144</v>
      </c>
      <c r="C200" s="3" t="s">
        <v>145</v>
      </c>
      <c r="D200" s="3" t="s">
        <v>146</v>
      </c>
      <c r="E200" s="3" t="s">
        <v>559</v>
      </c>
      <c r="F200" s="4" t="s">
        <v>444</v>
      </c>
      <c r="G200" s="4" t="s">
        <v>445</v>
      </c>
    </row>
    <row r="201" spans="1:7" ht="15.75" customHeight="1">
      <c r="A201" s="5">
        <v>117519061</v>
      </c>
      <c r="B201" s="6" t="s">
        <v>526</v>
      </c>
      <c r="C201" s="5" t="s">
        <v>527</v>
      </c>
      <c r="D201" s="5" t="s">
        <v>528</v>
      </c>
      <c r="E201" s="5" t="s">
        <v>560</v>
      </c>
      <c r="F201" s="6" t="s">
        <v>561</v>
      </c>
      <c r="G201" s="6" t="s">
        <v>538</v>
      </c>
    </row>
    <row r="202" spans="1:7" ht="15.75" customHeight="1">
      <c r="A202" s="3">
        <v>115950675</v>
      </c>
      <c r="B202" s="4" t="s">
        <v>562</v>
      </c>
      <c r="C202" s="3" t="s">
        <v>563</v>
      </c>
      <c r="D202" s="3" t="s">
        <v>564</v>
      </c>
      <c r="E202" s="3" t="s">
        <v>565</v>
      </c>
      <c r="F202" s="4" t="s">
        <v>390</v>
      </c>
      <c r="G202" s="4" t="s">
        <v>391</v>
      </c>
    </row>
    <row r="203" spans="1:7" ht="15.75" customHeight="1">
      <c r="A203" s="5">
        <v>115950675</v>
      </c>
      <c r="B203" s="6" t="s">
        <v>562</v>
      </c>
      <c r="C203" s="5" t="s">
        <v>563</v>
      </c>
      <c r="D203" s="5" t="s">
        <v>564</v>
      </c>
      <c r="E203" s="5" t="s">
        <v>566</v>
      </c>
      <c r="F203" s="6" t="s">
        <v>567</v>
      </c>
      <c r="G203" s="6" t="s">
        <v>568</v>
      </c>
    </row>
    <row r="204" spans="1:7" ht="15.75" customHeight="1">
      <c r="A204" s="3">
        <v>72504477</v>
      </c>
      <c r="B204" s="4" t="s">
        <v>303</v>
      </c>
      <c r="C204" s="3" t="s">
        <v>304</v>
      </c>
      <c r="D204" s="3" t="s">
        <v>305</v>
      </c>
      <c r="E204" s="3" t="s">
        <v>569</v>
      </c>
      <c r="F204" s="4" t="s">
        <v>570</v>
      </c>
      <c r="G204" s="4" t="s">
        <v>571</v>
      </c>
    </row>
    <row r="205" spans="1:7" ht="15.75" customHeight="1">
      <c r="A205" s="5">
        <v>79129052</v>
      </c>
      <c r="B205" s="6" t="s">
        <v>572</v>
      </c>
      <c r="C205" s="5" t="s">
        <v>573</v>
      </c>
      <c r="D205" s="5">
        <v>380665708958</v>
      </c>
      <c r="E205" s="5" t="s">
        <v>574</v>
      </c>
      <c r="F205" s="6" t="s">
        <v>204</v>
      </c>
      <c r="G205" s="6" t="s">
        <v>205</v>
      </c>
    </row>
    <row r="206" spans="1:7" ht="15.75" customHeight="1">
      <c r="A206" s="3">
        <v>43454271</v>
      </c>
      <c r="B206" s="4" t="s">
        <v>575</v>
      </c>
      <c r="C206" s="3" t="s">
        <v>576</v>
      </c>
      <c r="D206" s="3">
        <v>79175903472</v>
      </c>
      <c r="E206" s="3" t="s">
        <v>577</v>
      </c>
      <c r="F206" s="4" t="s">
        <v>537</v>
      </c>
      <c r="G206" s="4" t="s">
        <v>538</v>
      </c>
    </row>
    <row r="207" spans="1:7" ht="15.75" customHeight="1">
      <c r="A207" s="5">
        <v>159443265</v>
      </c>
      <c r="B207" s="6" t="s">
        <v>578</v>
      </c>
      <c r="C207" s="5" t="s">
        <v>579</v>
      </c>
      <c r="D207" s="5" t="s">
        <v>580</v>
      </c>
      <c r="E207" s="5" t="s">
        <v>581</v>
      </c>
      <c r="F207" s="6" t="s">
        <v>537</v>
      </c>
      <c r="G207" s="6" t="s">
        <v>538</v>
      </c>
    </row>
    <row r="208" spans="1:7" ht="15.75" customHeight="1">
      <c r="A208" s="3">
        <v>88990755</v>
      </c>
      <c r="B208" s="4" t="s">
        <v>582</v>
      </c>
      <c r="C208" s="3" t="s">
        <v>583</v>
      </c>
      <c r="D208" s="3" t="s">
        <v>584</v>
      </c>
      <c r="E208" s="3" t="s">
        <v>585</v>
      </c>
      <c r="F208" s="4" t="s">
        <v>537</v>
      </c>
      <c r="G208" s="4" t="s">
        <v>538</v>
      </c>
    </row>
    <row r="209" spans="1:7" ht="15.75" customHeight="1">
      <c r="A209" s="5">
        <v>91002647</v>
      </c>
      <c r="B209" s="6" t="s">
        <v>586</v>
      </c>
      <c r="C209" s="5" t="s">
        <v>587</v>
      </c>
      <c r="D209" s="5" t="s">
        <v>588</v>
      </c>
      <c r="E209" s="5" t="s">
        <v>589</v>
      </c>
      <c r="F209" s="6" t="s">
        <v>590</v>
      </c>
      <c r="G209" s="6" t="s">
        <v>591</v>
      </c>
    </row>
    <row r="210" spans="1:7" ht="15.75" customHeight="1">
      <c r="A210" s="3">
        <v>96520067</v>
      </c>
      <c r="B210" s="4" t="s">
        <v>592</v>
      </c>
      <c r="C210" s="3" t="s">
        <v>593</v>
      </c>
      <c r="D210" s="3">
        <v>380503362604</v>
      </c>
      <c r="E210" s="3" t="s">
        <v>594</v>
      </c>
      <c r="F210" s="4" t="s">
        <v>570</v>
      </c>
      <c r="G210" s="4" t="s">
        <v>571</v>
      </c>
    </row>
    <row r="211" spans="1:7" ht="15.75" customHeight="1">
      <c r="A211" s="5">
        <v>87247814</v>
      </c>
      <c r="B211" s="6" t="s">
        <v>595</v>
      </c>
      <c r="C211" s="5" t="s">
        <v>596</v>
      </c>
      <c r="D211" s="5">
        <v>37067403333</v>
      </c>
      <c r="E211" s="5" t="s">
        <v>597</v>
      </c>
      <c r="F211" s="6" t="s">
        <v>537</v>
      </c>
      <c r="G211" s="6" t="s">
        <v>538</v>
      </c>
    </row>
    <row r="212" spans="1:7" ht="15.75" customHeight="1">
      <c r="A212" s="3">
        <v>80641359</v>
      </c>
      <c r="B212" s="4" t="s">
        <v>598</v>
      </c>
      <c r="C212" s="3" t="s">
        <v>599</v>
      </c>
      <c r="D212" s="3" t="s">
        <v>600</v>
      </c>
      <c r="E212" s="3" t="s">
        <v>601</v>
      </c>
      <c r="F212" s="4" t="s">
        <v>537</v>
      </c>
      <c r="G212" s="4" t="s">
        <v>538</v>
      </c>
    </row>
    <row r="213" spans="1:7" ht="15.75" customHeight="1">
      <c r="A213" s="5">
        <v>65884516</v>
      </c>
      <c r="B213" s="6" t="s">
        <v>602</v>
      </c>
      <c r="C213" s="5" t="s">
        <v>603</v>
      </c>
      <c r="D213" s="5" t="s">
        <v>604</v>
      </c>
      <c r="E213" s="5" t="s">
        <v>605</v>
      </c>
      <c r="F213" s="6" t="s">
        <v>537</v>
      </c>
      <c r="G213" s="6" t="s">
        <v>538</v>
      </c>
    </row>
    <row r="214" spans="1:7" ht="15.75" customHeight="1">
      <c r="A214" s="3">
        <v>47211305</v>
      </c>
      <c r="B214" s="4" t="s">
        <v>392</v>
      </c>
      <c r="C214" s="3" t="s">
        <v>393</v>
      </c>
      <c r="D214" s="3">
        <v>79025242387</v>
      </c>
      <c r="E214" s="3" t="s">
        <v>606</v>
      </c>
      <c r="F214" s="4" t="s">
        <v>607</v>
      </c>
      <c r="G214" s="4" t="s">
        <v>608</v>
      </c>
    </row>
    <row r="215" spans="1:7" ht="15.75" customHeight="1">
      <c r="A215" s="5">
        <v>88990755</v>
      </c>
      <c r="B215" s="6" t="s">
        <v>582</v>
      </c>
      <c r="C215" s="5" t="s">
        <v>583</v>
      </c>
      <c r="D215" s="5" t="s">
        <v>584</v>
      </c>
      <c r="E215" s="5" t="s">
        <v>609</v>
      </c>
      <c r="F215" s="6" t="s">
        <v>561</v>
      </c>
      <c r="G215" s="6" t="s">
        <v>538</v>
      </c>
    </row>
    <row r="216" spans="1:7" ht="15.75" customHeight="1">
      <c r="A216" s="3">
        <v>64569439</v>
      </c>
      <c r="B216" s="4" t="s">
        <v>610</v>
      </c>
      <c r="C216" s="3" t="s">
        <v>611</v>
      </c>
      <c r="D216" s="3" t="s">
        <v>612</v>
      </c>
      <c r="E216" s="3" t="s">
        <v>613</v>
      </c>
      <c r="F216" s="4" t="s">
        <v>561</v>
      </c>
      <c r="G216" s="4" t="s">
        <v>538</v>
      </c>
    </row>
    <row r="217" spans="1:7" ht="15.75" customHeight="1">
      <c r="A217" s="5">
        <v>55750410</v>
      </c>
      <c r="B217" s="6" t="s">
        <v>63</v>
      </c>
      <c r="C217" s="5" t="s">
        <v>64</v>
      </c>
      <c r="D217" s="5">
        <v>79897704789</v>
      </c>
      <c r="E217" s="5" t="s">
        <v>614</v>
      </c>
      <c r="F217" s="6" t="s">
        <v>561</v>
      </c>
      <c r="G217" s="6" t="s">
        <v>538</v>
      </c>
    </row>
    <row r="218" spans="1:7" ht="15.75" customHeight="1">
      <c r="A218" s="3">
        <v>88674915</v>
      </c>
      <c r="B218" s="4" t="s">
        <v>510</v>
      </c>
      <c r="C218" s="3" t="s">
        <v>511</v>
      </c>
      <c r="D218" s="3" t="s">
        <v>512</v>
      </c>
      <c r="E218" s="3" t="s">
        <v>615</v>
      </c>
      <c r="F218" s="4" t="s">
        <v>537</v>
      </c>
      <c r="G218" s="4" t="s">
        <v>538</v>
      </c>
    </row>
    <row r="219" spans="1:7" ht="15.75" customHeight="1">
      <c r="A219" s="5">
        <v>115950675</v>
      </c>
      <c r="B219" s="6" t="s">
        <v>562</v>
      </c>
      <c r="C219" s="5" t="s">
        <v>563</v>
      </c>
      <c r="D219" s="5" t="s">
        <v>564</v>
      </c>
      <c r="E219" s="5" t="s">
        <v>616</v>
      </c>
      <c r="F219" s="6" t="s">
        <v>617</v>
      </c>
      <c r="G219" s="6" t="s">
        <v>568</v>
      </c>
    </row>
    <row r="220" spans="1:7" ht="15.75" customHeight="1">
      <c r="A220" s="3">
        <v>146814109</v>
      </c>
      <c r="B220" s="4" t="s">
        <v>133</v>
      </c>
      <c r="C220" s="3" t="s">
        <v>134</v>
      </c>
      <c r="D220" s="3" t="s">
        <v>135</v>
      </c>
      <c r="E220" s="3" t="s">
        <v>618</v>
      </c>
      <c r="F220" s="4" t="s">
        <v>561</v>
      </c>
      <c r="G220" s="4" t="s">
        <v>538</v>
      </c>
    </row>
    <row r="221" spans="1:7" ht="15.75" customHeight="1">
      <c r="A221" s="5">
        <v>84634054</v>
      </c>
      <c r="B221" s="6" t="s">
        <v>619</v>
      </c>
      <c r="C221" s="5" t="s">
        <v>620</v>
      </c>
      <c r="D221" s="5">
        <v>79082634355</v>
      </c>
      <c r="E221" s="5" t="s">
        <v>621</v>
      </c>
      <c r="F221" s="6" t="s">
        <v>537</v>
      </c>
      <c r="G221" s="6" t="s">
        <v>538</v>
      </c>
    </row>
    <row r="222" spans="1:7" ht="15.75" customHeight="1">
      <c r="A222" s="3">
        <v>146814109</v>
      </c>
      <c r="B222" s="4" t="s">
        <v>133</v>
      </c>
      <c r="C222" s="3" t="s">
        <v>134</v>
      </c>
      <c r="D222" s="3" t="s">
        <v>135</v>
      </c>
      <c r="E222" s="3" t="s">
        <v>622</v>
      </c>
      <c r="F222" s="4" t="s">
        <v>623</v>
      </c>
      <c r="G222" s="4" t="s">
        <v>624</v>
      </c>
    </row>
    <row r="223" spans="1:7" ht="15.75" customHeight="1">
      <c r="A223" s="5">
        <v>146814109</v>
      </c>
      <c r="B223" s="6" t="s">
        <v>133</v>
      </c>
      <c r="C223" s="5" t="s">
        <v>134</v>
      </c>
      <c r="D223" s="5" t="s">
        <v>135</v>
      </c>
      <c r="E223" s="5" t="s">
        <v>625</v>
      </c>
      <c r="F223" s="6" t="s">
        <v>561</v>
      </c>
      <c r="G223" s="6" t="s">
        <v>538</v>
      </c>
    </row>
    <row r="224" spans="1:7" ht="15.75" customHeight="1">
      <c r="A224" s="3">
        <v>87247814</v>
      </c>
      <c r="B224" s="4" t="s">
        <v>595</v>
      </c>
      <c r="C224" s="3" t="s">
        <v>596</v>
      </c>
      <c r="D224" s="3">
        <v>37067403333</v>
      </c>
      <c r="E224" s="3" t="s">
        <v>626</v>
      </c>
      <c r="F224" s="4" t="s">
        <v>561</v>
      </c>
      <c r="G224" s="4" t="s">
        <v>538</v>
      </c>
    </row>
    <row r="225" spans="1:7" ht="15.75" customHeight="1">
      <c r="A225" s="5">
        <v>88990755</v>
      </c>
      <c r="B225" s="6" t="s">
        <v>582</v>
      </c>
      <c r="C225" s="5" t="s">
        <v>583</v>
      </c>
      <c r="D225" s="5" t="s">
        <v>584</v>
      </c>
      <c r="E225" s="5" t="s">
        <v>627</v>
      </c>
      <c r="F225" s="6" t="s">
        <v>561</v>
      </c>
      <c r="G225" s="6" t="s">
        <v>538</v>
      </c>
    </row>
    <row r="226" spans="1:7" ht="15.75" customHeight="1">
      <c r="A226" s="3">
        <v>145642081</v>
      </c>
      <c r="B226" s="4" t="s">
        <v>628</v>
      </c>
      <c r="C226" s="3" t="s">
        <v>629</v>
      </c>
      <c r="D226" s="3" t="s">
        <v>630</v>
      </c>
      <c r="E226" s="3" t="s">
        <v>631</v>
      </c>
      <c r="F226" s="4" t="s">
        <v>561</v>
      </c>
      <c r="G226" s="4" t="s">
        <v>538</v>
      </c>
    </row>
    <row r="227" spans="1:7" ht="15.75" customHeight="1">
      <c r="A227" s="5">
        <v>92907328</v>
      </c>
      <c r="B227" s="6" t="s">
        <v>416</v>
      </c>
      <c r="C227" s="5" t="s">
        <v>417</v>
      </c>
      <c r="D227" s="5" t="s">
        <v>418</v>
      </c>
      <c r="E227" s="5" t="s">
        <v>632</v>
      </c>
      <c r="F227" s="6" t="s">
        <v>561</v>
      </c>
      <c r="G227" s="6" t="s">
        <v>538</v>
      </c>
    </row>
    <row r="228" spans="1:7" ht="15.75" customHeight="1">
      <c r="A228" s="3">
        <v>65884516</v>
      </c>
      <c r="B228" s="4" t="s">
        <v>602</v>
      </c>
      <c r="C228" s="3" t="s">
        <v>603</v>
      </c>
      <c r="D228" s="3" t="s">
        <v>604</v>
      </c>
      <c r="E228" s="3" t="s">
        <v>633</v>
      </c>
      <c r="F228" s="4" t="s">
        <v>570</v>
      </c>
      <c r="G228" s="4" t="s">
        <v>571</v>
      </c>
    </row>
    <row r="229" spans="1:7" ht="15.75" customHeight="1">
      <c r="A229" s="5">
        <v>161795029</v>
      </c>
      <c r="B229" s="6" t="s">
        <v>223</v>
      </c>
      <c r="C229" s="5" t="s">
        <v>224</v>
      </c>
      <c r="D229" s="5" t="s">
        <v>225</v>
      </c>
      <c r="E229" s="5" t="s">
        <v>634</v>
      </c>
      <c r="F229" s="6" t="s">
        <v>635</v>
      </c>
      <c r="G229" s="6" t="s">
        <v>636</v>
      </c>
    </row>
    <row r="230" spans="1:7" ht="15.75" customHeight="1">
      <c r="A230" s="3">
        <v>71829510</v>
      </c>
      <c r="B230" s="4" t="s">
        <v>637</v>
      </c>
      <c r="C230" s="3" t="s">
        <v>638</v>
      </c>
      <c r="D230" s="3">
        <v>79184493967</v>
      </c>
      <c r="E230" s="3" t="s">
        <v>639</v>
      </c>
      <c r="F230" s="4" t="s">
        <v>561</v>
      </c>
      <c r="G230" s="4" t="s">
        <v>538</v>
      </c>
    </row>
    <row r="231" spans="1:7" ht="15.75" customHeight="1">
      <c r="A231" s="5">
        <v>104677633</v>
      </c>
      <c r="B231" s="6" t="s">
        <v>640</v>
      </c>
      <c r="C231" s="5" t="s">
        <v>641</v>
      </c>
      <c r="D231" s="5" t="s">
        <v>642</v>
      </c>
      <c r="E231" s="5" t="s">
        <v>643</v>
      </c>
      <c r="F231" s="6" t="s">
        <v>537</v>
      </c>
      <c r="G231" s="6" t="s">
        <v>538</v>
      </c>
    </row>
    <row r="232" spans="1:7" ht="15.75" customHeight="1">
      <c r="A232" s="3">
        <v>147468618</v>
      </c>
      <c r="B232" s="4" t="s">
        <v>533</v>
      </c>
      <c r="C232" s="3" t="s">
        <v>534</v>
      </c>
      <c r="D232" s="3" t="s">
        <v>535</v>
      </c>
      <c r="E232" s="3" t="s">
        <v>644</v>
      </c>
      <c r="F232" s="4" t="s">
        <v>570</v>
      </c>
      <c r="G232" s="4" t="s">
        <v>571</v>
      </c>
    </row>
    <row r="233" spans="1:7" ht="15.75" customHeight="1">
      <c r="A233" s="5">
        <v>145077800</v>
      </c>
      <c r="B233" s="6" t="s">
        <v>236</v>
      </c>
      <c r="C233" s="5" t="s">
        <v>237</v>
      </c>
      <c r="D233" s="5" t="s">
        <v>238</v>
      </c>
      <c r="E233" s="5" t="s">
        <v>645</v>
      </c>
      <c r="F233" s="6" t="s">
        <v>561</v>
      </c>
      <c r="G233" s="6" t="s">
        <v>538</v>
      </c>
    </row>
    <row r="234" spans="1:7" ht="15.75" customHeight="1">
      <c r="A234" s="3">
        <v>145642081</v>
      </c>
      <c r="B234" s="4" t="s">
        <v>628</v>
      </c>
      <c r="C234" s="3" t="s">
        <v>629</v>
      </c>
      <c r="D234" s="3" t="s">
        <v>630</v>
      </c>
      <c r="E234" s="3" t="s">
        <v>646</v>
      </c>
      <c r="F234" s="4" t="s">
        <v>537</v>
      </c>
      <c r="G234" s="4" t="s">
        <v>538</v>
      </c>
    </row>
    <row r="235" spans="1:7" ht="15.75" customHeight="1">
      <c r="A235" s="5">
        <v>83511568</v>
      </c>
      <c r="B235" s="6" t="s">
        <v>647</v>
      </c>
      <c r="C235" s="5" t="s">
        <v>648</v>
      </c>
      <c r="D235" s="5">
        <v>998972485031</v>
      </c>
      <c r="E235" s="5" t="s">
        <v>649</v>
      </c>
      <c r="F235" s="6" t="s">
        <v>537</v>
      </c>
      <c r="G235" s="6" t="s">
        <v>538</v>
      </c>
    </row>
    <row r="236" spans="1:7" ht="15.75" customHeight="1">
      <c r="A236" s="3">
        <v>69469106</v>
      </c>
      <c r="B236" s="4" t="s">
        <v>120</v>
      </c>
      <c r="C236" s="3" t="s">
        <v>121</v>
      </c>
      <c r="D236" s="3" t="s">
        <v>122</v>
      </c>
      <c r="E236" s="3" t="s">
        <v>650</v>
      </c>
      <c r="F236" s="4" t="s">
        <v>55</v>
      </c>
      <c r="G236" s="4" t="s">
        <v>56</v>
      </c>
    </row>
    <row r="237" spans="1:7" ht="15.75" customHeight="1">
      <c r="A237" s="5">
        <v>66408959</v>
      </c>
      <c r="B237" s="6" t="s">
        <v>651</v>
      </c>
      <c r="C237" s="5" t="s">
        <v>652</v>
      </c>
      <c r="D237" s="5">
        <v>79194425862</v>
      </c>
      <c r="E237" s="5" t="s">
        <v>653</v>
      </c>
      <c r="F237" s="6" t="s">
        <v>537</v>
      </c>
      <c r="G237" s="6" t="s">
        <v>538</v>
      </c>
    </row>
    <row r="238" spans="1:7" ht="15.75" customHeight="1">
      <c r="A238" s="3">
        <v>71934265</v>
      </c>
      <c r="B238" s="4" t="s">
        <v>654</v>
      </c>
      <c r="C238" s="3" t="s">
        <v>655</v>
      </c>
      <c r="D238" s="3" t="s">
        <v>656</v>
      </c>
      <c r="E238" s="3" t="s">
        <v>657</v>
      </c>
      <c r="F238" s="4" t="s">
        <v>537</v>
      </c>
      <c r="G238" s="4" t="s">
        <v>538</v>
      </c>
    </row>
    <row r="239" spans="1:7" ht="15.75" customHeight="1">
      <c r="A239" s="5">
        <v>127020556</v>
      </c>
      <c r="B239" s="6" t="s">
        <v>658</v>
      </c>
      <c r="C239" s="5" t="s">
        <v>659</v>
      </c>
      <c r="D239" s="5" t="s">
        <v>660</v>
      </c>
      <c r="E239" s="5" t="s">
        <v>661</v>
      </c>
      <c r="F239" s="6" t="s">
        <v>537</v>
      </c>
      <c r="G239" s="6" t="s">
        <v>538</v>
      </c>
    </row>
    <row r="240" spans="1:7" ht="15.75" customHeight="1">
      <c r="A240" s="3">
        <v>148301586</v>
      </c>
      <c r="B240" s="4" t="s">
        <v>662</v>
      </c>
      <c r="C240" s="3" t="s">
        <v>663</v>
      </c>
      <c r="D240" s="3">
        <v>79373308840</v>
      </c>
      <c r="E240" s="3" t="s">
        <v>664</v>
      </c>
      <c r="F240" s="4" t="s">
        <v>561</v>
      </c>
      <c r="G240" s="4" t="s">
        <v>538</v>
      </c>
    </row>
    <row r="241" spans="1:7" ht="15.75" customHeight="1">
      <c r="A241" s="5">
        <v>91069076</v>
      </c>
      <c r="B241" s="6" t="s">
        <v>665</v>
      </c>
      <c r="C241" s="5" t="s">
        <v>666</v>
      </c>
      <c r="D241" s="5" t="s">
        <v>667</v>
      </c>
      <c r="E241" s="5" t="s">
        <v>668</v>
      </c>
      <c r="F241" s="6" t="s">
        <v>561</v>
      </c>
      <c r="G241" s="6" t="s">
        <v>538</v>
      </c>
    </row>
    <row r="242" spans="1:7" ht="15.75" customHeight="1">
      <c r="A242" s="3">
        <v>90931110</v>
      </c>
      <c r="B242" s="4" t="s">
        <v>669</v>
      </c>
      <c r="C242" s="3" t="s">
        <v>670</v>
      </c>
      <c r="D242" s="3" t="s">
        <v>671</v>
      </c>
      <c r="E242" s="3" t="s">
        <v>672</v>
      </c>
      <c r="F242" s="4" t="s">
        <v>561</v>
      </c>
      <c r="G242" s="4" t="s">
        <v>538</v>
      </c>
    </row>
    <row r="243" spans="1:7" ht="15.75" customHeight="1">
      <c r="A243" s="5">
        <v>102015887</v>
      </c>
      <c r="B243" s="6" t="s">
        <v>673</v>
      </c>
      <c r="C243" s="5" t="s">
        <v>674</v>
      </c>
      <c r="D243" s="5">
        <v>359888716058</v>
      </c>
      <c r="E243" s="5" t="s">
        <v>675</v>
      </c>
      <c r="F243" s="6" t="s">
        <v>570</v>
      </c>
      <c r="G243" s="6" t="s">
        <v>571</v>
      </c>
    </row>
    <row r="244" spans="1:7" ht="15.75" customHeight="1">
      <c r="A244" s="3">
        <v>122087340</v>
      </c>
      <c r="B244" s="4" t="s">
        <v>428</v>
      </c>
      <c r="C244" s="3" t="s">
        <v>429</v>
      </c>
      <c r="D244" s="3" t="s">
        <v>430</v>
      </c>
      <c r="E244" s="3" t="s">
        <v>676</v>
      </c>
      <c r="F244" s="4" t="s">
        <v>561</v>
      </c>
      <c r="G244" s="4" t="s">
        <v>538</v>
      </c>
    </row>
    <row r="245" spans="1:7" ht="15.75" customHeight="1">
      <c r="A245" s="5">
        <v>64632309</v>
      </c>
      <c r="B245" s="6" t="s">
        <v>677</v>
      </c>
      <c r="C245" s="5" t="s">
        <v>678</v>
      </c>
      <c r="D245" s="5">
        <v>79393392480</v>
      </c>
      <c r="E245" s="5" t="s">
        <v>679</v>
      </c>
      <c r="F245" s="6" t="s">
        <v>561</v>
      </c>
      <c r="G245" s="6" t="s">
        <v>538</v>
      </c>
    </row>
    <row r="246" spans="1:7" ht="15.75" customHeight="1">
      <c r="A246" s="3">
        <v>113228780</v>
      </c>
      <c r="B246" s="4" t="s">
        <v>680</v>
      </c>
      <c r="C246" s="3" t="s">
        <v>681</v>
      </c>
      <c r="D246" s="3">
        <v>79006427495</v>
      </c>
      <c r="E246" s="3" t="s">
        <v>682</v>
      </c>
      <c r="F246" s="4" t="s">
        <v>561</v>
      </c>
      <c r="G246" s="4" t="s">
        <v>538</v>
      </c>
    </row>
    <row r="247" spans="1:7" ht="15.75" customHeight="1">
      <c r="A247" s="5">
        <v>71934265</v>
      </c>
      <c r="B247" s="6" t="s">
        <v>654</v>
      </c>
      <c r="C247" s="5" t="s">
        <v>655</v>
      </c>
      <c r="D247" s="5" t="s">
        <v>656</v>
      </c>
      <c r="E247" s="5" t="s">
        <v>683</v>
      </c>
      <c r="F247" s="6" t="s">
        <v>561</v>
      </c>
      <c r="G247" s="6" t="s">
        <v>538</v>
      </c>
    </row>
    <row r="248" spans="1:7" ht="15.75" customHeight="1">
      <c r="A248" s="3">
        <v>147188293</v>
      </c>
      <c r="B248" s="4" t="s">
        <v>684</v>
      </c>
      <c r="C248" s="3" t="s">
        <v>685</v>
      </c>
      <c r="D248" s="3" t="s">
        <v>686</v>
      </c>
      <c r="E248" s="3" t="s">
        <v>687</v>
      </c>
      <c r="F248" s="4" t="s">
        <v>561</v>
      </c>
      <c r="G248" s="4" t="s">
        <v>538</v>
      </c>
    </row>
    <row r="249" spans="1:7" ht="15.75" customHeight="1">
      <c r="A249" s="5">
        <v>80641359</v>
      </c>
      <c r="B249" s="6" t="s">
        <v>598</v>
      </c>
      <c r="C249" s="5" t="s">
        <v>599</v>
      </c>
      <c r="D249" s="5" t="s">
        <v>600</v>
      </c>
      <c r="E249" s="5" t="s">
        <v>688</v>
      </c>
      <c r="F249" s="6" t="s">
        <v>561</v>
      </c>
      <c r="G249" s="6" t="s">
        <v>538</v>
      </c>
    </row>
    <row r="250" spans="1:7" ht="15.75" customHeight="1">
      <c r="A250" s="3">
        <v>82916830</v>
      </c>
      <c r="B250" s="4" t="s">
        <v>423</v>
      </c>
      <c r="C250" s="3" t="s">
        <v>424</v>
      </c>
      <c r="D250" s="3" t="s">
        <v>425</v>
      </c>
      <c r="E250" s="3" t="s">
        <v>689</v>
      </c>
      <c r="F250" s="4" t="s">
        <v>561</v>
      </c>
      <c r="G250" s="4" t="s">
        <v>538</v>
      </c>
    </row>
    <row r="251" spans="1:7" ht="15.75" customHeight="1">
      <c r="A251" s="5">
        <v>85990970</v>
      </c>
      <c r="B251" s="6" t="s">
        <v>690</v>
      </c>
      <c r="C251" s="5" t="s">
        <v>691</v>
      </c>
      <c r="D251" s="5">
        <v>79185463636</v>
      </c>
      <c r="E251" s="5" t="s">
        <v>692</v>
      </c>
      <c r="F251" s="6" t="s">
        <v>561</v>
      </c>
      <c r="G251" s="6" t="s">
        <v>538</v>
      </c>
    </row>
    <row r="252" spans="1:7" ht="15.75" customHeight="1">
      <c r="A252" s="3">
        <v>146733643</v>
      </c>
      <c r="B252" s="4" t="s">
        <v>693</v>
      </c>
      <c r="C252" s="3" t="s">
        <v>694</v>
      </c>
      <c r="D252" s="3" t="s">
        <v>695</v>
      </c>
      <c r="E252" s="3" t="s">
        <v>696</v>
      </c>
      <c r="F252" s="4" t="s">
        <v>561</v>
      </c>
      <c r="G252" s="4" t="s">
        <v>538</v>
      </c>
    </row>
    <row r="253" spans="1:7" ht="15.75" customHeight="1">
      <c r="A253" s="5">
        <v>89790177</v>
      </c>
      <c r="B253" s="6" t="s">
        <v>697</v>
      </c>
      <c r="C253" s="5" t="s">
        <v>698</v>
      </c>
      <c r="D253" s="5">
        <v>434664824510</v>
      </c>
      <c r="E253" s="5" t="s">
        <v>699</v>
      </c>
      <c r="F253" s="6" t="s">
        <v>561</v>
      </c>
      <c r="G253" s="6" t="s">
        <v>538</v>
      </c>
    </row>
    <row r="254" spans="1:7" ht="15.75" customHeight="1">
      <c r="A254" s="3">
        <v>145642081</v>
      </c>
      <c r="B254" s="4" t="s">
        <v>628</v>
      </c>
      <c r="C254" s="3" t="s">
        <v>629</v>
      </c>
      <c r="D254" s="3" t="s">
        <v>630</v>
      </c>
      <c r="E254" s="3" t="s">
        <v>700</v>
      </c>
      <c r="F254" s="4" t="s">
        <v>537</v>
      </c>
      <c r="G254" s="4" t="s">
        <v>538</v>
      </c>
    </row>
    <row r="255" spans="1:7" ht="15.75" customHeight="1">
      <c r="A255" s="5">
        <v>65690079</v>
      </c>
      <c r="B255" s="6" t="s">
        <v>476</v>
      </c>
      <c r="C255" s="5" t="s">
        <v>477</v>
      </c>
      <c r="D255" s="5" t="s">
        <v>478</v>
      </c>
      <c r="E255" s="5" t="s">
        <v>701</v>
      </c>
      <c r="F255" s="6" t="s">
        <v>55</v>
      </c>
      <c r="G255" s="6" t="s">
        <v>56</v>
      </c>
    </row>
    <row r="256" spans="1:7" ht="15.75" customHeight="1">
      <c r="A256" s="3">
        <v>151508607</v>
      </c>
      <c r="B256" s="4" t="s">
        <v>702</v>
      </c>
      <c r="C256" s="3" t="s">
        <v>703</v>
      </c>
      <c r="D256" s="3">
        <v>79154962348</v>
      </c>
      <c r="E256" s="3" t="s">
        <v>704</v>
      </c>
      <c r="F256" s="4" t="s">
        <v>281</v>
      </c>
      <c r="G256" s="4" t="s">
        <v>282</v>
      </c>
    </row>
    <row r="257" spans="1:7" ht="15.75" customHeight="1">
      <c r="A257" s="5">
        <v>145077800</v>
      </c>
      <c r="B257" s="6" t="s">
        <v>236</v>
      </c>
      <c r="C257" s="5" t="s">
        <v>237</v>
      </c>
      <c r="D257" s="5" t="s">
        <v>238</v>
      </c>
      <c r="E257" s="5" t="s">
        <v>705</v>
      </c>
      <c r="F257" s="6" t="s">
        <v>444</v>
      </c>
      <c r="G257" s="6" t="s">
        <v>445</v>
      </c>
    </row>
    <row r="258" spans="1:7" ht="15.75" customHeight="1">
      <c r="A258" s="3">
        <v>88797855</v>
      </c>
      <c r="B258" s="4" t="s">
        <v>706</v>
      </c>
      <c r="C258" s="3" t="s">
        <v>707</v>
      </c>
      <c r="D258" s="3">
        <v>79522729779</v>
      </c>
      <c r="E258" s="3" t="s">
        <v>708</v>
      </c>
      <c r="F258" s="4" t="s">
        <v>709</v>
      </c>
      <c r="G258" s="4" t="s">
        <v>710</v>
      </c>
    </row>
    <row r="259" spans="1:7" ht="15.75" customHeight="1">
      <c r="A259" s="5">
        <v>59947508</v>
      </c>
      <c r="B259" s="6" t="s">
        <v>337</v>
      </c>
      <c r="C259" s="5" t="s">
        <v>338</v>
      </c>
      <c r="D259" s="5" t="s">
        <v>339</v>
      </c>
      <c r="E259" s="5" t="s">
        <v>711</v>
      </c>
      <c r="F259" s="6" t="s">
        <v>55</v>
      </c>
      <c r="G259" s="6" t="s">
        <v>56</v>
      </c>
    </row>
    <row r="260" spans="1:7" ht="15.75" customHeight="1">
      <c r="A260" s="3">
        <v>157826361</v>
      </c>
      <c r="B260" s="4" t="s">
        <v>712</v>
      </c>
      <c r="C260" s="3" t="s">
        <v>713</v>
      </c>
      <c r="D260" s="3">
        <v>79250796033</v>
      </c>
      <c r="E260" s="3" t="s">
        <v>714</v>
      </c>
      <c r="F260" s="4" t="s">
        <v>281</v>
      </c>
      <c r="G260" s="4" t="s">
        <v>282</v>
      </c>
    </row>
    <row r="261" spans="1:7" ht="15.75" customHeight="1">
      <c r="A261" s="5">
        <v>159553374</v>
      </c>
      <c r="B261" s="6" t="s">
        <v>361</v>
      </c>
      <c r="C261" s="5" t="s">
        <v>362</v>
      </c>
      <c r="D261" s="5" t="s">
        <v>363</v>
      </c>
      <c r="E261" s="5" t="s">
        <v>715</v>
      </c>
      <c r="F261" s="6" t="s">
        <v>55</v>
      </c>
      <c r="G261" s="6" t="s">
        <v>56</v>
      </c>
    </row>
    <row r="262" spans="1:7" ht="15.75" customHeight="1">
      <c r="A262" s="3">
        <v>122382624</v>
      </c>
      <c r="B262" s="4" t="s">
        <v>716</v>
      </c>
      <c r="C262" s="3" t="s">
        <v>717</v>
      </c>
      <c r="D262" s="3" t="s">
        <v>718</v>
      </c>
      <c r="E262" s="3" t="s">
        <v>719</v>
      </c>
      <c r="F262" s="4" t="s">
        <v>720</v>
      </c>
      <c r="G262" s="4" t="s">
        <v>721</v>
      </c>
    </row>
    <row r="263" spans="1:7" ht="15.75" customHeight="1">
      <c r="A263" s="5">
        <v>114710165</v>
      </c>
      <c r="B263" s="6" t="s">
        <v>261</v>
      </c>
      <c r="C263" s="5" t="s">
        <v>262</v>
      </c>
      <c r="D263" s="5">
        <v>79181351575</v>
      </c>
      <c r="E263" s="5" t="s">
        <v>722</v>
      </c>
      <c r="F263" s="6" t="s">
        <v>623</v>
      </c>
      <c r="G263" s="6" t="s">
        <v>624</v>
      </c>
    </row>
    <row r="264" spans="1:7" ht="15.75" customHeight="1">
      <c r="A264" s="3">
        <v>122087340</v>
      </c>
      <c r="B264" s="4" t="s">
        <v>428</v>
      </c>
      <c r="C264" s="3" t="s">
        <v>429</v>
      </c>
      <c r="D264" s="3" t="s">
        <v>430</v>
      </c>
      <c r="E264" s="3" t="s">
        <v>723</v>
      </c>
      <c r="F264" s="4" t="s">
        <v>724</v>
      </c>
      <c r="G264" s="4" t="s">
        <v>725</v>
      </c>
    </row>
    <row r="265" spans="1:7" ht="15.75" customHeight="1">
      <c r="A265" s="5">
        <v>122087340</v>
      </c>
      <c r="B265" s="6" t="s">
        <v>428</v>
      </c>
      <c r="C265" s="5" t="s">
        <v>429</v>
      </c>
      <c r="D265" s="5" t="s">
        <v>430</v>
      </c>
      <c r="E265" s="5" t="s">
        <v>726</v>
      </c>
      <c r="F265" s="6" t="s">
        <v>727</v>
      </c>
      <c r="G265" s="6" t="s">
        <v>728</v>
      </c>
    </row>
    <row r="266" spans="1:7" ht="15.75" customHeight="1">
      <c r="A266" s="3">
        <v>50693657</v>
      </c>
      <c r="B266" s="4" t="s">
        <v>729</v>
      </c>
      <c r="C266" s="3" t="s">
        <v>730</v>
      </c>
      <c r="D266" s="3">
        <v>79884966976</v>
      </c>
      <c r="E266" s="3" t="s">
        <v>731</v>
      </c>
      <c r="F266" s="4" t="s">
        <v>720</v>
      </c>
      <c r="G266" s="4" t="s">
        <v>721</v>
      </c>
    </row>
    <row r="267" spans="1:7" ht="15.75" customHeight="1">
      <c r="A267" s="5">
        <v>124068528</v>
      </c>
      <c r="B267" s="6" t="s">
        <v>732</v>
      </c>
      <c r="C267" s="5" t="s">
        <v>733</v>
      </c>
      <c r="D267" s="5" t="s">
        <v>734</v>
      </c>
      <c r="E267" s="5" t="s">
        <v>735</v>
      </c>
      <c r="F267" s="6" t="s">
        <v>55</v>
      </c>
      <c r="G267" s="6" t="s">
        <v>56</v>
      </c>
    </row>
    <row r="268" spans="1:7" ht="15.75" customHeight="1">
      <c r="A268" s="3">
        <v>152730179</v>
      </c>
      <c r="B268" s="4" t="s">
        <v>736</v>
      </c>
      <c r="C268" s="3" t="s">
        <v>737</v>
      </c>
      <c r="D268" s="3" t="s">
        <v>738</v>
      </c>
      <c r="E268" s="3" t="s">
        <v>739</v>
      </c>
      <c r="F268" s="4" t="s">
        <v>281</v>
      </c>
      <c r="G268" s="4" t="s">
        <v>282</v>
      </c>
    </row>
    <row r="269" spans="1:7" ht="15.75" customHeight="1">
      <c r="A269" s="5">
        <v>67179034</v>
      </c>
      <c r="B269" s="6" t="s">
        <v>740</v>
      </c>
      <c r="C269" s="5" t="s">
        <v>741</v>
      </c>
      <c r="D269" s="5" t="s">
        <v>742</v>
      </c>
      <c r="E269" s="5" t="s">
        <v>743</v>
      </c>
      <c r="F269" s="6" t="s">
        <v>635</v>
      </c>
      <c r="G269" s="6" t="s">
        <v>636</v>
      </c>
    </row>
    <row r="270" spans="1:7" ht="15.75" customHeight="1">
      <c r="A270" s="3">
        <v>165060489</v>
      </c>
      <c r="B270" s="4" t="s">
        <v>556</v>
      </c>
      <c r="C270" s="3" t="s">
        <v>557</v>
      </c>
      <c r="D270" s="3">
        <v>79012813970</v>
      </c>
      <c r="E270" s="3" t="s">
        <v>744</v>
      </c>
      <c r="F270" s="4" t="s">
        <v>635</v>
      </c>
      <c r="G270" s="4" t="s">
        <v>636</v>
      </c>
    </row>
    <row r="271" spans="1:7" ht="15.75" customHeight="1">
      <c r="A271" s="5">
        <v>82916830</v>
      </c>
      <c r="B271" s="6" t="s">
        <v>423</v>
      </c>
      <c r="C271" s="5" t="s">
        <v>424</v>
      </c>
      <c r="D271" s="5" t="s">
        <v>425</v>
      </c>
      <c r="E271" s="5" t="s">
        <v>745</v>
      </c>
      <c r="F271" s="6" t="s">
        <v>746</v>
      </c>
      <c r="G271" s="6" t="s">
        <v>369</v>
      </c>
    </row>
    <row r="272" spans="1:7" ht="15.75" customHeight="1">
      <c r="A272" s="3">
        <v>52238024</v>
      </c>
      <c r="B272" s="4" t="s">
        <v>747</v>
      </c>
      <c r="C272" s="3" t="s">
        <v>748</v>
      </c>
      <c r="D272" s="3">
        <v>79143389472</v>
      </c>
      <c r="E272" s="3" t="s">
        <v>749</v>
      </c>
      <c r="F272" s="4" t="s">
        <v>607</v>
      </c>
      <c r="G272" s="4" t="s">
        <v>608</v>
      </c>
    </row>
    <row r="273" spans="1:7" ht="15.75" customHeight="1">
      <c r="A273" s="5">
        <v>52238024</v>
      </c>
      <c r="B273" s="6" t="s">
        <v>747</v>
      </c>
      <c r="C273" s="5" t="s">
        <v>748</v>
      </c>
      <c r="D273" s="5">
        <v>79143389472</v>
      </c>
      <c r="E273" s="5" t="s">
        <v>750</v>
      </c>
      <c r="F273" s="6" t="s">
        <v>607</v>
      </c>
      <c r="G273" s="6" t="s">
        <v>608</v>
      </c>
    </row>
    <row r="274" spans="1:7" ht="15.75" customHeight="1">
      <c r="A274" s="3">
        <v>67983493</v>
      </c>
      <c r="B274" s="4" t="s">
        <v>751</v>
      </c>
      <c r="C274" s="3" t="s">
        <v>752</v>
      </c>
      <c r="D274" s="3">
        <v>79245671411</v>
      </c>
      <c r="E274" s="3" t="s">
        <v>753</v>
      </c>
      <c r="F274" s="4" t="s">
        <v>617</v>
      </c>
      <c r="G274" s="4" t="s">
        <v>568</v>
      </c>
    </row>
    <row r="275" spans="1:7" ht="15.75" customHeight="1">
      <c r="A275" s="5">
        <v>121548126</v>
      </c>
      <c r="B275" s="6" t="s">
        <v>386</v>
      </c>
      <c r="C275" s="5" t="s">
        <v>387</v>
      </c>
      <c r="D275" s="5" t="s">
        <v>388</v>
      </c>
      <c r="E275" s="5" t="s">
        <v>754</v>
      </c>
      <c r="F275" s="6" t="s">
        <v>281</v>
      </c>
      <c r="G275" s="6" t="s">
        <v>282</v>
      </c>
    </row>
    <row r="276" spans="1:7" ht="15.75" customHeight="1">
      <c r="A276" s="3">
        <v>139104204</v>
      </c>
      <c r="B276" s="4" t="s">
        <v>755</v>
      </c>
      <c r="C276" s="3" t="s">
        <v>756</v>
      </c>
      <c r="D276" s="3">
        <v>79304167961</v>
      </c>
      <c r="E276" s="3" t="s">
        <v>757</v>
      </c>
      <c r="F276" s="4" t="s">
        <v>623</v>
      </c>
      <c r="G276" s="4" t="s">
        <v>624</v>
      </c>
    </row>
    <row r="277" spans="1:7" ht="15.75" customHeight="1">
      <c r="A277" s="5">
        <v>126574177</v>
      </c>
      <c r="B277" s="6" t="s">
        <v>758</v>
      </c>
      <c r="C277" s="5" t="s">
        <v>759</v>
      </c>
      <c r="D277" s="5" t="s">
        <v>760</v>
      </c>
      <c r="E277" s="5" t="s">
        <v>761</v>
      </c>
      <c r="F277" s="6" t="s">
        <v>623</v>
      </c>
      <c r="G277" s="6" t="s">
        <v>624</v>
      </c>
    </row>
    <row r="278" spans="1:7" ht="15.75" customHeight="1">
      <c r="A278" s="3">
        <v>147807369</v>
      </c>
      <c r="B278" s="4" t="s">
        <v>762</v>
      </c>
      <c r="C278" s="3" t="s">
        <v>763</v>
      </c>
      <c r="D278" s="3"/>
      <c r="E278" s="3" t="s">
        <v>764</v>
      </c>
      <c r="F278" s="4" t="s">
        <v>590</v>
      </c>
      <c r="G278" s="4" t="s">
        <v>591</v>
      </c>
    </row>
    <row r="279" spans="1:7" ht="15.75" customHeight="1">
      <c r="A279" s="5">
        <v>159462872</v>
      </c>
      <c r="B279" s="6" t="s">
        <v>498</v>
      </c>
      <c r="C279" s="5" t="s">
        <v>499</v>
      </c>
      <c r="D279" s="5" t="s">
        <v>500</v>
      </c>
      <c r="E279" s="5" t="s">
        <v>765</v>
      </c>
      <c r="F279" s="6" t="s">
        <v>204</v>
      </c>
      <c r="G279" s="6" t="s">
        <v>205</v>
      </c>
    </row>
    <row r="280" spans="1:7" ht="15.75" customHeight="1">
      <c r="A280" s="3">
        <v>79139679</v>
      </c>
      <c r="B280" s="4" t="s">
        <v>169</v>
      </c>
      <c r="C280" s="3" t="s">
        <v>170</v>
      </c>
      <c r="D280" s="3">
        <v>77775256550</v>
      </c>
      <c r="E280" s="3" t="s">
        <v>766</v>
      </c>
      <c r="F280" s="4" t="s">
        <v>767</v>
      </c>
      <c r="G280" s="4" t="s">
        <v>768</v>
      </c>
    </row>
    <row r="281" spans="1:7" ht="15.75" customHeight="1">
      <c r="A281" s="5">
        <v>50643476</v>
      </c>
      <c r="B281" s="6" t="s">
        <v>215</v>
      </c>
      <c r="C281" s="5" t="s">
        <v>216</v>
      </c>
      <c r="D281" s="5">
        <v>375297330814</v>
      </c>
      <c r="E281" s="5" t="s">
        <v>769</v>
      </c>
      <c r="F281" s="6" t="s">
        <v>55</v>
      </c>
      <c r="G281" s="6" t="s">
        <v>56</v>
      </c>
    </row>
    <row r="282" spans="1:7" ht="15.75" customHeight="1">
      <c r="A282" s="3">
        <v>78223056</v>
      </c>
      <c r="B282" s="4" t="s">
        <v>182</v>
      </c>
      <c r="C282" s="3" t="s">
        <v>183</v>
      </c>
      <c r="D282" s="3">
        <v>79161528379</v>
      </c>
      <c r="E282" s="3" t="s">
        <v>770</v>
      </c>
      <c r="F282" s="4" t="s">
        <v>55</v>
      </c>
      <c r="G282" s="4" t="s">
        <v>56</v>
      </c>
    </row>
    <row r="283" spans="1:7" ht="15.75" customHeight="1">
      <c r="A283" s="5">
        <v>88485110</v>
      </c>
      <c r="B283" s="6" t="s">
        <v>27</v>
      </c>
      <c r="C283" s="5" t="s">
        <v>28</v>
      </c>
      <c r="D283" s="5">
        <v>79679611111</v>
      </c>
      <c r="E283" s="5" t="s">
        <v>771</v>
      </c>
      <c r="F283" s="6" t="s">
        <v>772</v>
      </c>
      <c r="G283" s="6" t="s">
        <v>773</v>
      </c>
    </row>
    <row r="284" spans="1:7" ht="15.75" customHeight="1">
      <c r="A284" s="3">
        <v>72496872</v>
      </c>
      <c r="B284" s="4" t="s">
        <v>43</v>
      </c>
      <c r="C284" s="3" t="s">
        <v>44</v>
      </c>
      <c r="D284" s="3">
        <v>79156392705</v>
      </c>
      <c r="E284" s="3" t="s">
        <v>774</v>
      </c>
      <c r="F284" s="4" t="s">
        <v>772</v>
      </c>
      <c r="G284" s="4" t="s">
        <v>773</v>
      </c>
    </row>
    <row r="285" spans="1:7" ht="15.75" customHeight="1">
      <c r="A285" s="5">
        <v>58366228</v>
      </c>
      <c r="B285" s="6" t="s">
        <v>33</v>
      </c>
      <c r="C285" s="5" t="s">
        <v>34</v>
      </c>
      <c r="D285" s="5">
        <v>79263978128</v>
      </c>
      <c r="E285" s="5" t="s">
        <v>775</v>
      </c>
      <c r="F285" s="6" t="s">
        <v>772</v>
      </c>
      <c r="G285" s="6" t="s">
        <v>773</v>
      </c>
    </row>
    <row r="286" spans="1:7" ht="15.75" customHeight="1">
      <c r="A286" s="3">
        <v>44524687</v>
      </c>
      <c r="B286" s="4" t="s">
        <v>30</v>
      </c>
      <c r="C286" s="3" t="s">
        <v>31</v>
      </c>
      <c r="D286" s="3">
        <v>79006474256</v>
      </c>
      <c r="E286" s="3" t="s">
        <v>776</v>
      </c>
      <c r="F286" s="4" t="s">
        <v>772</v>
      </c>
      <c r="G286" s="4" t="s">
        <v>773</v>
      </c>
    </row>
    <row r="287" spans="1:7" ht="15.75" customHeight="1">
      <c r="A287" s="5">
        <v>142861454</v>
      </c>
      <c r="B287" s="6" t="s">
        <v>36</v>
      </c>
      <c r="C287" s="5" t="s">
        <v>37</v>
      </c>
      <c r="D287" s="5" t="s">
        <v>38</v>
      </c>
      <c r="E287" s="5" t="s">
        <v>777</v>
      </c>
      <c r="F287" s="6" t="s">
        <v>772</v>
      </c>
      <c r="G287" s="6" t="s">
        <v>773</v>
      </c>
    </row>
    <row r="288" spans="1:7" ht="15.75" customHeight="1">
      <c r="A288" s="3">
        <v>69226375</v>
      </c>
      <c r="B288" s="4" t="s">
        <v>14</v>
      </c>
      <c r="C288" s="3" t="s">
        <v>15</v>
      </c>
      <c r="D288" s="3">
        <v>79774294072</v>
      </c>
      <c r="E288" s="3" t="s">
        <v>778</v>
      </c>
      <c r="F288" s="4" t="s">
        <v>772</v>
      </c>
      <c r="G288" s="4" t="s">
        <v>773</v>
      </c>
    </row>
    <row r="289" spans="1:7" ht="15.75" customHeight="1">
      <c r="A289" s="5">
        <v>45752685</v>
      </c>
      <c r="B289" s="6" t="s">
        <v>165</v>
      </c>
      <c r="C289" s="5" t="s">
        <v>166</v>
      </c>
      <c r="D289" s="5" t="s">
        <v>167</v>
      </c>
      <c r="E289" s="5" t="s">
        <v>779</v>
      </c>
      <c r="F289" s="6" t="s">
        <v>55</v>
      </c>
      <c r="G289" s="6" t="s">
        <v>56</v>
      </c>
    </row>
    <row r="290" spans="1:7" ht="15.75" customHeight="1">
      <c r="A290" s="3">
        <v>99974439</v>
      </c>
      <c r="B290" s="4" t="s">
        <v>160</v>
      </c>
      <c r="C290" s="3" t="s">
        <v>161</v>
      </c>
      <c r="D290" s="3" t="s">
        <v>162</v>
      </c>
      <c r="E290" s="3" t="s">
        <v>780</v>
      </c>
      <c r="F290" s="4" t="s">
        <v>55</v>
      </c>
      <c r="G290" s="4" t="s">
        <v>56</v>
      </c>
    </row>
    <row r="291" spans="1:7" ht="15.75" customHeight="1">
      <c r="A291" s="5">
        <v>59988008</v>
      </c>
      <c r="B291" s="6" t="s">
        <v>109</v>
      </c>
      <c r="C291" s="5" t="s">
        <v>110</v>
      </c>
      <c r="D291" s="5">
        <v>79263535558</v>
      </c>
      <c r="E291" s="5" t="s">
        <v>781</v>
      </c>
      <c r="F291" s="6" t="s">
        <v>55</v>
      </c>
      <c r="G291" s="6" t="s">
        <v>56</v>
      </c>
    </row>
    <row r="292" spans="1:7" ht="15.75" customHeight="1">
      <c r="A292" s="3">
        <v>43528937</v>
      </c>
      <c r="B292" s="4" t="s">
        <v>247</v>
      </c>
      <c r="C292" s="3" t="s">
        <v>248</v>
      </c>
      <c r="D292" s="3">
        <v>79281794882</v>
      </c>
      <c r="E292" s="3" t="s">
        <v>782</v>
      </c>
      <c r="F292" s="4" t="s">
        <v>55</v>
      </c>
      <c r="G292" s="4" t="s">
        <v>56</v>
      </c>
    </row>
    <row r="293" spans="1:7" ht="15.75" customHeight="1">
      <c r="A293" s="5">
        <v>165060489</v>
      </c>
      <c r="B293" s="6" t="s">
        <v>556</v>
      </c>
      <c r="C293" s="5" t="s">
        <v>557</v>
      </c>
      <c r="D293" s="5">
        <v>79012813970</v>
      </c>
      <c r="E293" s="5" t="s">
        <v>783</v>
      </c>
      <c r="F293" s="6" t="s">
        <v>784</v>
      </c>
      <c r="G293" s="6" t="s">
        <v>785</v>
      </c>
    </row>
    <row r="294" spans="1:7" ht="15.75" customHeight="1">
      <c r="A294" s="3">
        <v>109147240</v>
      </c>
      <c r="B294" s="4" t="s">
        <v>786</v>
      </c>
      <c r="C294" s="3" t="s">
        <v>787</v>
      </c>
      <c r="D294" s="3" t="s">
        <v>788</v>
      </c>
      <c r="E294" s="3" t="s">
        <v>789</v>
      </c>
      <c r="F294" s="4" t="s">
        <v>790</v>
      </c>
      <c r="G294" s="4" t="s">
        <v>791</v>
      </c>
    </row>
    <row r="295" spans="1:7" ht="15.75" customHeight="1">
      <c r="A295" s="5">
        <v>147814075</v>
      </c>
      <c r="B295" s="6" t="s">
        <v>283</v>
      </c>
      <c r="C295" s="5" t="s">
        <v>468</v>
      </c>
      <c r="D295" s="5" t="s">
        <v>469</v>
      </c>
      <c r="E295" s="5" t="s">
        <v>792</v>
      </c>
      <c r="F295" s="6" t="s">
        <v>55</v>
      </c>
      <c r="G295" s="6" t="s">
        <v>56</v>
      </c>
    </row>
    <row r="296" spans="1:7" ht="15.75" customHeight="1">
      <c r="A296" s="3">
        <v>147814075</v>
      </c>
      <c r="B296" s="4" t="s">
        <v>283</v>
      </c>
      <c r="C296" s="3" t="s">
        <v>468</v>
      </c>
      <c r="D296" s="3" t="s">
        <v>469</v>
      </c>
      <c r="E296" s="3" t="s">
        <v>793</v>
      </c>
      <c r="F296" s="4" t="s">
        <v>55</v>
      </c>
      <c r="G296" s="4" t="s">
        <v>56</v>
      </c>
    </row>
    <row r="297" spans="1:7" ht="15.75" customHeight="1">
      <c r="A297" s="5">
        <v>152730179</v>
      </c>
      <c r="B297" s="6" t="s">
        <v>736</v>
      </c>
      <c r="C297" s="5" t="s">
        <v>737</v>
      </c>
      <c r="D297" s="5" t="s">
        <v>738</v>
      </c>
      <c r="E297" s="5" t="s">
        <v>794</v>
      </c>
      <c r="F297" s="6" t="s">
        <v>795</v>
      </c>
      <c r="G297" s="6" t="s">
        <v>796</v>
      </c>
    </row>
    <row r="298" spans="1:7" ht="15.75" customHeight="1">
      <c r="A298" s="3">
        <v>161795029</v>
      </c>
      <c r="B298" s="4" t="s">
        <v>223</v>
      </c>
      <c r="C298" s="3" t="s">
        <v>224</v>
      </c>
      <c r="D298" s="3" t="s">
        <v>225</v>
      </c>
      <c r="E298" s="3" t="s">
        <v>797</v>
      </c>
      <c r="F298" s="4" t="s">
        <v>55</v>
      </c>
      <c r="G298" s="4" t="s">
        <v>56</v>
      </c>
    </row>
    <row r="299" spans="1:7" ht="15.75" customHeight="1">
      <c r="A299" s="5">
        <v>49959236</v>
      </c>
      <c r="B299" s="6" t="s">
        <v>798</v>
      </c>
      <c r="C299" s="5" t="s">
        <v>799</v>
      </c>
      <c r="D299" s="5">
        <v>79673098277</v>
      </c>
      <c r="E299" s="5" t="s">
        <v>800</v>
      </c>
      <c r="F299" s="6" t="s">
        <v>767</v>
      </c>
      <c r="G299" s="6" t="s">
        <v>768</v>
      </c>
    </row>
    <row r="300" spans="1:7" ht="15.75" customHeight="1">
      <c r="A300" s="3">
        <v>67530982</v>
      </c>
      <c r="B300" s="4" t="s">
        <v>383</v>
      </c>
      <c r="C300" s="3" t="s">
        <v>384</v>
      </c>
      <c r="D300" s="3">
        <v>79168585246</v>
      </c>
      <c r="E300" s="3" t="s">
        <v>801</v>
      </c>
      <c r="F300" s="4" t="s">
        <v>55</v>
      </c>
      <c r="G300" s="4" t="s">
        <v>56</v>
      </c>
    </row>
    <row r="301" spans="1:7" ht="15.75" customHeight="1">
      <c r="A301" s="5">
        <v>110937585</v>
      </c>
      <c r="B301" s="6" t="s">
        <v>802</v>
      </c>
      <c r="C301" s="5" t="s">
        <v>803</v>
      </c>
      <c r="D301" s="5" t="s">
        <v>804</v>
      </c>
      <c r="E301" s="5" t="s">
        <v>805</v>
      </c>
      <c r="F301" s="6" t="s">
        <v>806</v>
      </c>
      <c r="G301" s="6" t="s">
        <v>497</v>
      </c>
    </row>
    <row r="302" spans="1:7" ht="15.75" customHeight="1">
      <c r="A302" s="3">
        <v>119031728</v>
      </c>
      <c r="B302" s="4" t="s">
        <v>807</v>
      </c>
      <c r="C302" s="3" t="s">
        <v>808</v>
      </c>
      <c r="D302" s="3">
        <v>79035433222</v>
      </c>
      <c r="E302" s="3" t="s">
        <v>809</v>
      </c>
      <c r="F302" s="4" t="s">
        <v>810</v>
      </c>
      <c r="G302" s="4" t="s">
        <v>811</v>
      </c>
    </row>
    <row r="303" spans="1:7" ht="15.75" customHeight="1">
      <c r="A303" s="5">
        <v>78223056</v>
      </c>
      <c r="B303" s="6" t="s">
        <v>182</v>
      </c>
      <c r="C303" s="5" t="s">
        <v>183</v>
      </c>
      <c r="D303" s="5">
        <v>79161528379</v>
      </c>
      <c r="E303" s="5" t="s">
        <v>812</v>
      </c>
      <c r="F303" s="6" t="s">
        <v>813</v>
      </c>
      <c r="G303" s="6" t="s">
        <v>811</v>
      </c>
    </row>
    <row r="304" spans="1:7" ht="15.75" customHeight="1">
      <c r="A304" s="3">
        <v>72504477</v>
      </c>
      <c r="B304" s="4" t="s">
        <v>303</v>
      </c>
      <c r="C304" s="3" t="s">
        <v>304</v>
      </c>
      <c r="D304" s="3" t="s">
        <v>305</v>
      </c>
      <c r="E304" s="3" t="s">
        <v>814</v>
      </c>
      <c r="F304" s="4" t="s">
        <v>55</v>
      </c>
      <c r="G304" s="4" t="s">
        <v>56</v>
      </c>
    </row>
    <row r="305" spans="1:7" ht="15.75" customHeight="1">
      <c r="A305" s="5">
        <v>137354138</v>
      </c>
      <c r="B305" s="6" t="s">
        <v>815</v>
      </c>
      <c r="C305" s="5" t="s">
        <v>816</v>
      </c>
      <c r="D305" s="5">
        <v>79122969892</v>
      </c>
      <c r="E305" s="5" t="s">
        <v>817</v>
      </c>
      <c r="F305" s="6" t="s">
        <v>806</v>
      </c>
      <c r="G305" s="6" t="s">
        <v>497</v>
      </c>
    </row>
    <row r="306" spans="1:7" ht="15.75" customHeight="1">
      <c r="A306" s="3">
        <v>87668977</v>
      </c>
      <c r="B306" s="4" t="s">
        <v>818</v>
      </c>
      <c r="C306" s="3" t="s">
        <v>819</v>
      </c>
      <c r="D306" s="3" t="s">
        <v>820</v>
      </c>
      <c r="E306" s="3" t="s">
        <v>821</v>
      </c>
      <c r="F306" s="4" t="s">
        <v>806</v>
      </c>
      <c r="G306" s="4" t="s">
        <v>497</v>
      </c>
    </row>
    <row r="307" spans="1:7" ht="15.75" customHeight="1">
      <c r="A307" s="5">
        <v>166158391</v>
      </c>
      <c r="B307" s="6" t="s">
        <v>329</v>
      </c>
      <c r="C307" s="5" t="s">
        <v>330</v>
      </c>
      <c r="D307" s="5">
        <v>79965163991</v>
      </c>
      <c r="E307" s="5" t="s">
        <v>822</v>
      </c>
      <c r="F307" s="6" t="s">
        <v>823</v>
      </c>
      <c r="G307" s="6" t="s">
        <v>282</v>
      </c>
    </row>
    <row r="308" spans="1:7" ht="15.75" customHeight="1">
      <c r="A308" s="3">
        <v>159553374</v>
      </c>
      <c r="B308" s="4" t="s">
        <v>361</v>
      </c>
      <c r="C308" s="3" t="s">
        <v>362</v>
      </c>
      <c r="D308" s="3" t="s">
        <v>363</v>
      </c>
      <c r="E308" s="3" t="s">
        <v>824</v>
      </c>
      <c r="F308" s="4" t="s">
        <v>55</v>
      </c>
      <c r="G308" s="4" t="s">
        <v>56</v>
      </c>
    </row>
    <row r="309" spans="1:7" ht="15.75" customHeight="1">
      <c r="A309" s="5">
        <v>52238024</v>
      </c>
      <c r="B309" s="6" t="s">
        <v>747</v>
      </c>
      <c r="C309" s="5" t="s">
        <v>748</v>
      </c>
      <c r="D309" s="5">
        <v>79143389472</v>
      </c>
      <c r="E309" s="5" t="s">
        <v>825</v>
      </c>
      <c r="F309" s="6" t="s">
        <v>826</v>
      </c>
      <c r="G309" s="6" t="s">
        <v>608</v>
      </c>
    </row>
    <row r="310" spans="1:7" ht="15.75" customHeight="1">
      <c r="A310" s="3">
        <v>52238024</v>
      </c>
      <c r="B310" s="4" t="s">
        <v>747</v>
      </c>
      <c r="C310" s="3" t="s">
        <v>748</v>
      </c>
      <c r="D310" s="3">
        <v>79143389472</v>
      </c>
      <c r="E310" s="3" t="s">
        <v>827</v>
      </c>
      <c r="F310" s="4" t="s">
        <v>826</v>
      </c>
      <c r="G310" s="4" t="s">
        <v>608</v>
      </c>
    </row>
    <row r="311" spans="1:7" ht="15.75" customHeight="1">
      <c r="A311" s="5">
        <v>52238024</v>
      </c>
      <c r="B311" s="6" t="s">
        <v>747</v>
      </c>
      <c r="C311" s="5" t="s">
        <v>748</v>
      </c>
      <c r="D311" s="5">
        <v>79143389472</v>
      </c>
      <c r="E311" s="5" t="s">
        <v>828</v>
      </c>
      <c r="F311" s="6" t="s">
        <v>829</v>
      </c>
      <c r="G311" s="6" t="s">
        <v>568</v>
      </c>
    </row>
    <row r="312" spans="1:7" ht="15.75" customHeight="1">
      <c r="A312" s="3">
        <v>59988008</v>
      </c>
      <c r="B312" s="4" t="s">
        <v>109</v>
      </c>
      <c r="C312" s="3" t="s">
        <v>110</v>
      </c>
      <c r="D312" s="3">
        <v>79263535558</v>
      </c>
      <c r="E312" s="3" t="s">
        <v>830</v>
      </c>
      <c r="F312" s="4" t="s">
        <v>813</v>
      </c>
      <c r="G312" s="4" t="s">
        <v>811</v>
      </c>
    </row>
    <row r="313" spans="1:7" ht="15.75" customHeight="1">
      <c r="A313" s="5">
        <v>82030647</v>
      </c>
      <c r="B313" s="6" t="s">
        <v>831</v>
      </c>
      <c r="C313" s="5" t="s">
        <v>832</v>
      </c>
      <c r="D313" s="5" t="s">
        <v>833</v>
      </c>
      <c r="E313" s="5" t="s">
        <v>834</v>
      </c>
      <c r="F313" s="6" t="s">
        <v>561</v>
      </c>
      <c r="G313" s="6" t="s">
        <v>538</v>
      </c>
    </row>
    <row r="314" spans="1:7" ht="15.75" customHeight="1">
      <c r="A314" s="3">
        <v>127549104</v>
      </c>
      <c r="B314" s="4" t="s">
        <v>178</v>
      </c>
      <c r="C314" s="3" t="s">
        <v>179</v>
      </c>
      <c r="D314" s="3" t="s">
        <v>180</v>
      </c>
      <c r="E314" s="3" t="s">
        <v>835</v>
      </c>
      <c r="F314" s="4" t="s">
        <v>141</v>
      </c>
      <c r="G314" s="4" t="s">
        <v>56</v>
      </c>
    </row>
    <row r="315" spans="1:7" ht="15.75" customHeight="1">
      <c r="A315" s="5">
        <v>161795029</v>
      </c>
      <c r="B315" s="6" t="s">
        <v>223</v>
      </c>
      <c r="C315" s="5" t="s">
        <v>224</v>
      </c>
      <c r="D315" s="5" t="s">
        <v>225</v>
      </c>
      <c r="E315" s="5" t="s">
        <v>836</v>
      </c>
      <c r="F315" s="6" t="s">
        <v>444</v>
      </c>
      <c r="G315" s="6" t="s">
        <v>445</v>
      </c>
    </row>
    <row r="316" spans="1:7" ht="15.75" customHeight="1">
      <c r="A316" s="3">
        <v>45774403</v>
      </c>
      <c r="B316" s="4" t="s">
        <v>837</v>
      </c>
      <c r="C316" s="3" t="s">
        <v>838</v>
      </c>
      <c r="D316" s="3">
        <v>821073084577</v>
      </c>
      <c r="E316" s="3" t="s">
        <v>839</v>
      </c>
      <c r="F316" s="4" t="s">
        <v>840</v>
      </c>
      <c r="G316" s="4" t="s">
        <v>841</v>
      </c>
    </row>
    <row r="317" spans="1:7" ht="15.75" customHeight="1">
      <c r="A317" s="5">
        <v>108693252</v>
      </c>
      <c r="B317" s="6" t="s">
        <v>842</v>
      </c>
      <c r="C317" s="5" t="s">
        <v>843</v>
      </c>
      <c r="D317" s="5" t="s">
        <v>844</v>
      </c>
      <c r="E317" s="5" t="s">
        <v>845</v>
      </c>
      <c r="F317" s="6" t="s">
        <v>97</v>
      </c>
      <c r="G317" s="6" t="s">
        <v>98</v>
      </c>
    </row>
    <row r="318" spans="1:7" ht="15.75" customHeight="1">
      <c r="A318" s="3">
        <v>51931852</v>
      </c>
      <c r="B318" s="4" t="s">
        <v>846</v>
      </c>
      <c r="C318" s="3" t="s">
        <v>847</v>
      </c>
      <c r="D318" s="3">
        <v>821035571880</v>
      </c>
      <c r="E318" s="3" t="s">
        <v>848</v>
      </c>
      <c r="F318" s="4" t="s">
        <v>849</v>
      </c>
      <c r="G318" s="4" t="s">
        <v>568</v>
      </c>
    </row>
    <row r="319" spans="1:7" ht="15.75" customHeight="1">
      <c r="A319" s="5">
        <v>45774403</v>
      </c>
      <c r="B319" s="6" t="s">
        <v>837</v>
      </c>
      <c r="C319" s="5" t="s">
        <v>838</v>
      </c>
      <c r="D319" s="5">
        <v>821073084577</v>
      </c>
      <c r="E319" s="5" t="s">
        <v>850</v>
      </c>
      <c r="F319" s="6" t="s">
        <v>840</v>
      </c>
      <c r="G319" s="6" t="s">
        <v>841</v>
      </c>
    </row>
    <row r="320" spans="1:7" ht="15.75" customHeight="1">
      <c r="A320" s="3">
        <v>78497877</v>
      </c>
      <c r="B320" s="4" t="s">
        <v>851</v>
      </c>
      <c r="C320" s="3" t="s">
        <v>852</v>
      </c>
      <c r="D320" s="3">
        <v>79265822993</v>
      </c>
      <c r="E320" s="3" t="s">
        <v>853</v>
      </c>
      <c r="F320" s="4" t="s">
        <v>854</v>
      </c>
      <c r="G320" s="4" t="s">
        <v>855</v>
      </c>
    </row>
    <row r="321" spans="1:7" ht="15.75" customHeight="1">
      <c r="A321" s="5">
        <v>66065045</v>
      </c>
      <c r="B321" s="6" t="s">
        <v>315</v>
      </c>
      <c r="C321" s="5" t="s">
        <v>316</v>
      </c>
      <c r="D321" s="5" t="s">
        <v>317</v>
      </c>
      <c r="E321" s="5" t="s">
        <v>856</v>
      </c>
      <c r="F321" s="6" t="s">
        <v>784</v>
      </c>
      <c r="G321" s="6" t="s">
        <v>785</v>
      </c>
    </row>
    <row r="322" spans="1:7" ht="15.75" customHeight="1">
      <c r="A322" s="3">
        <v>111404536</v>
      </c>
      <c r="B322" s="4" t="s">
        <v>857</v>
      </c>
      <c r="C322" s="3" t="s">
        <v>858</v>
      </c>
      <c r="D322" s="3" t="s">
        <v>859</v>
      </c>
      <c r="E322" s="3" t="s">
        <v>860</v>
      </c>
      <c r="F322" s="4" t="s">
        <v>784</v>
      </c>
      <c r="G322" s="4" t="s">
        <v>785</v>
      </c>
    </row>
    <row r="323" spans="1:7" ht="15.75" customHeight="1">
      <c r="A323" s="5">
        <v>59947508</v>
      </c>
      <c r="B323" s="6" t="s">
        <v>337</v>
      </c>
      <c r="C323" s="5" t="s">
        <v>338</v>
      </c>
      <c r="D323" s="5" t="s">
        <v>339</v>
      </c>
      <c r="E323" s="5" t="s">
        <v>861</v>
      </c>
      <c r="F323" s="6" t="s">
        <v>55</v>
      </c>
      <c r="G323" s="6" t="s">
        <v>56</v>
      </c>
    </row>
    <row r="324" spans="1:7" ht="15.75" customHeight="1">
      <c r="A324" s="3">
        <v>122087340</v>
      </c>
      <c r="B324" s="4" t="s">
        <v>428</v>
      </c>
      <c r="C324" s="3" t="s">
        <v>429</v>
      </c>
      <c r="D324" s="3" t="s">
        <v>430</v>
      </c>
      <c r="E324" s="3" t="s">
        <v>862</v>
      </c>
      <c r="F324" s="4" t="s">
        <v>863</v>
      </c>
      <c r="G324" s="4" t="s">
        <v>864</v>
      </c>
    </row>
    <row r="325" spans="1:7" ht="15.75" customHeight="1">
      <c r="A325" s="5">
        <v>160762403</v>
      </c>
      <c r="B325" s="6" t="s">
        <v>492</v>
      </c>
      <c r="C325" s="5" t="s">
        <v>493</v>
      </c>
      <c r="D325" s="5" t="s">
        <v>494</v>
      </c>
      <c r="E325" s="5" t="s">
        <v>865</v>
      </c>
      <c r="F325" s="6" t="s">
        <v>863</v>
      </c>
      <c r="G325" s="6" t="s">
        <v>864</v>
      </c>
    </row>
    <row r="326" spans="1:7" ht="15.75" customHeight="1">
      <c r="A326" s="3">
        <v>45654956</v>
      </c>
      <c r="B326" s="4" t="s">
        <v>866</v>
      </c>
      <c r="C326" s="3" t="s">
        <v>867</v>
      </c>
      <c r="D326" s="3">
        <v>972548660430</v>
      </c>
      <c r="E326" s="3" t="s">
        <v>868</v>
      </c>
      <c r="F326" s="4" t="s">
        <v>436</v>
      </c>
      <c r="G326" s="4" t="s">
        <v>56</v>
      </c>
    </row>
    <row r="327" spans="1:7" ht="15.75" customHeight="1">
      <c r="A327" s="5">
        <v>152730179</v>
      </c>
      <c r="B327" s="6" t="s">
        <v>736</v>
      </c>
      <c r="C327" s="5" t="s">
        <v>737</v>
      </c>
      <c r="D327" s="5" t="s">
        <v>738</v>
      </c>
      <c r="E327" s="5" t="s">
        <v>869</v>
      </c>
      <c r="F327" s="6" t="s">
        <v>870</v>
      </c>
      <c r="G327" s="6" t="s">
        <v>871</v>
      </c>
    </row>
    <row r="328" spans="1:7" ht="15.75" customHeight="1">
      <c r="A328" s="3">
        <v>121548126</v>
      </c>
      <c r="B328" s="4" t="s">
        <v>386</v>
      </c>
      <c r="C328" s="3" t="s">
        <v>387</v>
      </c>
      <c r="D328" s="3" t="s">
        <v>388</v>
      </c>
      <c r="E328" s="3" t="s">
        <v>872</v>
      </c>
      <c r="F328" s="4" t="s">
        <v>97</v>
      </c>
      <c r="G328" s="4" t="s">
        <v>98</v>
      </c>
    </row>
    <row r="329" spans="1:7" ht="15.75" customHeight="1">
      <c r="A329" s="5">
        <v>121548126</v>
      </c>
      <c r="B329" s="6" t="s">
        <v>386</v>
      </c>
      <c r="C329" s="5" t="s">
        <v>387</v>
      </c>
      <c r="D329" s="5" t="s">
        <v>388</v>
      </c>
      <c r="E329" s="5" t="s">
        <v>873</v>
      </c>
      <c r="F329" s="6" t="s">
        <v>874</v>
      </c>
      <c r="G329" s="6" t="s">
        <v>875</v>
      </c>
    </row>
    <row r="330" spans="1:7" ht="15.75" customHeight="1">
      <c r="A330" s="3">
        <v>85035194</v>
      </c>
      <c r="B330" s="4" t="s">
        <v>325</v>
      </c>
      <c r="C330" s="3" t="s">
        <v>326</v>
      </c>
      <c r="D330" s="3">
        <v>491794845355</v>
      </c>
      <c r="E330" s="3" t="s">
        <v>876</v>
      </c>
      <c r="F330" s="4" t="s">
        <v>141</v>
      </c>
      <c r="G330" s="4" t="s">
        <v>56</v>
      </c>
    </row>
    <row r="331" spans="1:7" ht="15.75" customHeight="1">
      <c r="A331" s="5">
        <v>122087340</v>
      </c>
      <c r="B331" s="6" t="s">
        <v>428</v>
      </c>
      <c r="C331" s="5" t="s">
        <v>429</v>
      </c>
      <c r="D331" s="5" t="s">
        <v>430</v>
      </c>
      <c r="E331" s="5" t="s">
        <v>877</v>
      </c>
      <c r="F331" s="6" t="s">
        <v>878</v>
      </c>
      <c r="G331" s="6" t="s">
        <v>445</v>
      </c>
    </row>
    <row r="332" spans="1:7" ht="15.75" customHeight="1">
      <c r="A332" s="3">
        <v>165060489</v>
      </c>
      <c r="B332" s="4" t="s">
        <v>556</v>
      </c>
      <c r="C332" s="3" t="s">
        <v>557</v>
      </c>
      <c r="D332" s="3">
        <v>79012813970</v>
      </c>
      <c r="E332" s="3" t="s">
        <v>879</v>
      </c>
      <c r="F332" s="4" t="s">
        <v>784</v>
      </c>
      <c r="G332" s="4" t="s">
        <v>880</v>
      </c>
    </row>
    <row r="333" spans="1:7" ht="15.75" customHeight="1">
      <c r="A333" s="5">
        <v>166158391</v>
      </c>
      <c r="B333" s="6" t="s">
        <v>329</v>
      </c>
      <c r="C333" s="5" t="s">
        <v>330</v>
      </c>
      <c r="D333" s="5">
        <v>79965163991</v>
      </c>
      <c r="E333" s="5" t="s">
        <v>881</v>
      </c>
      <c r="F333" s="6" t="s">
        <v>784</v>
      </c>
      <c r="G333" s="6" t="s">
        <v>785</v>
      </c>
    </row>
    <row r="334" spans="1:7" ht="15.75" customHeight="1">
      <c r="A334" s="3">
        <v>138863844</v>
      </c>
      <c r="B334" s="4" t="s">
        <v>150</v>
      </c>
      <c r="C334" s="3" t="s">
        <v>151</v>
      </c>
      <c r="D334" s="3" t="s">
        <v>152</v>
      </c>
      <c r="E334" s="3" t="s">
        <v>882</v>
      </c>
      <c r="F334" s="4" t="s">
        <v>874</v>
      </c>
      <c r="G334" s="4" t="s">
        <v>875</v>
      </c>
    </row>
    <row r="335" spans="1:7" ht="15.75" customHeight="1">
      <c r="A335" s="5">
        <v>50643476</v>
      </c>
      <c r="B335" s="6" t="s">
        <v>215</v>
      </c>
      <c r="C335" s="5" t="s">
        <v>216</v>
      </c>
      <c r="D335" s="5">
        <v>375297330814</v>
      </c>
      <c r="E335" s="5" t="s">
        <v>883</v>
      </c>
      <c r="F335" s="6" t="s">
        <v>767</v>
      </c>
      <c r="G335" s="6" t="s">
        <v>768</v>
      </c>
    </row>
    <row r="336" spans="1:7" ht="15.75" customHeight="1">
      <c r="A336" s="3">
        <v>142861454</v>
      </c>
      <c r="B336" s="4" t="s">
        <v>36</v>
      </c>
      <c r="C336" s="3" t="s">
        <v>37</v>
      </c>
      <c r="D336" s="3" t="s">
        <v>38</v>
      </c>
      <c r="E336" s="3" t="s">
        <v>884</v>
      </c>
      <c r="F336" s="4" t="s">
        <v>885</v>
      </c>
      <c r="G336" s="4" t="s">
        <v>886</v>
      </c>
    </row>
    <row r="337" spans="1:7" ht="15.75" customHeight="1">
      <c r="A337" s="5">
        <v>88485110</v>
      </c>
      <c r="B337" s="6" t="s">
        <v>27</v>
      </c>
      <c r="C337" s="5" t="s">
        <v>28</v>
      </c>
      <c r="D337" s="5">
        <v>79679611111</v>
      </c>
      <c r="E337" s="5" t="s">
        <v>887</v>
      </c>
      <c r="F337" s="6" t="s">
        <v>885</v>
      </c>
      <c r="G337" s="6" t="s">
        <v>886</v>
      </c>
    </row>
    <row r="338" spans="1:7" ht="15.75" customHeight="1">
      <c r="A338" s="3">
        <v>44524687</v>
      </c>
      <c r="B338" s="4" t="s">
        <v>30</v>
      </c>
      <c r="C338" s="3" t="s">
        <v>31</v>
      </c>
      <c r="D338" s="3">
        <v>79006474256</v>
      </c>
      <c r="E338" s="3" t="s">
        <v>888</v>
      </c>
      <c r="F338" s="4" t="s">
        <v>885</v>
      </c>
      <c r="G338" s="4" t="s">
        <v>886</v>
      </c>
    </row>
    <row r="339" spans="1:7" ht="15.75" customHeight="1">
      <c r="A339" s="5">
        <v>69226375</v>
      </c>
      <c r="B339" s="6" t="s">
        <v>14</v>
      </c>
      <c r="C339" s="5" t="s">
        <v>15</v>
      </c>
      <c r="D339" s="5">
        <v>79774294072</v>
      </c>
      <c r="E339" s="5" t="s">
        <v>889</v>
      </c>
      <c r="F339" s="6" t="s">
        <v>885</v>
      </c>
      <c r="G339" s="6" t="s">
        <v>886</v>
      </c>
    </row>
    <row r="340" spans="1:7" ht="15.75" customHeight="1">
      <c r="A340" s="3">
        <v>58366228</v>
      </c>
      <c r="B340" s="4" t="s">
        <v>33</v>
      </c>
      <c r="C340" s="3" t="s">
        <v>34</v>
      </c>
      <c r="D340" s="3">
        <v>79263978128</v>
      </c>
      <c r="E340" s="3" t="s">
        <v>890</v>
      </c>
      <c r="F340" s="4" t="s">
        <v>885</v>
      </c>
      <c r="G340" s="4" t="s">
        <v>886</v>
      </c>
    </row>
    <row r="341" spans="1:7" ht="15.75" customHeight="1">
      <c r="A341" s="5">
        <v>64579474</v>
      </c>
      <c r="B341" s="6" t="s">
        <v>124</v>
      </c>
      <c r="C341" s="5" t="s">
        <v>125</v>
      </c>
      <c r="D341" s="5">
        <v>380713212251</v>
      </c>
      <c r="E341" s="5" t="s">
        <v>891</v>
      </c>
      <c r="F341" s="6" t="s">
        <v>127</v>
      </c>
      <c r="G341" s="6" t="s">
        <v>56</v>
      </c>
    </row>
    <row r="342" spans="1:7" ht="15.75" customHeight="1">
      <c r="A342" s="3">
        <v>82916830</v>
      </c>
      <c r="B342" s="4" t="s">
        <v>423</v>
      </c>
      <c r="C342" s="3" t="s">
        <v>424</v>
      </c>
      <c r="D342" s="3" t="s">
        <v>425</v>
      </c>
      <c r="E342" s="3" t="s">
        <v>892</v>
      </c>
      <c r="F342" s="4" t="s">
        <v>893</v>
      </c>
      <c r="G342" s="4" t="s">
        <v>56</v>
      </c>
    </row>
    <row r="343" spans="1:7" ht="15.75" customHeight="1">
      <c r="A343" s="5">
        <v>69469106</v>
      </c>
      <c r="B343" s="6" t="s">
        <v>120</v>
      </c>
      <c r="C343" s="5" t="s">
        <v>121</v>
      </c>
      <c r="D343" s="5" t="s">
        <v>122</v>
      </c>
      <c r="E343" s="5" t="s">
        <v>894</v>
      </c>
      <c r="F343" s="6" t="s">
        <v>55</v>
      </c>
      <c r="G343" s="6" t="s">
        <v>56</v>
      </c>
    </row>
    <row r="344" spans="1:7" ht="15.75" customHeight="1">
      <c r="A344" s="3">
        <v>78223056</v>
      </c>
      <c r="B344" s="4" t="s">
        <v>182</v>
      </c>
      <c r="C344" s="3" t="s">
        <v>183</v>
      </c>
      <c r="D344" s="3">
        <v>79161528379</v>
      </c>
      <c r="E344" s="3" t="s">
        <v>895</v>
      </c>
      <c r="F344" s="4" t="s">
        <v>141</v>
      </c>
      <c r="G344" s="4" t="s">
        <v>56</v>
      </c>
    </row>
    <row r="345" spans="1:7" ht="15.75" customHeight="1">
      <c r="A345" s="5">
        <v>147177911</v>
      </c>
      <c r="B345" s="6" t="s">
        <v>896</v>
      </c>
      <c r="C345" s="5" t="s">
        <v>897</v>
      </c>
      <c r="D345" s="5" t="s">
        <v>898</v>
      </c>
      <c r="E345" s="5" t="s">
        <v>899</v>
      </c>
      <c r="F345" s="6" t="s">
        <v>900</v>
      </c>
      <c r="G345" s="6" t="s">
        <v>901</v>
      </c>
    </row>
    <row r="346" spans="1:7" ht="15.75" customHeight="1">
      <c r="A346" s="3">
        <v>157826361</v>
      </c>
      <c r="B346" s="4" t="s">
        <v>712</v>
      </c>
      <c r="C346" s="3" t="s">
        <v>713</v>
      </c>
      <c r="D346" s="3">
        <v>79250796033</v>
      </c>
      <c r="E346" s="3" t="s">
        <v>902</v>
      </c>
      <c r="F346" s="4" t="s">
        <v>813</v>
      </c>
      <c r="G346" s="4" t="s">
        <v>811</v>
      </c>
    </row>
    <row r="347" spans="1:7" ht="15.75" customHeight="1">
      <c r="A347" s="5">
        <v>89933705</v>
      </c>
      <c r="B347" s="6" t="s">
        <v>903</v>
      </c>
      <c r="C347" s="5" t="s">
        <v>904</v>
      </c>
      <c r="D347" s="5" t="s">
        <v>905</v>
      </c>
      <c r="E347" s="5" t="s">
        <v>906</v>
      </c>
      <c r="F347" s="6" t="s">
        <v>813</v>
      </c>
      <c r="G347" s="6" t="s">
        <v>811</v>
      </c>
    </row>
    <row r="348" spans="1:7" ht="15.75" customHeight="1">
      <c r="A348" s="3">
        <v>121548126</v>
      </c>
      <c r="B348" s="4" t="s">
        <v>386</v>
      </c>
      <c r="C348" s="3" t="s">
        <v>387</v>
      </c>
      <c r="D348" s="3" t="s">
        <v>388</v>
      </c>
      <c r="E348" s="3" t="s">
        <v>907</v>
      </c>
      <c r="F348" s="4" t="s">
        <v>97</v>
      </c>
      <c r="G348" s="4" t="s">
        <v>98</v>
      </c>
    </row>
    <row r="349" spans="1:7" ht="15.75" customHeight="1">
      <c r="A349" s="5">
        <v>117177707</v>
      </c>
      <c r="B349" s="6" t="s">
        <v>908</v>
      </c>
      <c r="C349" s="5" t="s">
        <v>909</v>
      </c>
      <c r="D349" s="5" t="s">
        <v>910</v>
      </c>
      <c r="E349" s="5" t="s">
        <v>911</v>
      </c>
      <c r="F349" s="6" t="s">
        <v>912</v>
      </c>
      <c r="G349" s="6" t="s">
        <v>913</v>
      </c>
    </row>
    <row r="350" spans="1:7" ht="15.75" customHeight="1">
      <c r="A350" s="3">
        <v>43528937</v>
      </c>
      <c r="B350" s="4" t="s">
        <v>247</v>
      </c>
      <c r="C350" s="3" t="s">
        <v>248</v>
      </c>
      <c r="D350" s="3">
        <v>79281794882</v>
      </c>
      <c r="E350" s="3" t="s">
        <v>914</v>
      </c>
      <c r="F350" s="4" t="s">
        <v>55</v>
      </c>
      <c r="G350" s="4" t="s">
        <v>56</v>
      </c>
    </row>
    <row r="351" spans="1:7" ht="15.75" customHeight="1">
      <c r="A351" s="5">
        <v>160762403</v>
      </c>
      <c r="B351" s="6" t="s">
        <v>492</v>
      </c>
      <c r="C351" s="5" t="s">
        <v>493</v>
      </c>
      <c r="D351" s="5" t="s">
        <v>494</v>
      </c>
      <c r="E351" s="5" t="s">
        <v>915</v>
      </c>
      <c r="F351" s="6" t="s">
        <v>878</v>
      </c>
      <c r="G351" s="6" t="s">
        <v>445</v>
      </c>
    </row>
    <row r="352" spans="1:7" ht="15.75" customHeight="1">
      <c r="A352" s="3">
        <v>49959236</v>
      </c>
      <c r="B352" s="4" t="s">
        <v>798</v>
      </c>
      <c r="C352" s="3" t="s">
        <v>799</v>
      </c>
      <c r="D352" s="3">
        <v>79673098277</v>
      </c>
      <c r="E352" s="3" t="s">
        <v>916</v>
      </c>
      <c r="F352" s="4" t="s">
        <v>767</v>
      </c>
      <c r="G352" s="4" t="s">
        <v>768</v>
      </c>
    </row>
    <row r="353" spans="1:7" ht="15.75" customHeight="1">
      <c r="A353" s="5">
        <v>52238024</v>
      </c>
      <c r="B353" s="6" t="s">
        <v>747</v>
      </c>
      <c r="C353" s="5" t="s">
        <v>748</v>
      </c>
      <c r="D353" s="5">
        <v>79143389472</v>
      </c>
      <c r="E353" s="5" t="s">
        <v>917</v>
      </c>
      <c r="F353" s="6" t="s">
        <v>55</v>
      </c>
      <c r="G353" s="6" t="s">
        <v>56</v>
      </c>
    </row>
    <row r="354" spans="1:7" ht="15.75" customHeight="1">
      <c r="A354" s="3">
        <v>68347086</v>
      </c>
      <c r="B354" s="4" t="s">
        <v>918</v>
      </c>
      <c r="C354" s="3" t="s">
        <v>919</v>
      </c>
      <c r="D354" s="3">
        <v>919960310183</v>
      </c>
      <c r="E354" s="3" t="s">
        <v>920</v>
      </c>
      <c r="F354" s="4" t="s">
        <v>55</v>
      </c>
      <c r="G354" s="4" t="s">
        <v>56</v>
      </c>
    </row>
    <row r="355" spans="1:7" ht="15.75" customHeight="1">
      <c r="A355" s="5">
        <v>107383457</v>
      </c>
      <c r="B355" s="6" t="s">
        <v>66</v>
      </c>
      <c r="C355" s="5" t="s">
        <v>67</v>
      </c>
      <c r="D355" s="5" t="s">
        <v>68</v>
      </c>
      <c r="E355" s="5" t="s">
        <v>921</v>
      </c>
      <c r="F355" s="6" t="s">
        <v>813</v>
      </c>
      <c r="G355" s="6" t="s">
        <v>811</v>
      </c>
    </row>
    <row r="356" spans="1:7" ht="15.75" customHeight="1">
      <c r="A356" s="3">
        <v>49959236</v>
      </c>
      <c r="B356" s="4" t="s">
        <v>798</v>
      </c>
      <c r="C356" s="3" t="s">
        <v>799</v>
      </c>
      <c r="D356" s="3">
        <v>79673098277</v>
      </c>
      <c r="E356" s="3" t="s">
        <v>922</v>
      </c>
      <c r="F356" s="4" t="s">
        <v>813</v>
      </c>
      <c r="G356" s="4" t="s">
        <v>811</v>
      </c>
    </row>
    <row r="357" spans="1:7" ht="15.75" customHeight="1">
      <c r="A357" s="5">
        <v>121548126</v>
      </c>
      <c r="B357" s="6" t="s">
        <v>386</v>
      </c>
      <c r="C357" s="5" t="s">
        <v>387</v>
      </c>
      <c r="D357" s="5" t="s">
        <v>388</v>
      </c>
      <c r="E357" s="5" t="s">
        <v>923</v>
      </c>
      <c r="F357" s="6" t="s">
        <v>924</v>
      </c>
      <c r="G357" s="6" t="s">
        <v>925</v>
      </c>
    </row>
    <row r="358" spans="1:7" ht="15.75" customHeight="1">
      <c r="A358" s="3">
        <v>92965067</v>
      </c>
      <c r="B358" s="4" t="s">
        <v>144</v>
      </c>
      <c r="C358" s="3" t="s">
        <v>145</v>
      </c>
      <c r="D358" s="3" t="s">
        <v>146</v>
      </c>
      <c r="E358" s="3" t="s">
        <v>926</v>
      </c>
      <c r="F358" s="4" t="s">
        <v>767</v>
      </c>
      <c r="G358" s="4" t="s">
        <v>768</v>
      </c>
    </row>
    <row r="359" spans="1:7" ht="15.75" customHeight="1">
      <c r="A359" s="5">
        <v>83439163</v>
      </c>
      <c r="B359" s="6" t="s">
        <v>927</v>
      </c>
      <c r="C359" s="5" t="s">
        <v>928</v>
      </c>
      <c r="D359" s="5">
        <v>79165860017</v>
      </c>
      <c r="E359" s="5" t="s">
        <v>929</v>
      </c>
      <c r="F359" s="6" t="s">
        <v>813</v>
      </c>
      <c r="G359" s="6" t="s">
        <v>811</v>
      </c>
    </row>
    <row r="360" spans="1:7" ht="15.75" customHeight="1">
      <c r="A360" s="3">
        <v>152730179</v>
      </c>
      <c r="B360" s="4" t="s">
        <v>736</v>
      </c>
      <c r="C360" s="3" t="s">
        <v>737</v>
      </c>
      <c r="D360" s="3" t="s">
        <v>738</v>
      </c>
      <c r="E360" s="3" t="s">
        <v>930</v>
      </c>
      <c r="F360" s="4" t="s">
        <v>767</v>
      </c>
      <c r="G360" s="4" t="s">
        <v>768</v>
      </c>
    </row>
    <row r="361" spans="1:7" ht="15.75" customHeight="1">
      <c r="A361" s="5">
        <v>159553374</v>
      </c>
      <c r="B361" s="6" t="s">
        <v>361</v>
      </c>
      <c r="C361" s="5" t="s">
        <v>362</v>
      </c>
      <c r="D361" s="5" t="s">
        <v>363</v>
      </c>
      <c r="E361" s="5" t="s">
        <v>931</v>
      </c>
      <c r="F361" s="6" t="s">
        <v>878</v>
      </c>
      <c r="G361" s="6" t="s">
        <v>445</v>
      </c>
    </row>
    <row r="362" spans="1:7" ht="15.75" customHeight="1">
      <c r="A362" s="3">
        <v>93053325</v>
      </c>
      <c r="B362" s="4" t="s">
        <v>932</v>
      </c>
      <c r="C362" s="3" t="s">
        <v>933</v>
      </c>
      <c r="D362" s="3" t="s">
        <v>934</v>
      </c>
      <c r="E362" s="3" t="s">
        <v>935</v>
      </c>
      <c r="F362" s="4" t="s">
        <v>936</v>
      </c>
      <c r="G362" s="4" t="s">
        <v>937</v>
      </c>
    </row>
    <row r="363" spans="1:7" ht="15.75" customHeight="1">
      <c r="A363" s="5">
        <v>52238024</v>
      </c>
      <c r="B363" s="6" t="s">
        <v>747</v>
      </c>
      <c r="C363" s="5" t="s">
        <v>748</v>
      </c>
      <c r="D363" s="5">
        <v>79143389472</v>
      </c>
      <c r="E363" s="5" t="s">
        <v>938</v>
      </c>
      <c r="F363" s="6" t="s">
        <v>939</v>
      </c>
      <c r="G363" s="6" t="s">
        <v>940</v>
      </c>
    </row>
    <row r="364" spans="1:7" ht="15.75" customHeight="1">
      <c r="A364" s="3">
        <v>68347086</v>
      </c>
      <c r="B364" s="4" t="s">
        <v>918</v>
      </c>
      <c r="C364" s="3" t="s">
        <v>919</v>
      </c>
      <c r="D364" s="3">
        <v>919960310183</v>
      </c>
      <c r="E364" s="3" t="s">
        <v>941</v>
      </c>
      <c r="F364" s="4" t="s">
        <v>942</v>
      </c>
      <c r="G364" s="4" t="s">
        <v>943</v>
      </c>
    </row>
    <row r="365" spans="1:7" ht="15.75" customHeight="1">
      <c r="A365" s="5">
        <v>159553374</v>
      </c>
      <c r="B365" s="6" t="s">
        <v>361</v>
      </c>
      <c r="C365" s="5" t="s">
        <v>362</v>
      </c>
      <c r="D365" s="5" t="s">
        <v>363</v>
      </c>
      <c r="E365" s="5" t="s">
        <v>944</v>
      </c>
      <c r="F365" s="6" t="s">
        <v>55</v>
      </c>
      <c r="G365" s="6" t="s">
        <v>56</v>
      </c>
    </row>
    <row r="366" spans="1:7" ht="15.75" customHeight="1">
      <c r="A366" s="3">
        <v>65690079</v>
      </c>
      <c r="B366" s="4" t="s">
        <v>476</v>
      </c>
      <c r="C366" s="3" t="s">
        <v>477</v>
      </c>
      <c r="D366" s="3" t="s">
        <v>478</v>
      </c>
      <c r="E366" s="3" t="s">
        <v>945</v>
      </c>
      <c r="F366" s="4" t="s">
        <v>484</v>
      </c>
      <c r="G366" s="4" t="s">
        <v>482</v>
      </c>
    </row>
    <row r="367" spans="1:7" ht="15.75" customHeight="1">
      <c r="A367" s="5">
        <v>94665039</v>
      </c>
      <c r="B367" s="6" t="s">
        <v>946</v>
      </c>
      <c r="C367" s="5" t="s">
        <v>947</v>
      </c>
      <c r="D367" s="5">
        <v>87051863347</v>
      </c>
      <c r="E367" s="5" t="s">
        <v>948</v>
      </c>
      <c r="F367" s="6" t="s">
        <v>949</v>
      </c>
      <c r="G367" s="6" t="s">
        <v>950</v>
      </c>
    </row>
    <row r="368" spans="1:7" ht="15.75" customHeight="1">
      <c r="A368" s="3">
        <v>121548126</v>
      </c>
      <c r="B368" s="4" t="s">
        <v>386</v>
      </c>
      <c r="C368" s="3" t="s">
        <v>387</v>
      </c>
      <c r="D368" s="3" t="s">
        <v>388</v>
      </c>
      <c r="E368" s="3" t="s">
        <v>951</v>
      </c>
      <c r="F368" s="4" t="s">
        <v>949</v>
      </c>
      <c r="G368" s="4" t="s">
        <v>950</v>
      </c>
    </row>
    <row r="369" spans="1:7" ht="15.75" customHeight="1">
      <c r="A369" s="5">
        <v>83862136</v>
      </c>
      <c r="B369" s="6" t="s">
        <v>952</v>
      </c>
      <c r="C369" s="5" t="s">
        <v>953</v>
      </c>
      <c r="D369" s="5" t="s">
        <v>954</v>
      </c>
      <c r="E369" s="5" t="s">
        <v>955</v>
      </c>
      <c r="F369" s="6" t="s">
        <v>956</v>
      </c>
      <c r="G369" s="6" t="s">
        <v>901</v>
      </c>
    </row>
    <row r="370" spans="1:7" ht="15.75" customHeight="1">
      <c r="A370" s="3">
        <v>75450207</v>
      </c>
      <c r="B370" s="4" t="s">
        <v>957</v>
      </c>
      <c r="C370" s="3" t="s">
        <v>958</v>
      </c>
      <c r="D370" s="3">
        <v>79167792575</v>
      </c>
      <c r="E370" s="3" t="s">
        <v>959</v>
      </c>
      <c r="F370" s="4" t="s">
        <v>960</v>
      </c>
      <c r="G370" s="4" t="s">
        <v>961</v>
      </c>
    </row>
    <row r="371" spans="1:7" ht="15.75" customHeight="1">
      <c r="A371" s="5">
        <v>99784323</v>
      </c>
      <c r="B371" s="6" t="s">
        <v>962</v>
      </c>
      <c r="C371" s="5" t="s">
        <v>963</v>
      </c>
      <c r="D371" s="5">
        <v>3805458</v>
      </c>
      <c r="E371" s="5" t="s">
        <v>964</v>
      </c>
      <c r="F371" s="6" t="s">
        <v>960</v>
      </c>
      <c r="G371" s="6" t="s">
        <v>961</v>
      </c>
    </row>
    <row r="372" spans="1:7" ht="15.75" customHeight="1">
      <c r="A372" s="3">
        <v>83295273</v>
      </c>
      <c r="B372" s="4" t="s">
        <v>965</v>
      </c>
      <c r="C372" s="3" t="s">
        <v>966</v>
      </c>
      <c r="D372" s="3">
        <v>79228081877</v>
      </c>
      <c r="E372" s="3" t="s">
        <v>967</v>
      </c>
      <c r="F372" s="4" t="s">
        <v>949</v>
      </c>
      <c r="G372" s="4" t="s">
        <v>950</v>
      </c>
    </row>
    <row r="373" spans="1:7" ht="15.75" customHeight="1">
      <c r="A373" s="5">
        <v>147177911</v>
      </c>
      <c r="B373" s="6" t="s">
        <v>896</v>
      </c>
      <c r="C373" s="5" t="s">
        <v>897</v>
      </c>
      <c r="D373" s="5" t="s">
        <v>898</v>
      </c>
      <c r="E373" s="5" t="s">
        <v>968</v>
      </c>
      <c r="F373" s="6" t="s">
        <v>969</v>
      </c>
      <c r="G373" s="6" t="s">
        <v>970</v>
      </c>
    </row>
    <row r="374" spans="1:7" ht="15.75" customHeight="1">
      <c r="A374" s="3">
        <v>148477348</v>
      </c>
      <c r="B374" s="4" t="s">
        <v>971</v>
      </c>
      <c r="C374" s="3" t="s">
        <v>972</v>
      </c>
      <c r="D374" s="3">
        <v>87054403988</v>
      </c>
      <c r="E374" s="3" t="s">
        <v>973</v>
      </c>
      <c r="F374" s="4" t="s">
        <v>949</v>
      </c>
      <c r="G374" s="4" t="s">
        <v>950</v>
      </c>
    </row>
    <row r="375" spans="1:7" ht="15.75" customHeight="1">
      <c r="A375" s="5">
        <v>144629472</v>
      </c>
      <c r="B375" s="6" t="s">
        <v>974</v>
      </c>
      <c r="C375" s="5" t="s">
        <v>975</v>
      </c>
      <c r="D375" s="5" t="s">
        <v>976</v>
      </c>
      <c r="E375" s="5" t="s">
        <v>977</v>
      </c>
      <c r="F375" s="6" t="s">
        <v>949</v>
      </c>
      <c r="G375" s="6" t="s">
        <v>950</v>
      </c>
    </row>
    <row r="376" spans="1:7" ht="15.75" customHeight="1">
      <c r="A376" s="3">
        <v>140807600</v>
      </c>
      <c r="B376" s="4" t="s">
        <v>978</v>
      </c>
      <c r="C376" s="3" t="s">
        <v>979</v>
      </c>
      <c r="D376" s="3">
        <v>87085857725</v>
      </c>
      <c r="E376" s="3" t="s">
        <v>980</v>
      </c>
      <c r="F376" s="4" t="s">
        <v>949</v>
      </c>
      <c r="G376" s="4" t="s">
        <v>950</v>
      </c>
    </row>
    <row r="377" spans="1:7" ht="15.75" customHeight="1">
      <c r="A377" s="5">
        <v>143488034</v>
      </c>
      <c r="B377" s="6" t="s">
        <v>981</v>
      </c>
      <c r="C377" s="5" t="s">
        <v>982</v>
      </c>
      <c r="D377" s="5" t="s">
        <v>983</v>
      </c>
      <c r="E377" s="5" t="s">
        <v>984</v>
      </c>
      <c r="F377" s="6" t="s">
        <v>949</v>
      </c>
      <c r="G377" s="6" t="s">
        <v>950</v>
      </c>
    </row>
    <row r="378" spans="1:7" ht="15.75" customHeight="1">
      <c r="A378" s="3">
        <v>149085056</v>
      </c>
      <c r="B378" s="4" t="s">
        <v>985</v>
      </c>
      <c r="C378" s="3" t="s">
        <v>986</v>
      </c>
      <c r="D378" s="3">
        <v>87779540701</v>
      </c>
      <c r="E378" s="3" t="s">
        <v>987</v>
      </c>
      <c r="F378" s="4" t="s">
        <v>949</v>
      </c>
      <c r="G378" s="4" t="s">
        <v>950</v>
      </c>
    </row>
    <row r="379" spans="1:7" ht="15.75" customHeight="1">
      <c r="A379" s="5">
        <v>90444525</v>
      </c>
      <c r="B379" s="6" t="s">
        <v>988</v>
      </c>
      <c r="C379" s="5" t="s">
        <v>989</v>
      </c>
      <c r="D379" s="5" t="s">
        <v>990</v>
      </c>
      <c r="E379" s="5" t="s">
        <v>991</v>
      </c>
      <c r="F379" s="6" t="s">
        <v>949</v>
      </c>
      <c r="G379" s="6" t="s">
        <v>950</v>
      </c>
    </row>
    <row r="380" spans="1:7" ht="15.75" customHeight="1">
      <c r="A380" s="3">
        <v>162748158</v>
      </c>
      <c r="B380" s="4" t="s">
        <v>992</v>
      </c>
      <c r="C380" s="3" t="s">
        <v>993</v>
      </c>
      <c r="D380" s="3">
        <v>79517978177</v>
      </c>
      <c r="E380" s="3" t="s">
        <v>994</v>
      </c>
      <c r="F380" s="4" t="s">
        <v>960</v>
      </c>
      <c r="G380" s="4" t="s">
        <v>961</v>
      </c>
    </row>
    <row r="381" spans="1:7" ht="15.75" customHeight="1">
      <c r="A381" s="5">
        <v>148963430</v>
      </c>
      <c r="B381" s="6" t="s">
        <v>995</v>
      </c>
      <c r="C381" s="5" t="s">
        <v>996</v>
      </c>
      <c r="D381" s="5">
        <v>87766007520</v>
      </c>
      <c r="E381" s="5" t="s">
        <v>997</v>
      </c>
      <c r="F381" s="6" t="s">
        <v>949</v>
      </c>
      <c r="G381" s="6" t="s">
        <v>950</v>
      </c>
    </row>
    <row r="382" spans="1:7" ht="15.75" customHeight="1">
      <c r="A382" s="3">
        <v>94665039</v>
      </c>
      <c r="B382" s="4" t="s">
        <v>946</v>
      </c>
      <c r="C382" s="3" t="s">
        <v>947</v>
      </c>
      <c r="D382" s="3">
        <v>87051863347</v>
      </c>
      <c r="E382" s="3" t="s">
        <v>998</v>
      </c>
      <c r="F382" s="4" t="s">
        <v>949</v>
      </c>
      <c r="G382" s="4" t="s">
        <v>950</v>
      </c>
    </row>
    <row r="383" spans="1:7" ht="15.75" customHeight="1">
      <c r="A383" s="5">
        <v>110177964</v>
      </c>
      <c r="B383" s="6" t="s">
        <v>999</v>
      </c>
      <c r="C383" s="5" t="s">
        <v>1000</v>
      </c>
      <c r="D383" s="5">
        <v>998905047457</v>
      </c>
      <c r="E383" s="5" t="s">
        <v>1001</v>
      </c>
      <c r="F383" s="6" t="s">
        <v>949</v>
      </c>
      <c r="G383" s="6" t="s">
        <v>950</v>
      </c>
    </row>
    <row r="384" spans="1:7" ht="15.75" customHeight="1">
      <c r="A384" s="3">
        <v>60042372</v>
      </c>
      <c r="B384" s="4" t="s">
        <v>1002</v>
      </c>
      <c r="C384" s="3" t="s">
        <v>1003</v>
      </c>
      <c r="D384" s="3" t="s">
        <v>1004</v>
      </c>
      <c r="E384" s="3" t="s">
        <v>1005</v>
      </c>
      <c r="F384" s="4" t="s">
        <v>960</v>
      </c>
      <c r="G384" s="4" t="s">
        <v>961</v>
      </c>
    </row>
    <row r="385" spans="1:7" ht="15.75" customHeight="1">
      <c r="A385" s="5">
        <v>133756252</v>
      </c>
      <c r="B385" s="6" t="s">
        <v>1006</v>
      </c>
      <c r="C385" s="5" t="s">
        <v>1007</v>
      </c>
      <c r="D385" s="5" t="s">
        <v>1008</v>
      </c>
      <c r="E385" s="5" t="s">
        <v>1009</v>
      </c>
      <c r="F385" s="6" t="s">
        <v>960</v>
      </c>
      <c r="G385" s="6" t="s">
        <v>961</v>
      </c>
    </row>
    <row r="386" spans="1:7" ht="15.75" customHeight="1">
      <c r="A386" s="3">
        <v>133756252</v>
      </c>
      <c r="B386" s="4" t="s">
        <v>1006</v>
      </c>
      <c r="C386" s="3" t="s">
        <v>1007</v>
      </c>
      <c r="D386" s="3" t="s">
        <v>1008</v>
      </c>
      <c r="E386" s="3" t="s">
        <v>1009</v>
      </c>
      <c r="F386" s="4" t="s">
        <v>960</v>
      </c>
      <c r="G386" s="4" t="s">
        <v>961</v>
      </c>
    </row>
    <row r="387" spans="1:7" ht="15.75" customHeight="1">
      <c r="A387" s="5">
        <v>97353022</v>
      </c>
      <c r="B387" s="6" t="s">
        <v>1010</v>
      </c>
      <c r="C387" s="5" t="s">
        <v>1011</v>
      </c>
      <c r="D387" s="5">
        <v>375256893172</v>
      </c>
      <c r="E387" s="5" t="s">
        <v>1012</v>
      </c>
      <c r="F387" s="6" t="s">
        <v>960</v>
      </c>
      <c r="G387" s="6" t="s">
        <v>961</v>
      </c>
    </row>
    <row r="388" spans="1:7" ht="15.75" customHeight="1">
      <c r="A388" s="3">
        <v>67021998</v>
      </c>
      <c r="B388" s="4" t="s">
        <v>1013</v>
      </c>
      <c r="C388" s="3" t="s">
        <v>1014</v>
      </c>
      <c r="D388" s="3">
        <v>79533520267</v>
      </c>
      <c r="E388" s="3" t="s">
        <v>1015</v>
      </c>
      <c r="F388" s="4" t="s">
        <v>960</v>
      </c>
      <c r="G388" s="4" t="s">
        <v>961</v>
      </c>
    </row>
    <row r="389" spans="1:7" ht="15.75" customHeight="1">
      <c r="A389" s="5">
        <v>72601926</v>
      </c>
      <c r="B389" s="6" t="s">
        <v>1016</v>
      </c>
      <c r="C389" s="5" t="s">
        <v>1017</v>
      </c>
      <c r="D389" s="5" t="s">
        <v>1018</v>
      </c>
      <c r="E389" s="5" t="s">
        <v>1019</v>
      </c>
      <c r="F389" s="6" t="s">
        <v>960</v>
      </c>
      <c r="G389" s="6" t="s">
        <v>961</v>
      </c>
    </row>
    <row r="390" spans="1:7" ht="15.75" customHeight="1">
      <c r="A390" s="3">
        <v>126369311</v>
      </c>
      <c r="B390" s="4" t="s">
        <v>1020</v>
      </c>
      <c r="C390" s="3" t="s">
        <v>1021</v>
      </c>
      <c r="D390" s="3">
        <v>79250659075</v>
      </c>
      <c r="E390" s="3" t="s">
        <v>1022</v>
      </c>
      <c r="F390" s="4" t="s">
        <v>960</v>
      </c>
      <c r="G390" s="4" t="s">
        <v>961</v>
      </c>
    </row>
    <row r="391" spans="1:7" ht="15.75" customHeight="1">
      <c r="A391" s="5">
        <v>138863844</v>
      </c>
      <c r="B391" s="6" t="s">
        <v>150</v>
      </c>
      <c r="C391" s="5" t="s">
        <v>151</v>
      </c>
      <c r="D391" s="5" t="s">
        <v>152</v>
      </c>
      <c r="E391" s="5" t="s">
        <v>1023</v>
      </c>
      <c r="F391" s="6" t="s">
        <v>949</v>
      </c>
      <c r="G391" s="6" t="s">
        <v>950</v>
      </c>
    </row>
    <row r="392" spans="1:7" ht="15.75" customHeight="1">
      <c r="A392" s="3">
        <v>68315632</v>
      </c>
      <c r="B392" s="4" t="s">
        <v>1024</v>
      </c>
      <c r="C392" s="3" t="s">
        <v>1025</v>
      </c>
      <c r="D392" s="3">
        <v>79063938670</v>
      </c>
      <c r="E392" s="3" t="s">
        <v>1026</v>
      </c>
      <c r="F392" s="4" t="s">
        <v>960</v>
      </c>
      <c r="G392" s="4" t="s">
        <v>961</v>
      </c>
    </row>
    <row r="393" spans="1:7" ht="15.75" customHeight="1">
      <c r="A393" s="5">
        <v>64651895</v>
      </c>
      <c r="B393" s="6" t="s">
        <v>1027</v>
      </c>
      <c r="C393" s="5" t="s">
        <v>1028</v>
      </c>
      <c r="D393" s="5">
        <v>79171413761</v>
      </c>
      <c r="E393" s="5" t="s">
        <v>1029</v>
      </c>
      <c r="F393" s="6" t="s">
        <v>960</v>
      </c>
      <c r="G393" s="6" t="s">
        <v>961</v>
      </c>
    </row>
    <row r="394" spans="1:7" ht="15.75" customHeight="1">
      <c r="A394" s="3">
        <v>78533828</v>
      </c>
      <c r="B394" s="4" t="s">
        <v>1030</v>
      </c>
      <c r="C394" s="3" t="s">
        <v>1031</v>
      </c>
      <c r="D394" s="3">
        <v>79821084700</v>
      </c>
      <c r="E394" s="3" t="s">
        <v>1032</v>
      </c>
      <c r="F394" s="4" t="s">
        <v>960</v>
      </c>
      <c r="G394" s="4" t="s">
        <v>961</v>
      </c>
    </row>
    <row r="395" spans="1:7" ht="15.75" customHeight="1">
      <c r="A395" s="5">
        <v>81212011</v>
      </c>
      <c r="B395" s="6" t="s">
        <v>1033</v>
      </c>
      <c r="C395" s="5" t="s">
        <v>1034</v>
      </c>
      <c r="D395" s="5">
        <v>79504735795</v>
      </c>
      <c r="E395" s="5" t="s">
        <v>1035</v>
      </c>
      <c r="F395" s="6" t="s">
        <v>960</v>
      </c>
      <c r="G395" s="6" t="s">
        <v>961</v>
      </c>
    </row>
    <row r="396" spans="1:7" ht="15.75" customHeight="1">
      <c r="A396" s="3">
        <v>62845649</v>
      </c>
      <c r="B396" s="4" t="s">
        <v>1036</v>
      </c>
      <c r="C396" s="3" t="s">
        <v>1037</v>
      </c>
      <c r="D396" s="3">
        <v>79538969137</v>
      </c>
      <c r="E396" s="3" t="s">
        <v>1038</v>
      </c>
      <c r="F396" s="4" t="s">
        <v>949</v>
      </c>
      <c r="G396" s="4" t="s">
        <v>950</v>
      </c>
    </row>
    <row r="397" spans="1:7" ht="15.75" customHeight="1">
      <c r="A397" s="5">
        <v>91911640</v>
      </c>
      <c r="B397" s="6" t="s">
        <v>1039</v>
      </c>
      <c r="C397" s="5" t="s">
        <v>1040</v>
      </c>
      <c r="D397" s="5">
        <v>79532350253</v>
      </c>
      <c r="E397" s="5" t="s">
        <v>1041</v>
      </c>
      <c r="F397" s="6" t="s">
        <v>960</v>
      </c>
      <c r="G397" s="6" t="s">
        <v>961</v>
      </c>
    </row>
    <row r="398" spans="1:7" ht="15.75" customHeight="1">
      <c r="A398" s="3">
        <v>83233738</v>
      </c>
      <c r="B398" s="4" t="s">
        <v>1042</v>
      </c>
      <c r="C398" s="3" t="s">
        <v>1043</v>
      </c>
      <c r="D398" s="3" t="s">
        <v>1044</v>
      </c>
      <c r="E398" s="3" t="s">
        <v>1045</v>
      </c>
      <c r="F398" s="4" t="s">
        <v>960</v>
      </c>
      <c r="G398" s="4" t="s">
        <v>961</v>
      </c>
    </row>
    <row r="399" spans="1:7" ht="15.75" customHeight="1">
      <c r="A399" s="5">
        <v>49959236</v>
      </c>
      <c r="B399" s="6" t="s">
        <v>798</v>
      </c>
      <c r="C399" s="5" t="s">
        <v>799</v>
      </c>
      <c r="D399" s="5">
        <v>79673098277</v>
      </c>
      <c r="E399" s="5" t="s">
        <v>1046</v>
      </c>
      <c r="F399" s="6" t="s">
        <v>1047</v>
      </c>
      <c r="G399" s="6" t="s">
        <v>1048</v>
      </c>
    </row>
    <row r="400" spans="1:7" ht="15.75" customHeight="1">
      <c r="A400" s="3">
        <v>88585112</v>
      </c>
      <c r="B400" s="4" t="s">
        <v>1049</v>
      </c>
      <c r="C400" s="3" t="s">
        <v>1050</v>
      </c>
      <c r="D400" s="3">
        <v>79885387055</v>
      </c>
      <c r="E400" s="3" t="s">
        <v>1051</v>
      </c>
      <c r="F400" s="4" t="s">
        <v>949</v>
      </c>
      <c r="G400" s="4" t="s">
        <v>950</v>
      </c>
    </row>
    <row r="401" spans="1:7" ht="15.75" customHeight="1">
      <c r="A401" s="5">
        <v>122087340</v>
      </c>
      <c r="B401" s="6" t="s">
        <v>428</v>
      </c>
      <c r="C401" s="5" t="s">
        <v>429</v>
      </c>
      <c r="D401" s="5" t="s">
        <v>430</v>
      </c>
      <c r="E401" s="5" t="s">
        <v>1052</v>
      </c>
      <c r="F401" s="6" t="s">
        <v>960</v>
      </c>
      <c r="G401" s="6" t="s">
        <v>961</v>
      </c>
    </row>
    <row r="402" spans="1:7" ht="15.75" customHeight="1">
      <c r="A402" s="3">
        <v>133756252</v>
      </c>
      <c r="B402" s="4" t="s">
        <v>1006</v>
      </c>
      <c r="C402" s="3" t="s">
        <v>1007</v>
      </c>
      <c r="D402" s="3" t="s">
        <v>1008</v>
      </c>
      <c r="E402" s="3" t="s">
        <v>1053</v>
      </c>
      <c r="F402" s="4" t="s">
        <v>767</v>
      </c>
      <c r="G402" s="4" t="s">
        <v>768</v>
      </c>
    </row>
    <row r="403" spans="1:7" ht="15.75" customHeight="1">
      <c r="A403" s="5">
        <v>148944080</v>
      </c>
      <c r="B403" s="6" t="s">
        <v>1054</v>
      </c>
      <c r="C403" s="5" t="s">
        <v>1055</v>
      </c>
      <c r="D403" s="5">
        <v>87776380782</v>
      </c>
      <c r="E403" s="5" t="s">
        <v>1056</v>
      </c>
      <c r="F403" s="6" t="s">
        <v>960</v>
      </c>
      <c r="G403" s="6" t="s">
        <v>961</v>
      </c>
    </row>
    <row r="404" spans="1:7" ht="15.75" customHeight="1">
      <c r="A404" s="3">
        <v>92965067</v>
      </c>
      <c r="B404" s="4" t="s">
        <v>144</v>
      </c>
      <c r="C404" s="3" t="s">
        <v>145</v>
      </c>
      <c r="D404" s="3" t="s">
        <v>146</v>
      </c>
      <c r="E404" s="3" t="s">
        <v>1057</v>
      </c>
      <c r="F404" s="4" t="s">
        <v>1047</v>
      </c>
      <c r="G404" s="4" t="s">
        <v>1048</v>
      </c>
    </row>
    <row r="405" spans="1:7" ht="15.75" customHeight="1">
      <c r="A405" s="5">
        <v>68765806</v>
      </c>
      <c r="B405" s="6" t="s">
        <v>1058</v>
      </c>
      <c r="C405" s="5" t="s">
        <v>1059</v>
      </c>
      <c r="D405" s="5">
        <v>79067212233</v>
      </c>
      <c r="E405" s="5" t="s">
        <v>1060</v>
      </c>
      <c r="F405" s="6" t="s">
        <v>1061</v>
      </c>
      <c r="G405" s="6" t="s">
        <v>1048</v>
      </c>
    </row>
    <row r="406" spans="1:7" ht="15.75" customHeight="1">
      <c r="A406" s="3">
        <v>67530982</v>
      </c>
      <c r="B406" s="4" t="s">
        <v>383</v>
      </c>
      <c r="C406" s="3" t="s">
        <v>384</v>
      </c>
      <c r="D406" s="3">
        <v>79168585246</v>
      </c>
      <c r="E406" s="3" t="s">
        <v>1062</v>
      </c>
      <c r="F406" s="4" t="s">
        <v>55</v>
      </c>
      <c r="G406" s="4" t="s">
        <v>56</v>
      </c>
    </row>
    <row r="407" spans="1:7" ht="15.75" customHeight="1">
      <c r="A407" s="5">
        <v>159739803</v>
      </c>
      <c r="B407" s="6" t="s">
        <v>1063</v>
      </c>
      <c r="C407" s="5" t="s">
        <v>1064</v>
      </c>
      <c r="D407" s="5" t="s">
        <v>1065</v>
      </c>
      <c r="E407" s="5" t="s">
        <v>1066</v>
      </c>
      <c r="F407" s="6" t="s">
        <v>1067</v>
      </c>
      <c r="G407" s="6" t="s">
        <v>1068</v>
      </c>
    </row>
    <row r="408" spans="1:7" ht="15.75" customHeight="1">
      <c r="A408" s="3">
        <v>101267665</v>
      </c>
      <c r="B408" s="4" t="s">
        <v>1069</v>
      </c>
      <c r="C408" s="3" t="s">
        <v>1070</v>
      </c>
      <c r="D408" s="3" t="s">
        <v>1071</v>
      </c>
      <c r="E408" s="3" t="s">
        <v>1072</v>
      </c>
      <c r="F408" s="4" t="s">
        <v>960</v>
      </c>
      <c r="G408" s="4" t="s">
        <v>961</v>
      </c>
    </row>
    <row r="409" spans="1:7" ht="15.75" customHeight="1">
      <c r="A409" s="5">
        <v>161795029</v>
      </c>
      <c r="B409" s="6" t="s">
        <v>223</v>
      </c>
      <c r="C409" s="5" t="s">
        <v>224</v>
      </c>
      <c r="D409" s="5" t="s">
        <v>225</v>
      </c>
      <c r="E409" s="5" t="s">
        <v>1073</v>
      </c>
      <c r="F409" s="6" t="s">
        <v>55</v>
      </c>
      <c r="G409" s="6" t="s">
        <v>56</v>
      </c>
    </row>
    <row r="410" spans="1:7" ht="15.75" customHeight="1">
      <c r="A410" s="3">
        <v>73572235</v>
      </c>
      <c r="B410" s="4" t="s">
        <v>1074</v>
      </c>
      <c r="C410" s="3" t="s">
        <v>1075</v>
      </c>
      <c r="D410" s="3" t="s">
        <v>1076</v>
      </c>
      <c r="E410" s="3" t="s">
        <v>1077</v>
      </c>
      <c r="F410" s="4" t="s">
        <v>936</v>
      </c>
      <c r="G410" s="4" t="s">
        <v>937</v>
      </c>
    </row>
    <row r="411" spans="1:7" ht="15.75" customHeight="1">
      <c r="A411" s="5">
        <v>97353022</v>
      </c>
      <c r="B411" s="6" t="s">
        <v>1010</v>
      </c>
      <c r="C411" s="5" t="s">
        <v>1011</v>
      </c>
      <c r="D411" s="5">
        <v>375256893172</v>
      </c>
      <c r="E411" s="5" t="s">
        <v>1078</v>
      </c>
      <c r="F411" s="6" t="s">
        <v>960</v>
      </c>
      <c r="G411" s="6" t="s">
        <v>961</v>
      </c>
    </row>
    <row r="412" spans="1:7" ht="15.75" customHeight="1">
      <c r="A412" s="3">
        <v>144419922</v>
      </c>
      <c r="B412" s="4" t="s">
        <v>1079</v>
      </c>
      <c r="C412" s="3" t="s">
        <v>1080</v>
      </c>
      <c r="D412" s="3" t="s">
        <v>1081</v>
      </c>
      <c r="E412" s="3" t="s">
        <v>1082</v>
      </c>
      <c r="F412" s="4" t="s">
        <v>960</v>
      </c>
      <c r="G412" s="4" t="s">
        <v>961</v>
      </c>
    </row>
    <row r="413" spans="1:7" ht="15.75" customHeight="1">
      <c r="A413" s="5">
        <v>106035515</v>
      </c>
      <c r="B413" s="6" t="s">
        <v>1083</v>
      </c>
      <c r="C413" s="5" t="s">
        <v>1084</v>
      </c>
      <c r="D413" s="5" t="s">
        <v>1085</v>
      </c>
      <c r="E413" s="5" t="s">
        <v>1086</v>
      </c>
      <c r="F413" s="6" t="s">
        <v>936</v>
      </c>
      <c r="G413" s="6" t="s">
        <v>937</v>
      </c>
    </row>
    <row r="414" spans="1:7" ht="15.75" customHeight="1">
      <c r="A414" s="3">
        <v>139285931</v>
      </c>
      <c r="B414" s="4" t="s">
        <v>1087</v>
      </c>
      <c r="C414" s="3" t="s">
        <v>1088</v>
      </c>
      <c r="D414" s="3" t="s">
        <v>1089</v>
      </c>
      <c r="E414" s="3" t="s">
        <v>1090</v>
      </c>
      <c r="F414" s="4" t="s">
        <v>936</v>
      </c>
      <c r="G414" s="4" t="s">
        <v>937</v>
      </c>
    </row>
    <row r="415" spans="1:7" ht="15.75" customHeight="1">
      <c r="A415" s="5">
        <v>141796325</v>
      </c>
      <c r="B415" s="6" t="s">
        <v>1091</v>
      </c>
      <c r="C415" s="5" t="s">
        <v>1092</v>
      </c>
      <c r="D415" s="5" t="s">
        <v>1093</v>
      </c>
      <c r="E415" s="5" t="s">
        <v>1094</v>
      </c>
      <c r="F415" s="6" t="s">
        <v>960</v>
      </c>
      <c r="G415" s="6" t="s">
        <v>961</v>
      </c>
    </row>
    <row r="416" spans="1:7" ht="15.75" customHeight="1">
      <c r="A416" s="3">
        <v>66408959</v>
      </c>
      <c r="B416" s="4" t="s">
        <v>651</v>
      </c>
      <c r="C416" s="3" t="s">
        <v>652</v>
      </c>
      <c r="D416" s="3">
        <v>79194425862</v>
      </c>
      <c r="E416" s="3" t="s">
        <v>1095</v>
      </c>
      <c r="F416" s="4" t="s">
        <v>1096</v>
      </c>
      <c r="G416" s="4" t="s">
        <v>1097</v>
      </c>
    </row>
    <row r="417" spans="1:7" ht="15.75" customHeight="1">
      <c r="A417" s="5">
        <v>73984241</v>
      </c>
      <c r="B417" s="6" t="s">
        <v>1098</v>
      </c>
      <c r="C417" s="5" t="s">
        <v>1099</v>
      </c>
      <c r="D417" s="5" t="s">
        <v>1100</v>
      </c>
      <c r="E417" s="5" t="s">
        <v>1101</v>
      </c>
      <c r="F417" s="6" t="s">
        <v>936</v>
      </c>
      <c r="G417" s="6" t="s">
        <v>937</v>
      </c>
    </row>
    <row r="418" spans="1:7" ht="15.75" customHeight="1">
      <c r="A418" s="3">
        <v>44446619</v>
      </c>
      <c r="B418" s="4" t="s">
        <v>1102</v>
      </c>
      <c r="C418" s="3" t="s">
        <v>1103</v>
      </c>
      <c r="D418" s="3">
        <v>79009467744</v>
      </c>
      <c r="E418" s="3" t="s">
        <v>1104</v>
      </c>
      <c r="F418" s="4" t="s">
        <v>1096</v>
      </c>
      <c r="G418" s="4" t="s">
        <v>1097</v>
      </c>
    </row>
    <row r="419" spans="1:7" ht="15.75" customHeight="1">
      <c r="A419" s="5">
        <v>126369311</v>
      </c>
      <c r="B419" s="6" t="s">
        <v>1020</v>
      </c>
      <c r="C419" s="5" t="s">
        <v>1021</v>
      </c>
      <c r="D419" s="5">
        <v>79250659075</v>
      </c>
      <c r="E419" s="5" t="s">
        <v>1105</v>
      </c>
      <c r="F419" s="6" t="s">
        <v>1096</v>
      </c>
      <c r="G419" s="6" t="s">
        <v>1097</v>
      </c>
    </row>
    <row r="420" spans="1:7" ht="15.75" customHeight="1">
      <c r="A420" s="3">
        <v>80033101</v>
      </c>
      <c r="B420" s="4" t="s">
        <v>1106</v>
      </c>
      <c r="C420" s="3" t="s">
        <v>1107</v>
      </c>
      <c r="D420" s="3">
        <v>79052478802</v>
      </c>
      <c r="E420" s="3" t="s">
        <v>1108</v>
      </c>
      <c r="F420" s="4" t="s">
        <v>1096</v>
      </c>
      <c r="G420" s="4" t="s">
        <v>1097</v>
      </c>
    </row>
    <row r="421" spans="1:7" ht="15.75" customHeight="1">
      <c r="A421" s="5">
        <v>154070083</v>
      </c>
      <c r="B421" s="6" t="s">
        <v>1109</v>
      </c>
      <c r="C421" s="5" t="s">
        <v>1110</v>
      </c>
      <c r="D421" s="5" t="s">
        <v>1111</v>
      </c>
      <c r="E421" s="5" t="s">
        <v>1112</v>
      </c>
      <c r="F421" s="6" t="s">
        <v>1113</v>
      </c>
      <c r="G421" s="6" t="s">
        <v>1048</v>
      </c>
    </row>
    <row r="422" spans="1:7" ht="15.75" customHeight="1">
      <c r="A422" s="3">
        <v>126816775</v>
      </c>
      <c r="B422" s="4" t="s">
        <v>347</v>
      </c>
      <c r="C422" s="3" t="s">
        <v>348</v>
      </c>
      <c r="D422" s="3">
        <v>79173419788</v>
      </c>
      <c r="E422" s="3" t="s">
        <v>1114</v>
      </c>
      <c r="F422" s="4" t="s">
        <v>1096</v>
      </c>
      <c r="G422" s="4" t="s">
        <v>1097</v>
      </c>
    </row>
    <row r="423" spans="1:7" ht="15.75" customHeight="1">
      <c r="A423" s="5">
        <v>50643476</v>
      </c>
      <c r="B423" s="6" t="s">
        <v>215</v>
      </c>
      <c r="C423" s="5" t="s">
        <v>216</v>
      </c>
      <c r="D423" s="5">
        <v>375297330814</v>
      </c>
      <c r="E423" s="5" t="s">
        <v>1115</v>
      </c>
      <c r="F423" s="6" t="s">
        <v>767</v>
      </c>
      <c r="G423" s="6" t="s">
        <v>768</v>
      </c>
    </row>
    <row r="424" spans="1:7" ht="15.75" customHeight="1">
      <c r="A424" s="3">
        <v>166301189</v>
      </c>
      <c r="B424" s="4" t="s">
        <v>1116</v>
      </c>
      <c r="C424" s="3" t="s">
        <v>1117</v>
      </c>
      <c r="D424" s="3" t="s">
        <v>1118</v>
      </c>
      <c r="E424" s="3" t="s">
        <v>1119</v>
      </c>
      <c r="F424" s="4" t="s">
        <v>1120</v>
      </c>
      <c r="G424" s="4" t="s">
        <v>1121</v>
      </c>
    </row>
    <row r="425" spans="1:7" ht="15.75" customHeight="1">
      <c r="A425" s="5">
        <v>83295273</v>
      </c>
      <c r="B425" s="6" t="s">
        <v>965</v>
      </c>
      <c r="C425" s="5" t="s">
        <v>966</v>
      </c>
      <c r="D425" s="5">
        <v>79228081877</v>
      </c>
      <c r="E425" s="5" t="s">
        <v>1122</v>
      </c>
      <c r="F425" s="6" t="s">
        <v>1096</v>
      </c>
      <c r="G425" s="6" t="s">
        <v>1097</v>
      </c>
    </row>
    <row r="426" spans="1:7" ht="15.75" customHeight="1">
      <c r="A426" s="3">
        <v>137354138</v>
      </c>
      <c r="B426" s="4" t="s">
        <v>815</v>
      </c>
      <c r="C426" s="3" t="s">
        <v>816</v>
      </c>
      <c r="D426" s="3">
        <v>79122969892</v>
      </c>
      <c r="E426" s="3" t="s">
        <v>1123</v>
      </c>
      <c r="F426" s="4" t="s">
        <v>1124</v>
      </c>
      <c r="G426" s="4" t="s">
        <v>1048</v>
      </c>
    </row>
    <row r="427" spans="1:7" ht="15.75" customHeight="1">
      <c r="A427" s="5">
        <v>50693657</v>
      </c>
      <c r="B427" s="6" t="s">
        <v>729</v>
      </c>
      <c r="C427" s="5" t="s">
        <v>730</v>
      </c>
      <c r="D427" s="5">
        <v>79884966976</v>
      </c>
      <c r="E427" s="5" t="s">
        <v>1125</v>
      </c>
      <c r="F427" s="6" t="s">
        <v>1126</v>
      </c>
      <c r="G427" s="6" t="s">
        <v>1127</v>
      </c>
    </row>
    <row r="428" spans="1:7" ht="15.75" customHeight="1">
      <c r="A428" s="3">
        <v>108270185</v>
      </c>
      <c r="B428" s="4" t="s">
        <v>1128</v>
      </c>
      <c r="C428" s="3" t="s">
        <v>1129</v>
      </c>
      <c r="D428" s="3" t="s">
        <v>1130</v>
      </c>
      <c r="E428" s="3" t="s">
        <v>1131</v>
      </c>
      <c r="F428" s="4" t="s">
        <v>1132</v>
      </c>
      <c r="G428" s="4" t="s">
        <v>1048</v>
      </c>
    </row>
    <row r="429" spans="1:7" ht="15.75" customHeight="1">
      <c r="A429" s="5">
        <v>93053325</v>
      </c>
      <c r="B429" s="6" t="s">
        <v>932</v>
      </c>
      <c r="C429" s="5" t="s">
        <v>933</v>
      </c>
      <c r="D429" s="5" t="s">
        <v>934</v>
      </c>
      <c r="E429" s="5" t="s">
        <v>1133</v>
      </c>
      <c r="F429" s="6" t="s">
        <v>1096</v>
      </c>
      <c r="G429" s="6" t="s">
        <v>1097</v>
      </c>
    </row>
    <row r="430" spans="1:7" ht="15.75" customHeight="1">
      <c r="A430" s="3">
        <v>78514521</v>
      </c>
      <c r="B430" s="4" t="s">
        <v>1134</v>
      </c>
      <c r="C430" s="3" t="s">
        <v>1135</v>
      </c>
      <c r="D430" s="3">
        <v>79138390912</v>
      </c>
      <c r="E430" s="3" t="s">
        <v>1136</v>
      </c>
      <c r="F430" s="4" t="s">
        <v>1120</v>
      </c>
      <c r="G430" s="4" t="s">
        <v>1137</v>
      </c>
    </row>
    <row r="431" spans="1:7" ht="15.75" customHeight="1">
      <c r="A431" s="5">
        <v>59988008</v>
      </c>
      <c r="B431" s="6" t="s">
        <v>109</v>
      </c>
      <c r="C431" s="5" t="s">
        <v>110</v>
      </c>
      <c r="D431" s="5">
        <v>79263535558</v>
      </c>
      <c r="E431" s="5" t="s">
        <v>1138</v>
      </c>
      <c r="F431" s="6" t="s">
        <v>55</v>
      </c>
      <c r="G431" s="6" t="s">
        <v>56</v>
      </c>
    </row>
    <row r="432" spans="1:7" ht="15.75" customHeight="1">
      <c r="A432" s="3">
        <v>108858024</v>
      </c>
      <c r="B432" s="4" t="s">
        <v>1139</v>
      </c>
      <c r="C432" s="3" t="s">
        <v>1140</v>
      </c>
      <c r="D432" s="3" t="s">
        <v>1141</v>
      </c>
      <c r="E432" s="3" t="s">
        <v>1142</v>
      </c>
      <c r="F432" s="4" t="s">
        <v>960</v>
      </c>
      <c r="G432" s="4" t="s">
        <v>961</v>
      </c>
    </row>
    <row r="433" spans="1:7" ht="15.75" customHeight="1">
      <c r="A433" s="5">
        <v>108858024</v>
      </c>
      <c r="B433" s="6" t="s">
        <v>1139</v>
      </c>
      <c r="C433" s="5" t="s">
        <v>1140</v>
      </c>
      <c r="D433" s="5" t="s">
        <v>1141</v>
      </c>
      <c r="E433" s="5" t="s">
        <v>1143</v>
      </c>
      <c r="F433" s="6" t="s">
        <v>1124</v>
      </c>
      <c r="G433" s="6" t="s">
        <v>1048</v>
      </c>
    </row>
    <row r="434" spans="1:7" ht="15.75" customHeight="1">
      <c r="A434" s="3">
        <v>74836812</v>
      </c>
      <c r="B434" s="4" t="s">
        <v>1144</v>
      </c>
      <c r="C434" s="3" t="s">
        <v>1145</v>
      </c>
      <c r="D434" s="3">
        <v>79166755599</v>
      </c>
      <c r="E434" s="3" t="s">
        <v>1146</v>
      </c>
      <c r="F434" s="4" t="s">
        <v>1124</v>
      </c>
      <c r="G434" s="4" t="s">
        <v>1048</v>
      </c>
    </row>
    <row r="435" spans="1:7" ht="15.75" customHeight="1">
      <c r="A435" s="5">
        <v>81538700</v>
      </c>
      <c r="B435" s="6" t="s">
        <v>1147</v>
      </c>
      <c r="C435" s="5" t="s">
        <v>1148</v>
      </c>
      <c r="D435" s="5">
        <v>37253240593</v>
      </c>
      <c r="E435" s="5" t="s">
        <v>1149</v>
      </c>
      <c r="F435" s="6" t="s">
        <v>1150</v>
      </c>
      <c r="G435" s="6" t="s">
        <v>1048</v>
      </c>
    </row>
    <row r="436" spans="1:7" ht="15.75" customHeight="1">
      <c r="A436" s="3">
        <v>72655675</v>
      </c>
      <c r="B436" s="4" t="s">
        <v>1151</v>
      </c>
      <c r="C436" s="3" t="s">
        <v>1152</v>
      </c>
      <c r="D436" s="3" t="s">
        <v>1153</v>
      </c>
      <c r="E436" s="3" t="s">
        <v>1154</v>
      </c>
      <c r="F436" s="4" t="s">
        <v>1132</v>
      </c>
      <c r="G436" s="4" t="s">
        <v>1048</v>
      </c>
    </row>
    <row r="437" spans="1:7" ht="15.75" customHeight="1">
      <c r="A437" s="5">
        <v>121548126</v>
      </c>
      <c r="B437" s="6" t="s">
        <v>386</v>
      </c>
      <c r="C437" s="5" t="s">
        <v>387</v>
      </c>
      <c r="D437" s="5" t="s">
        <v>388</v>
      </c>
      <c r="E437" s="5" t="s">
        <v>1155</v>
      </c>
      <c r="F437" s="6" t="s">
        <v>481</v>
      </c>
      <c r="G437" s="6" t="s">
        <v>482</v>
      </c>
    </row>
    <row r="438" spans="1:7" ht="15.75" customHeight="1">
      <c r="A438" s="3">
        <v>121548126</v>
      </c>
      <c r="B438" s="4" t="s">
        <v>386</v>
      </c>
      <c r="C438" s="3" t="s">
        <v>387</v>
      </c>
      <c r="D438" s="3" t="s">
        <v>388</v>
      </c>
      <c r="E438" s="3" t="s">
        <v>1156</v>
      </c>
      <c r="F438" s="4" t="s">
        <v>484</v>
      </c>
      <c r="G438" s="4" t="s">
        <v>482</v>
      </c>
    </row>
    <row r="439" spans="1:7" ht="15.75" customHeight="1">
      <c r="A439" s="5">
        <v>78223056</v>
      </c>
      <c r="B439" s="6" t="s">
        <v>182</v>
      </c>
      <c r="C439" s="5" t="s">
        <v>183</v>
      </c>
      <c r="D439" s="5">
        <v>79161528379</v>
      </c>
      <c r="E439" s="5" t="s">
        <v>1157</v>
      </c>
      <c r="F439" s="6" t="s">
        <v>1132</v>
      </c>
      <c r="G439" s="6" t="s">
        <v>1048</v>
      </c>
    </row>
    <row r="440" spans="1:7" ht="15.75" customHeight="1">
      <c r="A440" s="3">
        <v>66962859</v>
      </c>
      <c r="B440" s="4" t="s">
        <v>1158</v>
      </c>
      <c r="C440" s="3" t="s">
        <v>1159</v>
      </c>
      <c r="D440" s="3">
        <v>79210193385</v>
      </c>
      <c r="E440" s="3" t="s">
        <v>1160</v>
      </c>
      <c r="F440" s="4" t="s">
        <v>960</v>
      </c>
      <c r="G440" s="4" t="s">
        <v>961</v>
      </c>
    </row>
    <row r="441" spans="1:7" ht="15.75" customHeight="1">
      <c r="A441" s="5">
        <v>83862136</v>
      </c>
      <c r="B441" s="6" t="s">
        <v>952</v>
      </c>
      <c r="C441" s="5" t="s">
        <v>953</v>
      </c>
      <c r="D441" s="5" t="s">
        <v>954</v>
      </c>
      <c r="E441" s="5" t="s">
        <v>1161</v>
      </c>
      <c r="F441" s="6" t="s">
        <v>97</v>
      </c>
      <c r="G441" s="6" t="s">
        <v>98</v>
      </c>
    </row>
    <row r="442" spans="1:7" ht="15.75" customHeight="1">
      <c r="A442" s="3">
        <v>113421295</v>
      </c>
      <c r="B442" s="4" t="s">
        <v>543</v>
      </c>
      <c r="C442" s="3" t="s">
        <v>544</v>
      </c>
      <c r="D442" s="3" t="s">
        <v>545</v>
      </c>
      <c r="E442" s="3" t="s">
        <v>1162</v>
      </c>
      <c r="F442" s="4" t="s">
        <v>1150</v>
      </c>
      <c r="G442" s="4" t="s">
        <v>1048</v>
      </c>
    </row>
    <row r="443" spans="1:7" ht="15.75" customHeight="1">
      <c r="A443" s="5">
        <v>85097606</v>
      </c>
      <c r="B443" s="6" t="s">
        <v>1163</v>
      </c>
      <c r="C443" s="5" t="s">
        <v>1164</v>
      </c>
      <c r="D443" s="5">
        <v>79057151755</v>
      </c>
      <c r="E443" s="5" t="s">
        <v>1165</v>
      </c>
      <c r="F443" s="6" t="s">
        <v>1166</v>
      </c>
      <c r="G443" s="6" t="s">
        <v>1167</v>
      </c>
    </row>
    <row r="444" spans="1:7" ht="15.75" customHeight="1">
      <c r="A444" s="3">
        <v>121640640</v>
      </c>
      <c r="B444" s="4" t="s">
        <v>1168</v>
      </c>
      <c r="C444" s="3" t="s">
        <v>1169</v>
      </c>
      <c r="D444" s="3">
        <v>79265456107</v>
      </c>
      <c r="E444" s="3" t="s">
        <v>1170</v>
      </c>
      <c r="F444" s="4" t="s">
        <v>1124</v>
      </c>
      <c r="G444" s="4" t="s">
        <v>1048</v>
      </c>
    </row>
    <row r="445" spans="1:7" ht="15.75" customHeight="1">
      <c r="A445" s="5">
        <v>121640640</v>
      </c>
      <c r="B445" s="6" t="s">
        <v>1168</v>
      </c>
      <c r="C445" s="5" t="s">
        <v>1169</v>
      </c>
      <c r="D445" s="5">
        <v>79265456107</v>
      </c>
      <c r="E445" s="5" t="s">
        <v>1171</v>
      </c>
      <c r="F445" s="6" t="s">
        <v>1150</v>
      </c>
      <c r="G445" s="6" t="s">
        <v>1048</v>
      </c>
    </row>
    <row r="446" spans="1:7" ht="15.75" customHeight="1">
      <c r="A446" s="3">
        <v>121640640</v>
      </c>
      <c r="B446" s="4" t="s">
        <v>1168</v>
      </c>
      <c r="C446" s="3" t="s">
        <v>1169</v>
      </c>
      <c r="D446" s="3">
        <v>79265456107</v>
      </c>
      <c r="E446" s="3" t="s">
        <v>1172</v>
      </c>
      <c r="F446" s="4" t="s">
        <v>1124</v>
      </c>
      <c r="G446" s="4" t="s">
        <v>1048</v>
      </c>
    </row>
    <row r="447" spans="1:7" ht="15.75" customHeight="1">
      <c r="A447" s="5">
        <v>89790177</v>
      </c>
      <c r="B447" s="6" t="s">
        <v>697</v>
      </c>
      <c r="C447" s="5" t="s">
        <v>698</v>
      </c>
      <c r="D447" s="5">
        <v>434664824510</v>
      </c>
      <c r="E447" s="5" t="s">
        <v>1173</v>
      </c>
      <c r="F447" s="6" t="s">
        <v>960</v>
      </c>
      <c r="G447" s="6" t="s">
        <v>961</v>
      </c>
    </row>
    <row r="448" spans="1:7" ht="15.75" customHeight="1">
      <c r="A448" s="3">
        <v>112330260</v>
      </c>
      <c r="B448" s="4" t="s">
        <v>1174</v>
      </c>
      <c r="C448" s="3" t="s">
        <v>1175</v>
      </c>
      <c r="D448" s="3">
        <v>79778751255</v>
      </c>
      <c r="E448" s="3" t="s">
        <v>1176</v>
      </c>
      <c r="F448" s="4" t="s">
        <v>1124</v>
      </c>
      <c r="G448" s="4" t="s">
        <v>1048</v>
      </c>
    </row>
    <row r="449" spans="1:7" ht="15.75" customHeight="1">
      <c r="A449" s="5">
        <v>166158391</v>
      </c>
      <c r="B449" s="6" t="s">
        <v>329</v>
      </c>
      <c r="C449" s="5" t="s">
        <v>330</v>
      </c>
      <c r="D449" s="5">
        <v>79965163991</v>
      </c>
      <c r="E449" s="5" t="s">
        <v>1177</v>
      </c>
      <c r="F449" s="6" t="s">
        <v>1124</v>
      </c>
      <c r="G449" s="6" t="s">
        <v>1048</v>
      </c>
    </row>
    <row r="450" spans="1:7" ht="15.75" customHeight="1">
      <c r="A450" s="3">
        <v>107347354</v>
      </c>
      <c r="B450" s="4" t="s">
        <v>1178</v>
      </c>
      <c r="C450" s="3" t="s">
        <v>1179</v>
      </c>
      <c r="D450" s="3" t="s">
        <v>1180</v>
      </c>
      <c r="E450" s="3" t="s">
        <v>1181</v>
      </c>
      <c r="F450" s="4" t="s">
        <v>1124</v>
      </c>
      <c r="G450" s="4" t="s">
        <v>1048</v>
      </c>
    </row>
    <row r="451" spans="1:7" ht="15.75" customHeight="1">
      <c r="A451" s="5">
        <v>165060489</v>
      </c>
      <c r="B451" s="6" t="s">
        <v>556</v>
      </c>
      <c r="C451" s="5" t="s">
        <v>557</v>
      </c>
      <c r="D451" s="5">
        <v>79012813970</v>
      </c>
      <c r="E451" s="5" t="s">
        <v>1182</v>
      </c>
      <c r="F451" s="6" t="s">
        <v>1124</v>
      </c>
      <c r="G451" s="6" t="s">
        <v>1048</v>
      </c>
    </row>
    <row r="452" spans="1:7" ht="15.75" customHeight="1">
      <c r="A452" s="3">
        <v>159553374</v>
      </c>
      <c r="B452" s="4" t="s">
        <v>361</v>
      </c>
      <c r="C452" s="3" t="s">
        <v>362</v>
      </c>
      <c r="D452" s="3" t="s">
        <v>363</v>
      </c>
      <c r="E452" s="3" t="s">
        <v>1183</v>
      </c>
      <c r="F452" s="4" t="s">
        <v>1124</v>
      </c>
      <c r="G452" s="4" t="s">
        <v>1048</v>
      </c>
    </row>
    <row r="453" spans="1:7" ht="15.75" customHeight="1">
      <c r="A453" s="5">
        <v>163563056</v>
      </c>
      <c r="B453" s="6" t="s">
        <v>72</v>
      </c>
      <c r="C453" s="5" t="s">
        <v>73</v>
      </c>
      <c r="D453" s="5" t="s">
        <v>74</v>
      </c>
      <c r="E453" s="5" t="s">
        <v>1184</v>
      </c>
      <c r="F453" s="6" t="s">
        <v>1124</v>
      </c>
      <c r="G453" s="6" t="s">
        <v>1048</v>
      </c>
    </row>
    <row r="454" spans="1:7" ht="15.75" customHeight="1">
      <c r="A454" s="3">
        <v>151371228</v>
      </c>
      <c r="B454" s="4" t="s">
        <v>1185</v>
      </c>
      <c r="C454" s="3" t="s">
        <v>1186</v>
      </c>
      <c r="D454" s="3" t="s">
        <v>1187</v>
      </c>
      <c r="E454" s="3" t="s">
        <v>1188</v>
      </c>
      <c r="F454" s="4" t="s">
        <v>1124</v>
      </c>
      <c r="G454" s="4" t="s">
        <v>1048</v>
      </c>
    </row>
    <row r="455" spans="1:7" ht="15.75" customHeight="1">
      <c r="A455" s="5">
        <v>119031728</v>
      </c>
      <c r="B455" s="6" t="s">
        <v>807</v>
      </c>
      <c r="C455" s="5" t="s">
        <v>808</v>
      </c>
      <c r="D455" s="5">
        <v>79035433222</v>
      </c>
      <c r="E455" s="5" t="s">
        <v>1189</v>
      </c>
      <c r="F455" s="6" t="s">
        <v>1124</v>
      </c>
      <c r="G455" s="6" t="s">
        <v>1048</v>
      </c>
    </row>
    <row r="456" spans="1:7" ht="15.75" customHeight="1">
      <c r="A456" s="3">
        <v>87668977</v>
      </c>
      <c r="B456" s="4" t="s">
        <v>818</v>
      </c>
      <c r="C456" s="3" t="s">
        <v>819</v>
      </c>
      <c r="D456" s="3" t="s">
        <v>820</v>
      </c>
      <c r="E456" s="3" t="s">
        <v>1190</v>
      </c>
      <c r="F456" s="4" t="s">
        <v>1124</v>
      </c>
      <c r="G456" s="4" t="s">
        <v>1048</v>
      </c>
    </row>
    <row r="457" spans="1:7" ht="15.75" customHeight="1">
      <c r="A457" s="5">
        <v>59578481</v>
      </c>
      <c r="B457" s="6" t="s">
        <v>1191</v>
      </c>
      <c r="C457" s="5" t="s">
        <v>1192</v>
      </c>
      <c r="D457" s="5" t="s">
        <v>1193</v>
      </c>
      <c r="E457" s="5" t="s">
        <v>1194</v>
      </c>
      <c r="F457" s="6" t="s">
        <v>1124</v>
      </c>
      <c r="G457" s="6" t="s">
        <v>1048</v>
      </c>
    </row>
    <row r="458" spans="1:7" ht="15.75" customHeight="1">
      <c r="A458" s="3">
        <v>121548126</v>
      </c>
      <c r="B458" s="4" t="s">
        <v>386</v>
      </c>
      <c r="C458" s="3" t="s">
        <v>387</v>
      </c>
      <c r="D458" s="3" t="s">
        <v>388</v>
      </c>
      <c r="E458" s="3" t="s">
        <v>1195</v>
      </c>
      <c r="F458" s="4" t="s">
        <v>1132</v>
      </c>
      <c r="G458" s="4" t="s">
        <v>1048</v>
      </c>
    </row>
    <row r="459" spans="1:7" ht="15.75" customHeight="1">
      <c r="A459" s="5">
        <v>121548126</v>
      </c>
      <c r="B459" s="6" t="s">
        <v>386</v>
      </c>
      <c r="C459" s="5" t="s">
        <v>387</v>
      </c>
      <c r="D459" s="5" t="s">
        <v>388</v>
      </c>
      <c r="E459" s="5" t="s">
        <v>1196</v>
      </c>
      <c r="F459" s="6" t="s">
        <v>1197</v>
      </c>
      <c r="G459" s="6" t="s">
        <v>482</v>
      </c>
    </row>
    <row r="460" spans="1:7" ht="15.75" customHeight="1">
      <c r="A460" s="3">
        <v>165060489</v>
      </c>
      <c r="B460" s="4" t="s">
        <v>556</v>
      </c>
      <c r="C460" s="3" t="s">
        <v>557</v>
      </c>
      <c r="D460" s="3">
        <v>79012813970</v>
      </c>
      <c r="E460" s="3" t="s">
        <v>1198</v>
      </c>
      <c r="F460" s="4" t="s">
        <v>444</v>
      </c>
      <c r="G460" s="4" t="s">
        <v>445</v>
      </c>
    </row>
    <row r="461" spans="1:7" ht="15.75" customHeight="1">
      <c r="A461" s="5">
        <v>72428984</v>
      </c>
      <c r="B461" s="6" t="s">
        <v>1199</v>
      </c>
      <c r="C461" s="5" t="s">
        <v>1200</v>
      </c>
      <c r="D461" s="5" t="s">
        <v>1201</v>
      </c>
      <c r="E461" s="5" t="s">
        <v>1202</v>
      </c>
      <c r="F461" s="6" t="s">
        <v>97</v>
      </c>
      <c r="G461" s="6" t="s">
        <v>98</v>
      </c>
    </row>
    <row r="462" spans="1:7" ht="15.75" customHeight="1">
      <c r="A462" s="3">
        <v>122473481</v>
      </c>
      <c r="B462" s="4" t="s">
        <v>1203</v>
      </c>
      <c r="C462" s="3" t="s">
        <v>1204</v>
      </c>
      <c r="D462" s="3" t="s">
        <v>1205</v>
      </c>
      <c r="E462" s="3" t="s">
        <v>1206</v>
      </c>
      <c r="F462" s="4" t="s">
        <v>1207</v>
      </c>
      <c r="G462" s="4" t="s">
        <v>1208</v>
      </c>
    </row>
    <row r="463" spans="1:7" ht="15.75" customHeight="1">
      <c r="A463" s="5">
        <v>68441535</v>
      </c>
      <c r="B463" s="6" t="s">
        <v>1209</v>
      </c>
      <c r="C463" s="5" t="s">
        <v>1210</v>
      </c>
      <c r="D463" s="5">
        <v>5676445</v>
      </c>
      <c r="E463" s="5" t="s">
        <v>1211</v>
      </c>
      <c r="F463" s="6" t="s">
        <v>936</v>
      </c>
      <c r="G463" s="6" t="s">
        <v>937</v>
      </c>
    </row>
    <row r="464" spans="1:7" ht="15.75" customHeight="1">
      <c r="A464" s="3">
        <v>59947508</v>
      </c>
      <c r="B464" s="4" t="s">
        <v>337</v>
      </c>
      <c r="C464" s="3" t="s">
        <v>338</v>
      </c>
      <c r="D464" s="3" t="s">
        <v>339</v>
      </c>
      <c r="E464" s="3" t="s">
        <v>1212</v>
      </c>
      <c r="F464" s="4" t="s">
        <v>55</v>
      </c>
      <c r="G464" s="4" t="s">
        <v>56</v>
      </c>
    </row>
    <row r="465" spans="1:7" ht="15.75" customHeight="1">
      <c r="A465" s="5">
        <v>65690079</v>
      </c>
      <c r="B465" s="6" t="s">
        <v>476</v>
      </c>
      <c r="C465" s="5" t="s">
        <v>477</v>
      </c>
      <c r="D465" s="5" t="s">
        <v>478</v>
      </c>
      <c r="E465" s="5" t="s">
        <v>1213</v>
      </c>
      <c r="F465" s="6" t="s">
        <v>55</v>
      </c>
      <c r="G465" s="6" t="s">
        <v>56</v>
      </c>
    </row>
    <row r="466" spans="1:7" ht="15.75" customHeight="1">
      <c r="A466" s="3">
        <v>50693657</v>
      </c>
      <c r="B466" s="4" t="s">
        <v>729</v>
      </c>
      <c r="C466" s="3" t="s">
        <v>730</v>
      </c>
      <c r="D466" s="3">
        <v>79884966976</v>
      </c>
      <c r="E466" s="3" t="s">
        <v>1214</v>
      </c>
      <c r="F466" s="4" t="s">
        <v>1215</v>
      </c>
      <c r="G466" s="4" t="s">
        <v>1216</v>
      </c>
    </row>
    <row r="467" spans="1:7" ht="15.75" customHeight="1">
      <c r="A467" s="5">
        <v>72065065</v>
      </c>
      <c r="B467" s="6" t="s">
        <v>1217</v>
      </c>
      <c r="C467" s="5" t="s">
        <v>1218</v>
      </c>
      <c r="D467" s="5">
        <v>37061864017</v>
      </c>
      <c r="E467" s="5" t="s">
        <v>1219</v>
      </c>
      <c r="F467" s="6" t="s">
        <v>1220</v>
      </c>
      <c r="G467" s="6" t="s">
        <v>1221</v>
      </c>
    </row>
    <row r="468" spans="1:7" ht="15.75" customHeight="1">
      <c r="A468" s="3">
        <v>120819863</v>
      </c>
      <c r="B468" s="4" t="s">
        <v>1222</v>
      </c>
      <c r="C468" s="3" t="s">
        <v>1223</v>
      </c>
      <c r="D468" s="3" t="s">
        <v>1224</v>
      </c>
      <c r="E468" s="3" t="s">
        <v>1225</v>
      </c>
      <c r="F468" s="4" t="s">
        <v>97</v>
      </c>
      <c r="G468" s="4" t="s">
        <v>98</v>
      </c>
    </row>
    <row r="469" spans="1:7" ht="15.75" customHeight="1">
      <c r="A469" s="5">
        <v>68347086</v>
      </c>
      <c r="B469" s="6" t="s">
        <v>918</v>
      </c>
      <c r="C469" s="5" t="s">
        <v>919</v>
      </c>
      <c r="D469" s="5">
        <v>919960310183</v>
      </c>
      <c r="E469" s="5" t="s">
        <v>1226</v>
      </c>
      <c r="F469" s="6" t="s">
        <v>1227</v>
      </c>
      <c r="G469" s="6" t="s">
        <v>1228</v>
      </c>
    </row>
    <row r="470" spans="1:7" ht="15.75" customHeight="1">
      <c r="A470" s="3">
        <v>68946439</v>
      </c>
      <c r="B470" s="4" t="s">
        <v>1229</v>
      </c>
      <c r="C470" s="3" t="s">
        <v>1230</v>
      </c>
      <c r="D470" s="3" t="s">
        <v>1231</v>
      </c>
      <c r="E470" s="3" t="s">
        <v>1232</v>
      </c>
      <c r="F470" s="4" t="s">
        <v>97</v>
      </c>
      <c r="G470" s="4" t="s">
        <v>98</v>
      </c>
    </row>
    <row r="471" spans="1:7" ht="15.75" customHeight="1">
      <c r="A471" s="5">
        <v>121548126</v>
      </c>
      <c r="B471" s="6" t="s">
        <v>386</v>
      </c>
      <c r="C471" s="5" t="s">
        <v>387</v>
      </c>
      <c r="D471" s="5" t="s">
        <v>388</v>
      </c>
      <c r="E471" s="5" t="s">
        <v>1233</v>
      </c>
      <c r="F471" s="6" t="s">
        <v>1234</v>
      </c>
      <c r="G471" s="6" t="s">
        <v>1235</v>
      </c>
    </row>
    <row r="472" spans="1:7" ht="15.75" customHeight="1">
      <c r="A472" s="3">
        <v>83511568</v>
      </c>
      <c r="B472" s="4" t="s">
        <v>647</v>
      </c>
      <c r="C472" s="3" t="s">
        <v>648</v>
      </c>
      <c r="D472" s="3">
        <v>998972485031</v>
      </c>
      <c r="E472" s="3" t="s">
        <v>1236</v>
      </c>
      <c r="F472" s="4" t="s">
        <v>960</v>
      </c>
      <c r="G472" s="4" t="s">
        <v>961</v>
      </c>
    </row>
    <row r="473" spans="1:7" ht="15.75" customHeight="1">
      <c r="A473" s="5">
        <v>121548126</v>
      </c>
      <c r="B473" s="6" t="s">
        <v>386</v>
      </c>
      <c r="C473" s="5" t="s">
        <v>387</v>
      </c>
      <c r="D473" s="5" t="s">
        <v>388</v>
      </c>
      <c r="E473" s="5" t="s">
        <v>1237</v>
      </c>
      <c r="F473" s="6" t="s">
        <v>960</v>
      </c>
      <c r="G473" s="6" t="s">
        <v>961</v>
      </c>
    </row>
    <row r="474" spans="1:7" ht="15.75" customHeight="1">
      <c r="A474" s="3">
        <v>62845649</v>
      </c>
      <c r="B474" s="4" t="s">
        <v>1036</v>
      </c>
      <c r="C474" s="3" t="s">
        <v>1037</v>
      </c>
      <c r="D474" s="3">
        <v>79538969137</v>
      </c>
      <c r="E474" s="3" t="s">
        <v>1238</v>
      </c>
      <c r="F474" s="4" t="s">
        <v>949</v>
      </c>
      <c r="G474" s="4" t="s">
        <v>950</v>
      </c>
    </row>
    <row r="475" spans="1:7" ht="15.75" customHeight="1">
      <c r="A475" s="5">
        <v>112947214</v>
      </c>
      <c r="B475" s="6" t="s">
        <v>1239</v>
      </c>
      <c r="C475" s="5" t="s">
        <v>1240</v>
      </c>
      <c r="D475" s="5" t="s">
        <v>1241</v>
      </c>
      <c r="E475" s="5" t="s">
        <v>1242</v>
      </c>
      <c r="F475" s="6" t="s">
        <v>1243</v>
      </c>
      <c r="G475" s="6" t="s">
        <v>1244</v>
      </c>
    </row>
    <row r="476" spans="1:7" ht="15.75" customHeight="1">
      <c r="A476" s="3">
        <v>131378664</v>
      </c>
      <c r="B476" s="4" t="s">
        <v>992</v>
      </c>
      <c r="C476" s="3" t="s">
        <v>1245</v>
      </c>
      <c r="D476" s="3" t="s">
        <v>1246</v>
      </c>
      <c r="E476" s="3" t="s">
        <v>1247</v>
      </c>
      <c r="F476" s="4" t="s">
        <v>960</v>
      </c>
      <c r="G476" s="4" t="s">
        <v>961</v>
      </c>
    </row>
    <row r="477" spans="1:7" ht="15.75" customHeight="1">
      <c r="A477" s="5">
        <v>44209568</v>
      </c>
      <c r="B477" s="6" t="s">
        <v>1248</v>
      </c>
      <c r="C477" s="5" t="s">
        <v>1249</v>
      </c>
      <c r="D477" s="5">
        <v>4917623779033</v>
      </c>
      <c r="E477" s="5" t="s">
        <v>1250</v>
      </c>
      <c r="F477" s="6" t="s">
        <v>127</v>
      </c>
      <c r="G477" s="6" t="s">
        <v>56</v>
      </c>
    </row>
    <row r="478" spans="1:7" ht="15.75" customHeight="1">
      <c r="A478" s="3">
        <v>108858024</v>
      </c>
      <c r="B478" s="4" t="s">
        <v>1139</v>
      </c>
      <c r="C478" s="3" t="s">
        <v>1140</v>
      </c>
      <c r="D478" s="3" t="s">
        <v>1141</v>
      </c>
      <c r="E478" s="3" t="s">
        <v>1251</v>
      </c>
      <c r="F478" s="4" t="s">
        <v>70</v>
      </c>
      <c r="G478" s="4" t="s">
        <v>71</v>
      </c>
    </row>
    <row r="479" spans="1:7" ht="15.75" customHeight="1">
      <c r="A479" s="5">
        <v>77054334</v>
      </c>
      <c r="B479" s="6" t="s">
        <v>1252</v>
      </c>
      <c r="C479" s="5" t="s">
        <v>1253</v>
      </c>
      <c r="D479" s="5">
        <v>77769844144</v>
      </c>
      <c r="E479" s="5" t="s">
        <v>1254</v>
      </c>
      <c r="F479" s="6" t="s">
        <v>960</v>
      </c>
      <c r="G479" s="6" t="s">
        <v>961</v>
      </c>
    </row>
    <row r="480" spans="1:7" ht="15.75" customHeight="1">
      <c r="A480" s="3">
        <v>117476649</v>
      </c>
      <c r="B480" s="4" t="s">
        <v>1255</v>
      </c>
      <c r="C480" s="3" t="s">
        <v>1256</v>
      </c>
      <c r="D480" s="3" t="s">
        <v>1257</v>
      </c>
      <c r="E480" s="3" t="s">
        <v>1258</v>
      </c>
      <c r="F480" s="4" t="s">
        <v>960</v>
      </c>
      <c r="G480" s="4" t="s">
        <v>961</v>
      </c>
    </row>
    <row r="481" spans="1:7" ht="15.75" customHeight="1">
      <c r="A481" s="5">
        <v>88585112</v>
      </c>
      <c r="B481" s="6" t="s">
        <v>1049</v>
      </c>
      <c r="C481" s="5" t="s">
        <v>1050</v>
      </c>
      <c r="D481" s="5">
        <v>79885387055</v>
      </c>
      <c r="E481" s="5" t="s">
        <v>1259</v>
      </c>
      <c r="F481" s="6" t="s">
        <v>960</v>
      </c>
      <c r="G481" s="6" t="s">
        <v>961</v>
      </c>
    </row>
    <row r="482" spans="1:7" ht="15.75" customHeight="1">
      <c r="A482" s="3">
        <v>88586840</v>
      </c>
      <c r="B482" s="4" t="s">
        <v>1260</v>
      </c>
      <c r="C482" s="3" t="s">
        <v>1261</v>
      </c>
      <c r="D482" s="3">
        <v>79081851479</v>
      </c>
      <c r="E482" s="3" t="s">
        <v>1262</v>
      </c>
      <c r="F482" s="4" t="s">
        <v>960</v>
      </c>
      <c r="G482" s="4" t="s">
        <v>961</v>
      </c>
    </row>
    <row r="483" spans="1:7" ht="15.75" customHeight="1">
      <c r="A483" s="5">
        <v>122473481</v>
      </c>
      <c r="B483" s="6" t="s">
        <v>1203</v>
      </c>
      <c r="C483" s="5" t="s">
        <v>1204</v>
      </c>
      <c r="D483" s="5" t="s">
        <v>1205</v>
      </c>
      <c r="E483" s="5" t="s">
        <v>1263</v>
      </c>
      <c r="F483" s="6" t="s">
        <v>1264</v>
      </c>
      <c r="G483" s="6" t="s">
        <v>1265</v>
      </c>
    </row>
    <row r="484" spans="1:7" ht="15.75" customHeight="1">
      <c r="A484" s="3">
        <v>148963430</v>
      </c>
      <c r="B484" s="4" t="s">
        <v>995</v>
      </c>
      <c r="C484" s="3" t="s">
        <v>996</v>
      </c>
      <c r="D484" s="3">
        <v>87766007520</v>
      </c>
      <c r="E484" s="3" t="s">
        <v>1266</v>
      </c>
      <c r="F484" s="4" t="s">
        <v>960</v>
      </c>
      <c r="G484" s="4" t="s">
        <v>961</v>
      </c>
    </row>
    <row r="485" spans="1:7" ht="15.75" customHeight="1">
      <c r="A485" s="5">
        <v>142828764</v>
      </c>
      <c r="B485" s="6" t="s">
        <v>1267</v>
      </c>
      <c r="C485" s="5" t="s">
        <v>1268</v>
      </c>
      <c r="D485" s="5" t="s">
        <v>1269</v>
      </c>
      <c r="E485" s="5" t="s">
        <v>1270</v>
      </c>
      <c r="F485" s="6" t="s">
        <v>960</v>
      </c>
      <c r="G485" s="6" t="s">
        <v>961</v>
      </c>
    </row>
    <row r="486" spans="1:7" ht="15.75" customHeight="1">
      <c r="A486" s="3">
        <v>62764272</v>
      </c>
      <c r="B486" s="4" t="s">
        <v>433</v>
      </c>
      <c r="C486" s="3" t="s">
        <v>434</v>
      </c>
      <c r="D486" s="3">
        <v>380676967306</v>
      </c>
      <c r="E486" s="3" t="s">
        <v>1271</v>
      </c>
      <c r="F486" s="4" t="s">
        <v>1272</v>
      </c>
      <c r="G486" s="4" t="s">
        <v>1273</v>
      </c>
    </row>
    <row r="487" spans="1:7" ht="15.75" customHeight="1">
      <c r="A487" s="5">
        <v>104677633</v>
      </c>
      <c r="B487" s="6" t="s">
        <v>640</v>
      </c>
      <c r="C487" s="5" t="s">
        <v>641</v>
      </c>
      <c r="D487" s="5" t="s">
        <v>642</v>
      </c>
      <c r="E487" s="5" t="s">
        <v>1274</v>
      </c>
      <c r="F487" s="6" t="s">
        <v>960</v>
      </c>
      <c r="G487" s="6" t="s">
        <v>961</v>
      </c>
    </row>
    <row r="488" spans="1:7" ht="15.75" customHeight="1">
      <c r="A488" s="3">
        <v>106346923</v>
      </c>
      <c r="B488" s="4" t="s">
        <v>1275</v>
      </c>
      <c r="C488" s="3" t="s">
        <v>1276</v>
      </c>
      <c r="D488" s="3" t="s">
        <v>1277</v>
      </c>
      <c r="E488" s="3" t="s">
        <v>1278</v>
      </c>
      <c r="F488" s="4" t="s">
        <v>960</v>
      </c>
      <c r="G488" s="4" t="s">
        <v>961</v>
      </c>
    </row>
    <row r="489" spans="1:7" ht="15.75" customHeight="1">
      <c r="A489" s="5">
        <v>112802662</v>
      </c>
      <c r="B489" s="6" t="s">
        <v>1279</v>
      </c>
      <c r="C489" s="5" t="s">
        <v>1280</v>
      </c>
      <c r="D489" s="5" t="s">
        <v>1281</v>
      </c>
      <c r="E489" s="5" t="s">
        <v>1282</v>
      </c>
      <c r="F489" s="6" t="s">
        <v>960</v>
      </c>
      <c r="G489" s="6" t="s">
        <v>961</v>
      </c>
    </row>
    <row r="490" spans="1:7" ht="15.75" customHeight="1">
      <c r="A490" s="3">
        <v>108858024</v>
      </c>
      <c r="B490" s="4" t="s">
        <v>1139</v>
      </c>
      <c r="C490" s="3" t="s">
        <v>1140</v>
      </c>
      <c r="D490" s="3" t="s">
        <v>1141</v>
      </c>
      <c r="E490" s="3" t="s">
        <v>1283</v>
      </c>
      <c r="F490" s="4" t="s">
        <v>960</v>
      </c>
      <c r="G490" s="4" t="s">
        <v>961</v>
      </c>
    </row>
    <row r="491" spans="1:7" ht="15.75" customHeight="1">
      <c r="A491" s="5">
        <v>94139154</v>
      </c>
      <c r="B491" s="6" t="s">
        <v>1284</v>
      </c>
      <c r="C491" s="5" t="s">
        <v>1285</v>
      </c>
      <c r="D491" s="5">
        <v>420776298778</v>
      </c>
      <c r="E491" s="5" t="s">
        <v>1286</v>
      </c>
      <c r="F491" s="6" t="s">
        <v>960</v>
      </c>
      <c r="G491" s="6" t="s">
        <v>961</v>
      </c>
    </row>
    <row r="492" spans="1:7" ht="15.75" customHeight="1">
      <c r="A492" s="3">
        <v>83094957</v>
      </c>
      <c r="B492" s="4" t="s">
        <v>1287</v>
      </c>
      <c r="C492" s="3" t="s">
        <v>1288</v>
      </c>
      <c r="D492" s="3">
        <v>87712448577</v>
      </c>
      <c r="E492" s="3" t="s">
        <v>1289</v>
      </c>
      <c r="F492" s="4" t="s">
        <v>960</v>
      </c>
      <c r="G492" s="4" t="s">
        <v>961</v>
      </c>
    </row>
    <row r="493" spans="1:7" ht="15.75" customHeight="1">
      <c r="A493" s="5">
        <v>132764699</v>
      </c>
      <c r="B493" s="6" t="s">
        <v>1290</v>
      </c>
      <c r="C493" s="5" t="s">
        <v>1291</v>
      </c>
      <c r="D493" s="5" t="s">
        <v>1292</v>
      </c>
      <c r="E493" s="5" t="s">
        <v>1293</v>
      </c>
      <c r="F493" s="6" t="s">
        <v>960</v>
      </c>
      <c r="G493" s="6" t="s">
        <v>961</v>
      </c>
    </row>
    <row r="494" spans="1:7" ht="15.75" customHeight="1">
      <c r="A494" s="3">
        <v>75696923</v>
      </c>
      <c r="B494" s="4" t="s">
        <v>1294</v>
      </c>
      <c r="C494" s="3" t="s">
        <v>1295</v>
      </c>
      <c r="D494" s="3">
        <v>79272169867</v>
      </c>
      <c r="E494" s="3" t="s">
        <v>1296</v>
      </c>
      <c r="F494" s="4" t="s">
        <v>960</v>
      </c>
      <c r="G494" s="4" t="s">
        <v>961</v>
      </c>
    </row>
    <row r="495" spans="1:7" ht="15.75" customHeight="1">
      <c r="A495" s="5">
        <v>97026631</v>
      </c>
      <c r="B495" s="6" t="s">
        <v>1297</v>
      </c>
      <c r="C495" s="5" t="s">
        <v>1298</v>
      </c>
      <c r="D495" s="5"/>
      <c r="E495" s="5" t="s">
        <v>1299</v>
      </c>
      <c r="F495" s="6" t="s">
        <v>960</v>
      </c>
      <c r="G495" s="6" t="s">
        <v>961</v>
      </c>
    </row>
    <row r="496" spans="1:7" ht="15.75" customHeight="1">
      <c r="A496" s="3">
        <v>132839354</v>
      </c>
      <c r="B496" s="4" t="s">
        <v>1300</v>
      </c>
      <c r="C496" s="3" t="s">
        <v>1301</v>
      </c>
      <c r="D496" s="3">
        <v>79253458788</v>
      </c>
      <c r="E496" s="3" t="s">
        <v>1302</v>
      </c>
      <c r="F496" s="4" t="s">
        <v>960</v>
      </c>
      <c r="G496" s="4" t="s">
        <v>961</v>
      </c>
    </row>
    <row r="497" spans="1:7" ht="15.75" customHeight="1">
      <c r="A497" s="5">
        <v>66065045</v>
      </c>
      <c r="B497" s="6" t="s">
        <v>315</v>
      </c>
      <c r="C497" s="5" t="s">
        <v>316</v>
      </c>
      <c r="D497" s="5" t="s">
        <v>317</v>
      </c>
      <c r="E497" s="5" t="s">
        <v>1303</v>
      </c>
      <c r="F497" s="6" t="s">
        <v>444</v>
      </c>
      <c r="G497" s="6" t="s">
        <v>445</v>
      </c>
    </row>
    <row r="498" spans="1:7" ht="15.75" customHeight="1">
      <c r="A498" s="3">
        <v>108858024</v>
      </c>
      <c r="B498" s="4" t="s">
        <v>1139</v>
      </c>
      <c r="C498" s="3" t="s">
        <v>1140</v>
      </c>
      <c r="D498" s="3" t="s">
        <v>1141</v>
      </c>
      <c r="E498" s="3" t="s">
        <v>1304</v>
      </c>
      <c r="F498" s="4" t="s">
        <v>960</v>
      </c>
      <c r="G498" s="4" t="s">
        <v>961</v>
      </c>
    </row>
    <row r="499" spans="1:7" ht="15.75" customHeight="1">
      <c r="A499" s="5">
        <v>64579474</v>
      </c>
      <c r="B499" s="6" t="s">
        <v>124</v>
      </c>
      <c r="C499" s="5" t="s">
        <v>125</v>
      </c>
      <c r="D499" s="5">
        <v>380713212251</v>
      </c>
      <c r="E499" s="5" t="s">
        <v>1305</v>
      </c>
      <c r="F499" s="6" t="s">
        <v>127</v>
      </c>
      <c r="G499" s="6" t="s">
        <v>56</v>
      </c>
    </row>
    <row r="500" spans="1:7" ht="15.75" customHeight="1">
      <c r="A500" s="3">
        <v>72504477</v>
      </c>
      <c r="B500" s="4" t="s">
        <v>303</v>
      </c>
      <c r="C500" s="3" t="s">
        <v>304</v>
      </c>
      <c r="D500" s="3" t="s">
        <v>305</v>
      </c>
      <c r="E500" s="3" t="s">
        <v>1306</v>
      </c>
      <c r="F500" s="4" t="s">
        <v>97</v>
      </c>
      <c r="G500" s="4" t="s">
        <v>98</v>
      </c>
    </row>
    <row r="501" spans="1:7" ht="15.75" customHeight="1">
      <c r="A501" s="5">
        <v>163563056</v>
      </c>
      <c r="B501" s="6" t="s">
        <v>72</v>
      </c>
      <c r="C501" s="5" t="s">
        <v>73</v>
      </c>
      <c r="D501" s="5" t="s">
        <v>74</v>
      </c>
      <c r="E501" s="5" t="s">
        <v>1307</v>
      </c>
      <c r="F501" s="6" t="s">
        <v>960</v>
      </c>
      <c r="G501" s="6" t="s">
        <v>961</v>
      </c>
    </row>
    <row r="502" spans="1:7" ht="15.75" customHeight="1">
      <c r="A502" s="3">
        <v>215576378</v>
      </c>
      <c r="B502" s="4" t="s">
        <v>1308</v>
      </c>
      <c r="C502" s="3" t="s">
        <v>1309</v>
      </c>
      <c r="D502" s="3">
        <v>43664511</v>
      </c>
      <c r="E502" s="3" t="s">
        <v>1310</v>
      </c>
      <c r="F502" s="4" t="s">
        <v>61</v>
      </c>
      <c r="G502" s="4" t="s">
        <v>62</v>
      </c>
    </row>
    <row r="503" spans="1:7" ht="15.75" customHeight="1">
      <c r="A503" s="5">
        <v>215596918</v>
      </c>
      <c r="B503" s="6" t="s">
        <v>1311</v>
      </c>
      <c r="C503" s="5" t="s">
        <v>1312</v>
      </c>
      <c r="D503" s="5">
        <v>79140365055</v>
      </c>
      <c r="E503" s="5" t="s">
        <v>1313</v>
      </c>
      <c r="F503" s="6" t="s">
        <v>49</v>
      </c>
      <c r="G503" s="6" t="s">
        <v>50</v>
      </c>
    </row>
    <row r="504" spans="1:7" ht="15.75" customHeight="1">
      <c r="A504" s="3">
        <v>215664147</v>
      </c>
      <c r="B504" s="4" t="s">
        <v>1314</v>
      </c>
      <c r="C504" s="3" t="s">
        <v>1315</v>
      </c>
      <c r="D504" s="3" t="s">
        <v>1316</v>
      </c>
      <c r="E504" s="3" t="s">
        <v>1317</v>
      </c>
      <c r="F504" s="4" t="s">
        <v>49</v>
      </c>
      <c r="G504" s="4" t="s">
        <v>50</v>
      </c>
    </row>
    <row r="505" spans="1:7" ht="15.75" customHeight="1">
      <c r="A505" s="5">
        <v>215730342</v>
      </c>
      <c r="B505" s="6" t="s">
        <v>1318</v>
      </c>
      <c r="C505" s="5" t="s">
        <v>1319</v>
      </c>
      <c r="D505" s="5" t="s">
        <v>1320</v>
      </c>
      <c r="E505" s="5" t="s">
        <v>1321</v>
      </c>
      <c r="F505" s="6" t="s">
        <v>61</v>
      </c>
      <c r="G505" s="6" t="s">
        <v>62</v>
      </c>
    </row>
    <row r="506" spans="1:7" ht="15.75" customHeight="1">
      <c r="A506" s="3">
        <v>215783905</v>
      </c>
      <c r="B506" s="4" t="s">
        <v>1322</v>
      </c>
      <c r="C506" s="3" t="s">
        <v>1323</v>
      </c>
      <c r="D506" s="3">
        <v>79033992548</v>
      </c>
      <c r="E506" s="3" t="s">
        <v>1324</v>
      </c>
      <c r="F506" s="4" t="s">
        <v>49</v>
      </c>
      <c r="G506" s="4" t="s">
        <v>50</v>
      </c>
    </row>
    <row r="507" spans="1:7" ht="15.75" customHeight="1">
      <c r="A507" s="5">
        <v>215814882</v>
      </c>
      <c r="B507" s="6" t="s">
        <v>1325</v>
      </c>
      <c r="C507" s="5" t="s">
        <v>1326</v>
      </c>
      <c r="D507" s="5" t="s">
        <v>1327</v>
      </c>
      <c r="E507" s="5" t="s">
        <v>1328</v>
      </c>
      <c r="F507" s="6" t="s">
        <v>936</v>
      </c>
      <c r="G507" s="6" t="s">
        <v>937</v>
      </c>
    </row>
    <row r="508" spans="1:7" ht="15.75" customHeight="1">
      <c r="A508" s="3">
        <v>215840595</v>
      </c>
      <c r="B508" s="4" t="s">
        <v>1329</v>
      </c>
      <c r="C508" s="3" t="s">
        <v>1330</v>
      </c>
      <c r="D508" s="3">
        <v>79024730014</v>
      </c>
      <c r="E508" s="3" t="s">
        <v>1331</v>
      </c>
      <c r="F508" s="4" t="s">
        <v>936</v>
      </c>
      <c r="G508" s="4" t="s">
        <v>937</v>
      </c>
    </row>
    <row r="509" spans="1:7" ht="15.75" customHeight="1">
      <c r="A509" s="5">
        <v>215916039</v>
      </c>
      <c r="B509" s="6" t="s">
        <v>1332</v>
      </c>
      <c r="C509" s="5" t="s">
        <v>1333</v>
      </c>
      <c r="D509" s="5">
        <v>15788766734</v>
      </c>
      <c r="E509" s="5" t="s">
        <v>1334</v>
      </c>
      <c r="F509" s="6" t="s">
        <v>61</v>
      </c>
      <c r="G509" s="6" t="s">
        <v>62</v>
      </c>
    </row>
    <row r="510" spans="1:7" ht="15.75" customHeight="1">
      <c r="A510" s="3">
        <v>215949946</v>
      </c>
      <c r="B510" s="4" t="s">
        <v>1335</v>
      </c>
      <c r="C510" s="3" t="s">
        <v>1336</v>
      </c>
      <c r="D510" s="3" t="s">
        <v>1337</v>
      </c>
      <c r="E510" s="3" t="s">
        <v>1338</v>
      </c>
      <c r="F510" s="4" t="s">
        <v>61</v>
      </c>
      <c r="G510" s="4" t="s">
        <v>62</v>
      </c>
    </row>
    <row r="511" spans="1:7" ht="15.75" customHeight="1">
      <c r="A511" s="5">
        <v>216182473</v>
      </c>
      <c r="B511" s="6" t="s">
        <v>1339</v>
      </c>
      <c r="C511" s="5" t="s">
        <v>1340</v>
      </c>
      <c r="D511" s="5">
        <v>29577601</v>
      </c>
      <c r="E511" s="5" t="s">
        <v>1341</v>
      </c>
      <c r="F511" s="6" t="s">
        <v>115</v>
      </c>
      <c r="G511" s="6" t="s">
        <v>116</v>
      </c>
    </row>
    <row r="512" spans="1:7" ht="15.75" customHeight="1">
      <c r="A512" s="3">
        <v>216396853</v>
      </c>
      <c r="B512" s="4" t="s">
        <v>1342</v>
      </c>
      <c r="C512" s="3" t="s">
        <v>1343</v>
      </c>
      <c r="D512" s="3">
        <v>79384402025</v>
      </c>
      <c r="E512" s="3" t="s">
        <v>1344</v>
      </c>
      <c r="F512" s="4" t="s">
        <v>1345</v>
      </c>
      <c r="G512" s="4" t="s">
        <v>1346</v>
      </c>
    </row>
    <row r="513" spans="1:7" ht="15.75" customHeight="1">
      <c r="A513" s="5">
        <v>216415878</v>
      </c>
      <c r="B513" s="6" t="s">
        <v>1347</v>
      </c>
      <c r="C513" s="5" t="s">
        <v>1348</v>
      </c>
      <c r="D513" s="5" t="s">
        <v>1349</v>
      </c>
      <c r="E513" s="5" t="s">
        <v>1350</v>
      </c>
      <c r="F513" s="6" t="s">
        <v>936</v>
      </c>
      <c r="G513" s="6" t="s">
        <v>937</v>
      </c>
    </row>
    <row r="514" spans="1:7" ht="15.75" customHeight="1">
      <c r="A514" s="3">
        <v>216440763</v>
      </c>
      <c r="B514" s="4" t="s">
        <v>1351</v>
      </c>
      <c r="C514" s="3" t="s">
        <v>1352</v>
      </c>
      <c r="D514" s="3">
        <v>299458464</v>
      </c>
      <c r="E514" s="3" t="s">
        <v>1353</v>
      </c>
      <c r="F514" s="4" t="s">
        <v>88</v>
      </c>
      <c r="G514" s="4" t="s">
        <v>89</v>
      </c>
    </row>
    <row r="515" spans="1:7" ht="15.75" customHeight="1">
      <c r="A515" s="5">
        <v>216441762</v>
      </c>
      <c r="B515" s="6" t="s">
        <v>1354</v>
      </c>
      <c r="C515" s="5" t="s">
        <v>1355</v>
      </c>
      <c r="D515" s="5" t="s">
        <v>1356</v>
      </c>
      <c r="E515" s="5" t="s">
        <v>1357</v>
      </c>
      <c r="F515" s="6" t="s">
        <v>88</v>
      </c>
      <c r="G515" s="6" t="s">
        <v>89</v>
      </c>
    </row>
    <row r="516" spans="1:7" ht="15.75" customHeight="1">
      <c r="A516" s="3">
        <v>216454180</v>
      </c>
      <c r="B516" s="4" t="s">
        <v>1358</v>
      </c>
      <c r="C516" s="3" t="s">
        <v>1359</v>
      </c>
      <c r="D516" s="3">
        <v>79217907548</v>
      </c>
      <c r="E516" s="3" t="s">
        <v>1360</v>
      </c>
      <c r="F516" s="4" t="s">
        <v>210</v>
      </c>
      <c r="G516" s="4" t="s">
        <v>211</v>
      </c>
    </row>
    <row r="517" spans="1:7" ht="15.75" customHeight="1">
      <c r="A517" s="5">
        <v>216471996</v>
      </c>
      <c r="B517" s="6" t="s">
        <v>1361</v>
      </c>
      <c r="C517" s="5" t="s">
        <v>1362</v>
      </c>
      <c r="D517" s="5" t="s">
        <v>1363</v>
      </c>
      <c r="E517" s="5" t="s">
        <v>1364</v>
      </c>
      <c r="F517" s="6" t="s">
        <v>88</v>
      </c>
      <c r="G517" s="6" t="s">
        <v>89</v>
      </c>
    </row>
    <row r="518" spans="1:7" ht="15.75" customHeight="1">
      <c r="A518" s="3">
        <v>216499692</v>
      </c>
      <c r="B518" s="4" t="s">
        <v>1365</v>
      </c>
      <c r="C518" s="3" t="s">
        <v>1366</v>
      </c>
      <c r="D518" s="3">
        <v>292706562</v>
      </c>
      <c r="E518" s="3" t="s">
        <v>1367</v>
      </c>
      <c r="F518" s="4" t="s">
        <v>88</v>
      </c>
      <c r="G518" s="4" t="s">
        <v>89</v>
      </c>
    </row>
    <row r="519" spans="1:7" ht="15.75" customHeight="1">
      <c r="A519" s="5">
        <v>216549205</v>
      </c>
      <c r="B519" s="6" t="s">
        <v>1368</v>
      </c>
      <c r="C519" s="5" t="s">
        <v>1369</v>
      </c>
      <c r="D519" s="5" t="s">
        <v>1370</v>
      </c>
      <c r="E519" s="5" t="s">
        <v>1371</v>
      </c>
      <c r="F519" s="6" t="s">
        <v>88</v>
      </c>
      <c r="G519" s="6" t="s">
        <v>89</v>
      </c>
    </row>
    <row r="520" spans="1:7" ht="15.75" customHeight="1">
      <c r="A520" s="3">
        <v>216568984</v>
      </c>
      <c r="B520" s="4" t="s">
        <v>1372</v>
      </c>
      <c r="C520" s="3" t="s">
        <v>1373</v>
      </c>
      <c r="D520" s="3">
        <v>79276257175</v>
      </c>
      <c r="E520" s="3" t="s">
        <v>1374</v>
      </c>
      <c r="F520" s="4" t="s">
        <v>91</v>
      </c>
      <c r="G520" s="4" t="s">
        <v>92</v>
      </c>
    </row>
    <row r="521" spans="1:7" ht="15.75" customHeight="1">
      <c r="A521" s="5">
        <v>216694007</v>
      </c>
      <c r="B521" s="6" t="s">
        <v>1375</v>
      </c>
      <c r="C521" s="5" t="s">
        <v>1376</v>
      </c>
      <c r="D521" s="5">
        <v>79615949053</v>
      </c>
      <c r="E521" s="5" t="s">
        <v>1377</v>
      </c>
      <c r="F521" s="6" t="s">
        <v>1345</v>
      </c>
      <c r="G521" s="6" t="s">
        <v>1346</v>
      </c>
    </row>
    <row r="522" spans="1:7" ht="15.75" customHeight="1">
      <c r="A522" s="3">
        <v>199120569</v>
      </c>
      <c r="B522" s="4" t="s">
        <v>1378</v>
      </c>
      <c r="C522" s="3" t="s">
        <v>1379</v>
      </c>
      <c r="D522" s="3" t="s">
        <v>1380</v>
      </c>
      <c r="E522" s="3" t="s">
        <v>1381</v>
      </c>
      <c r="F522" s="4" t="s">
        <v>70</v>
      </c>
      <c r="G522" s="4" t="s">
        <v>71</v>
      </c>
    </row>
    <row r="523" spans="1:7" ht="15.75" customHeight="1">
      <c r="A523" s="5">
        <v>199120569</v>
      </c>
      <c r="B523" s="6" t="s">
        <v>1378</v>
      </c>
      <c r="C523" s="5" t="s">
        <v>1379</v>
      </c>
      <c r="D523" s="5" t="s">
        <v>1380</v>
      </c>
      <c r="E523" s="5" t="s">
        <v>1382</v>
      </c>
      <c r="F523" s="6" t="s">
        <v>97</v>
      </c>
      <c r="G523" s="6" t="s">
        <v>98</v>
      </c>
    </row>
    <row r="524" spans="1:7" ht="15.75" customHeight="1">
      <c r="A524" s="3">
        <v>216848604</v>
      </c>
      <c r="B524" s="4" t="s">
        <v>1383</v>
      </c>
      <c r="C524" s="3" t="s">
        <v>1384</v>
      </c>
      <c r="D524" s="3" t="s">
        <v>1385</v>
      </c>
      <c r="E524" s="3" t="s">
        <v>1386</v>
      </c>
      <c r="F524" s="4" t="s">
        <v>88</v>
      </c>
      <c r="G524" s="4" t="s">
        <v>89</v>
      </c>
    </row>
    <row r="525" spans="1:7" ht="15.75" customHeight="1">
      <c r="A525" s="5">
        <v>216875546</v>
      </c>
      <c r="B525" s="6" t="s">
        <v>1387</v>
      </c>
      <c r="C525" s="5" t="s">
        <v>1388</v>
      </c>
      <c r="D525" s="5"/>
      <c r="E525" s="5" t="s">
        <v>1389</v>
      </c>
      <c r="F525" s="6" t="s">
        <v>1390</v>
      </c>
      <c r="G525" s="6" t="s">
        <v>1391</v>
      </c>
    </row>
    <row r="526" spans="1:7" ht="15.75" customHeight="1">
      <c r="A526" s="3">
        <v>216935399</v>
      </c>
      <c r="B526" s="4" t="s">
        <v>1392</v>
      </c>
      <c r="C526" s="3" t="s">
        <v>1393</v>
      </c>
      <c r="D526" s="3"/>
      <c r="E526" s="3" t="s">
        <v>1394</v>
      </c>
      <c r="F526" s="4" t="s">
        <v>1390</v>
      </c>
      <c r="G526" s="4" t="s">
        <v>1391</v>
      </c>
    </row>
    <row r="527" spans="1:7" ht="15.75" customHeight="1">
      <c r="A527" s="5">
        <v>216968393</v>
      </c>
      <c r="B527" s="6" t="s">
        <v>1395</v>
      </c>
      <c r="C527" s="5" t="s">
        <v>1396</v>
      </c>
      <c r="D527" s="5" t="s">
        <v>1397</v>
      </c>
      <c r="E527" s="5" t="s">
        <v>1398</v>
      </c>
      <c r="F527" s="6" t="s">
        <v>196</v>
      </c>
      <c r="G527" s="6" t="s">
        <v>197</v>
      </c>
    </row>
    <row r="528" spans="1:7" ht="15.75" customHeight="1">
      <c r="A528" s="3">
        <v>216999311</v>
      </c>
      <c r="B528" s="4" t="s">
        <v>1399</v>
      </c>
      <c r="C528" s="3" t="s">
        <v>1400</v>
      </c>
      <c r="D528" s="3"/>
      <c r="E528" s="3" t="s">
        <v>1401</v>
      </c>
      <c r="F528" s="4" t="s">
        <v>1390</v>
      </c>
      <c r="G528" s="4" t="s">
        <v>1391</v>
      </c>
    </row>
    <row r="529" spans="1:7" ht="15.75" customHeight="1">
      <c r="A529" s="5">
        <v>217012806</v>
      </c>
      <c r="B529" s="6" t="s">
        <v>1402</v>
      </c>
      <c r="C529" s="5" t="s">
        <v>1403</v>
      </c>
      <c r="D529" s="5"/>
      <c r="E529" s="5" t="s">
        <v>1404</v>
      </c>
      <c r="F529" s="6" t="s">
        <v>1390</v>
      </c>
      <c r="G529" s="6" t="s">
        <v>1391</v>
      </c>
    </row>
    <row r="530" spans="1:7" ht="15.75" customHeight="1">
      <c r="A530" s="3">
        <v>217038047</v>
      </c>
      <c r="B530" s="4" t="s">
        <v>1405</v>
      </c>
      <c r="C530" s="3" t="s">
        <v>1406</v>
      </c>
      <c r="D530" s="3"/>
      <c r="E530" s="3" t="s">
        <v>1407</v>
      </c>
      <c r="F530" s="4" t="s">
        <v>1390</v>
      </c>
      <c r="G530" s="4" t="s">
        <v>1391</v>
      </c>
    </row>
    <row r="531" spans="1:7" ht="15.75" customHeight="1">
      <c r="A531" s="5">
        <v>217052243</v>
      </c>
      <c r="B531" s="6" t="s">
        <v>1408</v>
      </c>
      <c r="C531" s="5" t="s">
        <v>1409</v>
      </c>
      <c r="D531" s="5"/>
      <c r="E531" s="5" t="s">
        <v>1410</v>
      </c>
      <c r="F531" s="6" t="s">
        <v>1390</v>
      </c>
      <c r="G531" s="6" t="s">
        <v>1391</v>
      </c>
    </row>
    <row r="532" spans="1:7" ht="15.75" customHeight="1">
      <c r="A532" s="3">
        <v>217052243</v>
      </c>
      <c r="B532" s="4" t="s">
        <v>1408</v>
      </c>
      <c r="C532" s="3" t="s">
        <v>1409</v>
      </c>
      <c r="D532" s="3"/>
      <c r="E532" s="3" t="s">
        <v>1411</v>
      </c>
      <c r="F532" s="4" t="s">
        <v>1390</v>
      </c>
      <c r="G532" s="4" t="s">
        <v>1391</v>
      </c>
    </row>
    <row r="533" spans="1:7" ht="15.75" customHeight="1">
      <c r="A533" s="5">
        <v>217052243</v>
      </c>
      <c r="B533" s="6" t="s">
        <v>1408</v>
      </c>
      <c r="C533" s="5" t="s">
        <v>1409</v>
      </c>
      <c r="D533" s="5"/>
      <c r="E533" s="5" t="s">
        <v>1412</v>
      </c>
      <c r="F533" s="6" t="s">
        <v>1390</v>
      </c>
      <c r="G533" s="6" t="s">
        <v>1391</v>
      </c>
    </row>
    <row r="534" spans="1:7" ht="15.75" customHeight="1">
      <c r="A534" s="3">
        <v>217059396</v>
      </c>
      <c r="B534" s="4" t="s">
        <v>1413</v>
      </c>
      <c r="C534" s="3" t="s">
        <v>1414</v>
      </c>
      <c r="D534" s="3"/>
      <c r="E534" s="3" t="s">
        <v>1415</v>
      </c>
      <c r="F534" s="4" t="s">
        <v>1390</v>
      </c>
      <c r="G534" s="4" t="s">
        <v>1391</v>
      </c>
    </row>
    <row r="535" spans="1:7" ht="15.75" customHeight="1">
      <c r="A535" s="5">
        <v>217059396</v>
      </c>
      <c r="B535" s="6" t="s">
        <v>1413</v>
      </c>
      <c r="C535" s="5" t="s">
        <v>1414</v>
      </c>
      <c r="D535" s="5"/>
      <c r="E535" s="5" t="s">
        <v>1416</v>
      </c>
      <c r="F535" s="6" t="s">
        <v>1390</v>
      </c>
      <c r="G535" s="6" t="s">
        <v>1391</v>
      </c>
    </row>
    <row r="536" spans="1:7" ht="15.75" customHeight="1">
      <c r="A536" s="3">
        <v>217081030</v>
      </c>
      <c r="B536" s="4" t="s">
        <v>1417</v>
      </c>
      <c r="C536" s="3" t="s">
        <v>1418</v>
      </c>
      <c r="D536" s="3"/>
      <c r="E536" s="3" t="s">
        <v>1419</v>
      </c>
      <c r="F536" s="4" t="s">
        <v>1390</v>
      </c>
      <c r="G536" s="4" t="s">
        <v>1391</v>
      </c>
    </row>
    <row r="537" spans="1:7" ht="15.75" customHeight="1">
      <c r="A537" s="5">
        <v>217081030</v>
      </c>
      <c r="B537" s="6" t="s">
        <v>1417</v>
      </c>
      <c r="C537" s="5" t="s">
        <v>1418</v>
      </c>
      <c r="D537" s="5"/>
      <c r="E537" s="5" t="s">
        <v>1420</v>
      </c>
      <c r="F537" s="6" t="s">
        <v>1390</v>
      </c>
      <c r="G537" s="6" t="s">
        <v>1391</v>
      </c>
    </row>
    <row r="538" spans="1:7" ht="15.75" customHeight="1">
      <c r="A538" s="3">
        <v>217111703</v>
      </c>
      <c r="B538" s="4" t="s">
        <v>1421</v>
      </c>
      <c r="C538" s="3" t="s">
        <v>1422</v>
      </c>
      <c r="D538" s="3"/>
      <c r="E538" s="3" t="s">
        <v>1423</v>
      </c>
      <c r="F538" s="4" t="s">
        <v>1390</v>
      </c>
      <c r="G538" s="4" t="s">
        <v>1391</v>
      </c>
    </row>
    <row r="539" spans="1:7" ht="15.75" customHeight="1">
      <c r="A539" s="5">
        <v>217129356</v>
      </c>
      <c r="B539" s="6" t="s">
        <v>1424</v>
      </c>
      <c r="C539" s="5" t="s">
        <v>1425</v>
      </c>
      <c r="D539" s="5"/>
      <c r="E539" s="5" t="s">
        <v>1426</v>
      </c>
      <c r="F539" s="6" t="s">
        <v>1390</v>
      </c>
      <c r="G539" s="6" t="s">
        <v>1391</v>
      </c>
    </row>
    <row r="540" spans="1:7" ht="15.75" customHeight="1">
      <c r="A540" s="3">
        <v>217129356</v>
      </c>
      <c r="B540" s="4" t="s">
        <v>1424</v>
      </c>
      <c r="C540" s="3" t="s">
        <v>1425</v>
      </c>
      <c r="D540" s="3"/>
      <c r="E540" s="3" t="s">
        <v>1427</v>
      </c>
      <c r="F540" s="4" t="s">
        <v>1390</v>
      </c>
      <c r="G540" s="4" t="s">
        <v>1391</v>
      </c>
    </row>
    <row r="541" spans="1:7" ht="15.75" customHeight="1">
      <c r="A541" s="5">
        <v>185902189</v>
      </c>
      <c r="B541" s="6" t="s">
        <v>1428</v>
      </c>
      <c r="C541" s="5" t="s">
        <v>1429</v>
      </c>
      <c r="D541" s="5" t="s">
        <v>1430</v>
      </c>
      <c r="E541" s="5" t="s">
        <v>1431</v>
      </c>
      <c r="F541" s="6" t="s">
        <v>115</v>
      </c>
      <c r="G541" s="6" t="s">
        <v>116</v>
      </c>
    </row>
    <row r="542" spans="1:7" ht="15.75" customHeight="1">
      <c r="A542" s="3">
        <v>217141177</v>
      </c>
      <c r="B542" s="4" t="s">
        <v>1432</v>
      </c>
      <c r="C542" s="3" t="s">
        <v>1433</v>
      </c>
      <c r="D542" s="3">
        <v>26479727</v>
      </c>
      <c r="E542" s="3" t="s">
        <v>1434</v>
      </c>
      <c r="F542" s="4" t="s">
        <v>115</v>
      </c>
      <c r="G542" s="4" t="s">
        <v>116</v>
      </c>
    </row>
    <row r="543" spans="1:7" ht="15.75" customHeight="1">
      <c r="A543" s="5">
        <v>217152486</v>
      </c>
      <c r="B543" s="6" t="s">
        <v>1435</v>
      </c>
      <c r="C543" s="5" t="s">
        <v>1436</v>
      </c>
      <c r="D543" s="5" t="s">
        <v>1437</v>
      </c>
      <c r="E543" s="5" t="s">
        <v>1438</v>
      </c>
      <c r="F543" s="6" t="s">
        <v>115</v>
      </c>
      <c r="G543" s="6" t="s">
        <v>116</v>
      </c>
    </row>
    <row r="544" spans="1:7" ht="15.75" customHeight="1">
      <c r="A544" s="3">
        <v>217155602</v>
      </c>
      <c r="B544" s="4" t="s">
        <v>1439</v>
      </c>
      <c r="C544" s="3" t="s">
        <v>1440</v>
      </c>
      <c r="D544" s="3" t="s">
        <v>1441</v>
      </c>
      <c r="E544" s="3" t="s">
        <v>1442</v>
      </c>
      <c r="F544" s="4" t="s">
        <v>115</v>
      </c>
      <c r="G544" s="4" t="s">
        <v>116</v>
      </c>
    </row>
    <row r="545" spans="1:7" ht="15.75" customHeight="1">
      <c r="A545" s="5">
        <v>217160440</v>
      </c>
      <c r="B545" s="6" t="s">
        <v>1443</v>
      </c>
      <c r="C545" s="5" t="s">
        <v>1444</v>
      </c>
      <c r="D545" s="5">
        <v>28380732</v>
      </c>
      <c r="E545" s="5" t="s">
        <v>1445</v>
      </c>
      <c r="F545" s="6" t="s">
        <v>115</v>
      </c>
      <c r="G545" s="6" t="s">
        <v>116</v>
      </c>
    </row>
    <row r="546" spans="1:7" ht="15.75" customHeight="1">
      <c r="A546" s="3">
        <v>217160782</v>
      </c>
      <c r="B546" s="4" t="s">
        <v>1446</v>
      </c>
      <c r="C546" s="3" t="s">
        <v>1447</v>
      </c>
      <c r="D546" s="3"/>
      <c r="E546" s="3" t="s">
        <v>1448</v>
      </c>
      <c r="F546" s="4" t="s">
        <v>1390</v>
      </c>
      <c r="G546" s="4" t="s">
        <v>1391</v>
      </c>
    </row>
    <row r="547" spans="1:7" ht="15.75" customHeight="1">
      <c r="A547" s="5">
        <v>217160782</v>
      </c>
      <c r="B547" s="6" t="s">
        <v>1446</v>
      </c>
      <c r="C547" s="5" t="s">
        <v>1447</v>
      </c>
      <c r="D547" s="5"/>
      <c r="E547" s="5" t="s">
        <v>1449</v>
      </c>
      <c r="F547" s="6" t="s">
        <v>1390</v>
      </c>
      <c r="G547" s="6" t="s">
        <v>1391</v>
      </c>
    </row>
    <row r="548" spans="1:7" ht="15.75" customHeight="1">
      <c r="A548" s="3">
        <v>217166904</v>
      </c>
      <c r="B548" s="4" t="s">
        <v>1450</v>
      </c>
      <c r="C548" s="3" t="s">
        <v>1451</v>
      </c>
      <c r="D548" s="3">
        <v>26526081</v>
      </c>
      <c r="E548" s="3" t="s">
        <v>1452</v>
      </c>
      <c r="F548" s="4" t="s">
        <v>115</v>
      </c>
      <c r="G548" s="4" t="s">
        <v>116</v>
      </c>
    </row>
    <row r="549" spans="1:7" ht="15.75" customHeight="1">
      <c r="A549" s="5">
        <v>217172131</v>
      </c>
      <c r="B549" s="6" t="s">
        <v>1453</v>
      </c>
      <c r="C549" s="5" t="s">
        <v>1454</v>
      </c>
      <c r="D549" s="5" t="s">
        <v>1455</v>
      </c>
      <c r="E549" s="5" t="s">
        <v>1456</v>
      </c>
      <c r="F549" s="6" t="s">
        <v>115</v>
      </c>
      <c r="G549" s="6" t="s">
        <v>116</v>
      </c>
    </row>
    <row r="550" spans="1:7" ht="15.75" customHeight="1">
      <c r="A550" s="3">
        <v>217176012</v>
      </c>
      <c r="B550" s="4" t="s">
        <v>1457</v>
      </c>
      <c r="C550" s="3" t="s">
        <v>1458</v>
      </c>
      <c r="D550" s="3"/>
      <c r="E550" s="3" t="s">
        <v>1459</v>
      </c>
      <c r="F550" s="4" t="s">
        <v>1390</v>
      </c>
      <c r="G550" s="4" t="s">
        <v>1391</v>
      </c>
    </row>
    <row r="551" spans="1:7" ht="15.75" customHeight="1">
      <c r="A551" s="5">
        <v>217187784</v>
      </c>
      <c r="B551" s="6" t="s">
        <v>1460</v>
      </c>
      <c r="C551" s="5" t="s">
        <v>1461</v>
      </c>
      <c r="D551" s="5" t="s">
        <v>1462</v>
      </c>
      <c r="E551" s="5" t="s">
        <v>1463</v>
      </c>
      <c r="F551" s="6" t="s">
        <v>1345</v>
      </c>
      <c r="G551" s="6" t="s">
        <v>1346</v>
      </c>
    </row>
    <row r="552" spans="1:7" ht="15.75" customHeight="1">
      <c r="A552" s="3">
        <v>217176012</v>
      </c>
      <c r="B552" s="4" t="s">
        <v>1457</v>
      </c>
      <c r="C552" s="3" t="s">
        <v>1458</v>
      </c>
      <c r="D552" s="3"/>
      <c r="E552" s="3" t="s">
        <v>1464</v>
      </c>
      <c r="F552" s="4" t="s">
        <v>1390</v>
      </c>
      <c r="G552" s="4" t="s">
        <v>1391</v>
      </c>
    </row>
    <row r="553" spans="1:7" ht="15.75" customHeight="1">
      <c r="A553" s="5">
        <v>217217333</v>
      </c>
      <c r="B553" s="6" t="s">
        <v>1465</v>
      </c>
      <c r="C553" s="5" t="s">
        <v>1466</v>
      </c>
      <c r="D553" s="5">
        <v>25531969</v>
      </c>
      <c r="E553" s="5" t="s">
        <v>1467</v>
      </c>
      <c r="F553" s="6" t="s">
        <v>115</v>
      </c>
      <c r="G553" s="6" t="s">
        <v>116</v>
      </c>
    </row>
    <row r="554" spans="1:7" ht="15.75" customHeight="1">
      <c r="A554" s="3">
        <v>217230023</v>
      </c>
      <c r="B554" s="4" t="s">
        <v>1468</v>
      </c>
      <c r="C554" s="3" t="s">
        <v>1469</v>
      </c>
      <c r="D554" s="3" t="s">
        <v>1470</v>
      </c>
      <c r="E554" s="3" t="s">
        <v>1471</v>
      </c>
      <c r="F554" s="4" t="s">
        <v>88</v>
      </c>
      <c r="G554" s="4" t="s">
        <v>89</v>
      </c>
    </row>
    <row r="555" spans="1:7" ht="15.75" customHeight="1">
      <c r="A555" s="5">
        <v>217241364</v>
      </c>
      <c r="B555" s="6" t="s">
        <v>1472</v>
      </c>
      <c r="C555" s="5" t="s">
        <v>1473</v>
      </c>
      <c r="D555" s="5" t="s">
        <v>1474</v>
      </c>
      <c r="E555" s="5" t="s">
        <v>1475</v>
      </c>
      <c r="F555" s="6" t="s">
        <v>115</v>
      </c>
      <c r="G555" s="6" t="s">
        <v>116</v>
      </c>
    </row>
    <row r="556" spans="1:7" ht="15.75" customHeight="1">
      <c r="A556" s="3">
        <v>217251899</v>
      </c>
      <c r="B556" s="4" t="s">
        <v>1476</v>
      </c>
      <c r="C556" s="3" t="s">
        <v>1477</v>
      </c>
      <c r="D556" s="3" t="s">
        <v>1478</v>
      </c>
      <c r="E556" s="3" t="s">
        <v>1479</v>
      </c>
      <c r="F556" s="4" t="s">
        <v>115</v>
      </c>
      <c r="G556" s="4" t="s">
        <v>116</v>
      </c>
    </row>
    <row r="557" spans="1:7" ht="15.75" customHeight="1">
      <c r="A557" s="5">
        <v>217254519</v>
      </c>
      <c r="B557" s="6" t="s">
        <v>1480</v>
      </c>
      <c r="C557" s="5" t="s">
        <v>1481</v>
      </c>
      <c r="D557" s="5" t="s">
        <v>1482</v>
      </c>
      <c r="E557" s="5" t="s">
        <v>1483</v>
      </c>
      <c r="F557" s="6" t="s">
        <v>1484</v>
      </c>
      <c r="G557" s="6" t="s">
        <v>1485</v>
      </c>
    </row>
    <row r="558" spans="1:7" ht="15.75" customHeight="1">
      <c r="A558" s="3">
        <v>217264447</v>
      </c>
      <c r="B558" s="4" t="s">
        <v>1486</v>
      </c>
      <c r="C558" s="3" t="s">
        <v>1487</v>
      </c>
      <c r="D558" s="3" t="s">
        <v>1488</v>
      </c>
      <c r="E558" s="3" t="s">
        <v>1489</v>
      </c>
      <c r="F558" s="4" t="s">
        <v>115</v>
      </c>
      <c r="G558" s="4" t="s">
        <v>116</v>
      </c>
    </row>
    <row r="559" spans="1:7" ht="15.75" customHeight="1">
      <c r="A559" s="5">
        <v>217270853</v>
      </c>
      <c r="B559" s="6" t="s">
        <v>1490</v>
      </c>
      <c r="C559" s="5" t="s">
        <v>1491</v>
      </c>
      <c r="D559" s="5"/>
      <c r="E559" s="5" t="s">
        <v>1492</v>
      </c>
      <c r="F559" s="6" t="s">
        <v>1390</v>
      </c>
      <c r="G559" s="6" t="s">
        <v>1391</v>
      </c>
    </row>
    <row r="560" spans="1:7" ht="15.75" customHeight="1">
      <c r="A560" s="3">
        <v>217272682</v>
      </c>
      <c r="B560" s="4" t="s">
        <v>1493</v>
      </c>
      <c r="C560" s="3" t="s">
        <v>1494</v>
      </c>
      <c r="D560" s="3"/>
      <c r="E560" s="3" t="s">
        <v>1495</v>
      </c>
      <c r="F560" s="4" t="s">
        <v>1390</v>
      </c>
      <c r="G560" s="4" t="s">
        <v>1391</v>
      </c>
    </row>
    <row r="561" spans="1:7" ht="15.75" customHeight="1">
      <c r="A561" s="5">
        <v>217278712</v>
      </c>
      <c r="B561" s="6" t="s">
        <v>1496</v>
      </c>
      <c r="C561" s="5" t="s">
        <v>1497</v>
      </c>
      <c r="D561" s="5" t="s">
        <v>1498</v>
      </c>
      <c r="E561" s="5" t="s">
        <v>1499</v>
      </c>
      <c r="F561" s="6" t="s">
        <v>115</v>
      </c>
      <c r="G561" s="6" t="s">
        <v>116</v>
      </c>
    </row>
    <row r="562" spans="1:7" ht="15.75" customHeight="1">
      <c r="A562" s="3">
        <v>217353664</v>
      </c>
      <c r="B562" s="4" t="s">
        <v>1500</v>
      </c>
      <c r="C562" s="3" t="s">
        <v>1501</v>
      </c>
      <c r="D562" s="3" t="s">
        <v>1397</v>
      </c>
      <c r="E562" s="3" t="s">
        <v>1502</v>
      </c>
      <c r="F562" s="4" t="s">
        <v>70</v>
      </c>
      <c r="G562" s="4" t="s">
        <v>71</v>
      </c>
    </row>
    <row r="563" spans="1:7" ht="15.75" customHeight="1">
      <c r="A563" s="5">
        <v>217363339</v>
      </c>
      <c r="B563" s="6" t="s">
        <v>1503</v>
      </c>
      <c r="C563" s="5" t="s">
        <v>1504</v>
      </c>
      <c r="D563" s="5"/>
      <c r="E563" s="5" t="s">
        <v>1505</v>
      </c>
      <c r="F563" s="6" t="s">
        <v>1390</v>
      </c>
      <c r="G563" s="6" t="s">
        <v>1391</v>
      </c>
    </row>
    <row r="564" spans="1:7" ht="15.75" customHeight="1">
      <c r="A564" s="3">
        <v>210439195</v>
      </c>
      <c r="B564" s="4" t="s">
        <v>1506</v>
      </c>
      <c r="C564" s="3" t="s">
        <v>1507</v>
      </c>
      <c r="D564" s="3">
        <v>25488544</v>
      </c>
      <c r="E564" s="3" t="s">
        <v>1508</v>
      </c>
      <c r="F564" s="4" t="s">
        <v>115</v>
      </c>
      <c r="G564" s="4" t="s">
        <v>116</v>
      </c>
    </row>
    <row r="565" spans="1:7" ht="15.75" customHeight="1">
      <c r="A565" s="5">
        <v>217381482</v>
      </c>
      <c r="B565" s="6" t="s">
        <v>1509</v>
      </c>
      <c r="C565" s="5" t="s">
        <v>1510</v>
      </c>
      <c r="D565" s="5" t="s">
        <v>1511</v>
      </c>
      <c r="E565" s="5" t="s">
        <v>1512</v>
      </c>
      <c r="F565" s="6" t="s">
        <v>88</v>
      </c>
      <c r="G565" s="6" t="s">
        <v>89</v>
      </c>
    </row>
    <row r="566" spans="1:7" ht="15.75" customHeight="1">
      <c r="A566" s="3">
        <v>217384529</v>
      </c>
      <c r="B566" s="4" t="s">
        <v>1513</v>
      </c>
      <c r="C566" s="3" t="s">
        <v>1514</v>
      </c>
      <c r="D566" s="3" t="s">
        <v>1515</v>
      </c>
      <c r="E566" s="3" t="s">
        <v>1516</v>
      </c>
      <c r="F566" s="4" t="s">
        <v>210</v>
      </c>
      <c r="G566" s="4" t="s">
        <v>211</v>
      </c>
    </row>
    <row r="567" spans="1:7" ht="15.75" customHeight="1">
      <c r="A567" s="5">
        <v>217410464</v>
      </c>
      <c r="B567" s="6" t="s">
        <v>1517</v>
      </c>
      <c r="C567" s="5" t="s">
        <v>1518</v>
      </c>
      <c r="D567" s="5" t="s">
        <v>1519</v>
      </c>
      <c r="E567" s="5" t="s">
        <v>1520</v>
      </c>
      <c r="F567" s="6" t="s">
        <v>88</v>
      </c>
      <c r="G567" s="6" t="s">
        <v>89</v>
      </c>
    </row>
    <row r="568" spans="1:7" ht="15.75" customHeight="1">
      <c r="A568" s="3">
        <v>217425070</v>
      </c>
      <c r="B568" s="4" t="s">
        <v>1521</v>
      </c>
      <c r="C568" s="3" t="s">
        <v>1522</v>
      </c>
      <c r="D568" s="3"/>
      <c r="E568" s="3" t="s">
        <v>1523</v>
      </c>
      <c r="F568" s="4" t="s">
        <v>1390</v>
      </c>
      <c r="G568" s="4" t="s">
        <v>1391</v>
      </c>
    </row>
    <row r="569" spans="1:7" ht="15.75" customHeight="1">
      <c r="A569" s="5">
        <v>217431832</v>
      </c>
      <c r="B569" s="6" t="s">
        <v>1524</v>
      </c>
      <c r="C569" s="5" t="s">
        <v>1525</v>
      </c>
      <c r="D569" s="5">
        <v>28371414</v>
      </c>
      <c r="E569" s="5" t="s">
        <v>1526</v>
      </c>
      <c r="F569" s="6" t="s">
        <v>115</v>
      </c>
      <c r="G569" s="6" t="s">
        <v>116</v>
      </c>
    </row>
    <row r="570" spans="1:7" ht="15.75" customHeight="1">
      <c r="A570" s="3">
        <v>217436551</v>
      </c>
      <c r="B570" s="4" t="s">
        <v>1527</v>
      </c>
      <c r="C570" s="3" t="s">
        <v>1528</v>
      </c>
      <c r="D570" s="3"/>
      <c r="E570" s="3" t="s">
        <v>1529</v>
      </c>
      <c r="F570" s="4" t="s">
        <v>1390</v>
      </c>
      <c r="G570" s="4" t="s">
        <v>1391</v>
      </c>
    </row>
    <row r="571" spans="1:7" ht="15.75" customHeight="1">
      <c r="A571" s="5">
        <v>217464099</v>
      </c>
      <c r="B571" s="6" t="s">
        <v>1530</v>
      </c>
      <c r="C571" s="5" t="s">
        <v>1531</v>
      </c>
      <c r="D571" s="5"/>
      <c r="E571" s="5" t="s">
        <v>1532</v>
      </c>
      <c r="F571" s="6" t="s">
        <v>1390</v>
      </c>
      <c r="G571" s="6" t="s">
        <v>1391</v>
      </c>
    </row>
    <row r="572" spans="1:7" ht="15.75" customHeight="1">
      <c r="A572" s="3">
        <v>216549205</v>
      </c>
      <c r="B572" s="4" t="s">
        <v>1368</v>
      </c>
      <c r="C572" s="3" t="s">
        <v>1369</v>
      </c>
      <c r="D572" s="3" t="s">
        <v>1370</v>
      </c>
      <c r="E572" s="3" t="s">
        <v>1533</v>
      </c>
      <c r="F572" s="4" t="s">
        <v>88</v>
      </c>
      <c r="G572" s="4" t="s">
        <v>89</v>
      </c>
    </row>
    <row r="573" spans="1:7" ht="15.75" customHeight="1">
      <c r="A573" s="5">
        <v>217499229</v>
      </c>
      <c r="B573" s="6" t="s">
        <v>1534</v>
      </c>
      <c r="C573" s="5" t="s">
        <v>1535</v>
      </c>
      <c r="D573" s="5"/>
      <c r="E573" s="5" t="s">
        <v>1536</v>
      </c>
      <c r="F573" s="6" t="s">
        <v>1390</v>
      </c>
      <c r="G573" s="6" t="s">
        <v>1391</v>
      </c>
    </row>
    <row r="574" spans="1:7" ht="15.75" customHeight="1">
      <c r="A574" s="3">
        <v>217499229</v>
      </c>
      <c r="B574" s="4" t="s">
        <v>1534</v>
      </c>
      <c r="C574" s="3" t="s">
        <v>1535</v>
      </c>
      <c r="D574" s="3"/>
      <c r="E574" s="3" t="s">
        <v>1537</v>
      </c>
      <c r="F574" s="4" t="s">
        <v>1390</v>
      </c>
      <c r="G574" s="4" t="s">
        <v>1391</v>
      </c>
    </row>
    <row r="575" spans="1:7" ht="15.75" customHeight="1">
      <c r="A575" s="5">
        <v>217513029</v>
      </c>
      <c r="B575" s="6" t="s">
        <v>1538</v>
      </c>
      <c r="C575" s="5" t="s">
        <v>1539</v>
      </c>
      <c r="D575" s="5"/>
      <c r="E575" s="5" t="s">
        <v>1540</v>
      </c>
      <c r="F575" s="6" t="s">
        <v>1390</v>
      </c>
      <c r="G575" s="6" t="s">
        <v>1391</v>
      </c>
    </row>
    <row r="576" spans="1:7" ht="15.75" customHeight="1">
      <c r="A576" s="3">
        <v>217513029</v>
      </c>
      <c r="B576" s="4" t="s">
        <v>1538</v>
      </c>
      <c r="C576" s="3" t="s">
        <v>1539</v>
      </c>
      <c r="D576" s="3"/>
      <c r="E576" s="3" t="s">
        <v>1541</v>
      </c>
      <c r="F576" s="4" t="s">
        <v>1390</v>
      </c>
      <c r="G576" s="4" t="s">
        <v>1391</v>
      </c>
    </row>
    <row r="577" spans="1:7" ht="15.75" customHeight="1">
      <c r="A577" s="5">
        <v>217604034</v>
      </c>
      <c r="B577" s="6" t="s">
        <v>1542</v>
      </c>
      <c r="C577" s="5" t="s">
        <v>1543</v>
      </c>
      <c r="D577" s="5" t="s">
        <v>1544</v>
      </c>
      <c r="E577" s="5" t="s">
        <v>1545</v>
      </c>
      <c r="F577" s="6" t="s">
        <v>115</v>
      </c>
      <c r="G577" s="6" t="s">
        <v>116</v>
      </c>
    </row>
    <row r="578" spans="1:7" ht="15.75" customHeight="1">
      <c r="A578" s="3">
        <v>217642618</v>
      </c>
      <c r="B578" s="4" t="s">
        <v>1546</v>
      </c>
      <c r="C578" s="3" t="s">
        <v>1547</v>
      </c>
      <c r="D578" s="3">
        <v>29255202</v>
      </c>
      <c r="E578" s="3" t="s">
        <v>1548</v>
      </c>
      <c r="F578" s="4" t="s">
        <v>115</v>
      </c>
      <c r="G578" s="4" t="s">
        <v>116</v>
      </c>
    </row>
    <row r="579" spans="1:7" ht="15.75" customHeight="1">
      <c r="A579" s="5">
        <v>217664608</v>
      </c>
      <c r="B579" s="6" t="s">
        <v>1549</v>
      </c>
      <c r="C579" s="5" t="s">
        <v>1550</v>
      </c>
      <c r="D579" s="5" t="s">
        <v>1551</v>
      </c>
      <c r="E579" s="5" t="s">
        <v>1552</v>
      </c>
      <c r="F579" s="6" t="s">
        <v>115</v>
      </c>
      <c r="G579" s="6" t="s">
        <v>116</v>
      </c>
    </row>
    <row r="580" spans="1:7" ht="15.75" customHeight="1">
      <c r="A580" s="3">
        <v>217681993</v>
      </c>
      <c r="B580" s="4" t="s">
        <v>1553</v>
      </c>
      <c r="C580" s="3" t="s">
        <v>1554</v>
      </c>
      <c r="D580" s="3" t="s">
        <v>1555</v>
      </c>
      <c r="E580" s="3" t="s">
        <v>1556</v>
      </c>
      <c r="F580" s="4" t="s">
        <v>88</v>
      </c>
      <c r="G580" s="4" t="s">
        <v>89</v>
      </c>
    </row>
    <row r="581" spans="1:7" ht="15.75" customHeight="1">
      <c r="A581" s="5">
        <v>217732578</v>
      </c>
      <c r="B581" s="6" t="s">
        <v>1557</v>
      </c>
      <c r="C581" s="5" t="s">
        <v>1558</v>
      </c>
      <c r="D581" s="5" t="s">
        <v>1559</v>
      </c>
      <c r="E581" s="5" t="s">
        <v>1560</v>
      </c>
      <c r="F581" s="6" t="s">
        <v>88</v>
      </c>
      <c r="G581" s="6" t="s">
        <v>89</v>
      </c>
    </row>
    <row r="582" spans="1:7" ht="15.75" customHeight="1">
      <c r="A582" s="3">
        <v>217732612</v>
      </c>
      <c r="B582" s="4" t="s">
        <v>1561</v>
      </c>
      <c r="C582" s="3" t="s">
        <v>1562</v>
      </c>
      <c r="D582" s="3" t="s">
        <v>1563</v>
      </c>
      <c r="E582" s="3" t="s">
        <v>1564</v>
      </c>
      <c r="F582" s="4" t="s">
        <v>91</v>
      </c>
      <c r="G582" s="4" t="s">
        <v>92</v>
      </c>
    </row>
    <row r="583" spans="1:7" ht="15.75" customHeight="1">
      <c r="A583" s="5">
        <v>217733358</v>
      </c>
      <c r="B583" s="6" t="s">
        <v>1565</v>
      </c>
      <c r="C583" s="5" t="s">
        <v>1566</v>
      </c>
      <c r="D583" s="5" t="s">
        <v>1567</v>
      </c>
      <c r="E583" s="5" t="s">
        <v>1568</v>
      </c>
      <c r="F583" s="6" t="s">
        <v>88</v>
      </c>
      <c r="G583" s="6" t="s">
        <v>89</v>
      </c>
    </row>
    <row r="584" spans="1:7" ht="15.75" customHeight="1">
      <c r="A584" s="3">
        <v>217735366</v>
      </c>
      <c r="B584" s="4" t="s">
        <v>1569</v>
      </c>
      <c r="C584" s="3" t="s">
        <v>1570</v>
      </c>
      <c r="D584" s="3" t="s">
        <v>1571</v>
      </c>
      <c r="E584" s="3" t="s">
        <v>1572</v>
      </c>
      <c r="F584" s="4" t="s">
        <v>88</v>
      </c>
      <c r="G584" s="4" t="s">
        <v>89</v>
      </c>
    </row>
    <row r="585" spans="1:7" ht="15.75" customHeight="1">
      <c r="A585" s="5">
        <v>192465153</v>
      </c>
      <c r="B585" s="6" t="s">
        <v>1573</v>
      </c>
      <c r="C585" s="5" t="s">
        <v>1574</v>
      </c>
      <c r="D585" s="5" t="s">
        <v>1575</v>
      </c>
      <c r="E585" s="5" t="s">
        <v>1576</v>
      </c>
      <c r="F585" s="6" t="s">
        <v>82</v>
      </c>
      <c r="G585" s="6" t="s">
        <v>83</v>
      </c>
    </row>
    <row r="586" spans="1:7" ht="15.75" customHeight="1">
      <c r="A586" s="3">
        <v>218141767</v>
      </c>
      <c r="B586" s="4" t="s">
        <v>1577</v>
      </c>
      <c r="C586" s="3" t="s">
        <v>1578</v>
      </c>
      <c r="D586" s="3" t="s">
        <v>1579</v>
      </c>
      <c r="E586" s="3" t="s">
        <v>1580</v>
      </c>
      <c r="F586" s="4" t="s">
        <v>1484</v>
      </c>
      <c r="G586" s="4" t="s">
        <v>1485</v>
      </c>
    </row>
    <row r="587" spans="1:7" ht="15.75" customHeight="1">
      <c r="A587" s="5">
        <v>216968393</v>
      </c>
      <c r="B587" s="6" t="s">
        <v>1395</v>
      </c>
      <c r="C587" s="5" t="s">
        <v>1396</v>
      </c>
      <c r="D587" s="5" t="s">
        <v>1397</v>
      </c>
      <c r="E587" s="5" t="s">
        <v>1581</v>
      </c>
      <c r="F587" s="6" t="s">
        <v>70</v>
      </c>
      <c r="G587" s="6" t="s">
        <v>71</v>
      </c>
    </row>
    <row r="588" spans="1:7" ht="15.75" customHeight="1">
      <c r="A588" s="3">
        <v>218154264</v>
      </c>
      <c r="B588" s="4" t="s">
        <v>1582</v>
      </c>
      <c r="C588" s="3" t="s">
        <v>1583</v>
      </c>
      <c r="D588" s="3">
        <v>79776974080</v>
      </c>
      <c r="E588" s="3" t="s">
        <v>1584</v>
      </c>
      <c r="F588" s="4" t="s">
        <v>91</v>
      </c>
      <c r="G588" s="4" t="s">
        <v>92</v>
      </c>
    </row>
    <row r="589" spans="1:7" ht="15.75" customHeight="1">
      <c r="A589" s="5">
        <v>199540857</v>
      </c>
      <c r="B589" s="6" t="s">
        <v>1585</v>
      </c>
      <c r="C589" s="5" t="s">
        <v>1586</v>
      </c>
      <c r="D589" s="5" t="s">
        <v>1587</v>
      </c>
      <c r="E589" s="5" t="s">
        <v>1588</v>
      </c>
      <c r="F589" s="6" t="s">
        <v>55</v>
      </c>
      <c r="G589" s="6" t="s">
        <v>56</v>
      </c>
    </row>
    <row r="590" spans="1:7" ht="15.75" customHeight="1">
      <c r="A590" s="3">
        <v>218171468</v>
      </c>
      <c r="B590" s="4" t="s">
        <v>1589</v>
      </c>
      <c r="C590" s="3" t="s">
        <v>1590</v>
      </c>
      <c r="D590" s="3" t="s">
        <v>1591</v>
      </c>
      <c r="E590" s="3" t="s">
        <v>1592</v>
      </c>
      <c r="F590" s="4" t="s">
        <v>1593</v>
      </c>
      <c r="G590" s="4" t="s">
        <v>1594</v>
      </c>
    </row>
    <row r="591" spans="1:7" ht="15.75" customHeight="1">
      <c r="A591" s="5">
        <v>182551160</v>
      </c>
      <c r="B591" s="6" t="s">
        <v>1595</v>
      </c>
      <c r="C591" s="5" t="s">
        <v>1596</v>
      </c>
      <c r="D591" s="5" t="s">
        <v>1597</v>
      </c>
      <c r="E591" s="5" t="s">
        <v>1598</v>
      </c>
      <c r="F591" s="6" t="s">
        <v>1599</v>
      </c>
      <c r="G591" s="6" t="s">
        <v>222</v>
      </c>
    </row>
    <row r="592" spans="1:7" ht="15.75" customHeight="1">
      <c r="A592" s="3">
        <v>218217182</v>
      </c>
      <c r="B592" s="4" t="s">
        <v>1600</v>
      </c>
      <c r="C592" s="3" t="s">
        <v>1601</v>
      </c>
      <c r="D592" s="3">
        <v>79852097040</v>
      </c>
      <c r="E592" s="3" t="s">
        <v>1602</v>
      </c>
      <c r="F592" s="4" t="s">
        <v>854</v>
      </c>
      <c r="G592" s="4" t="s">
        <v>855</v>
      </c>
    </row>
    <row r="593" spans="1:7" ht="15.75" customHeight="1">
      <c r="A593" s="5">
        <v>218298567</v>
      </c>
      <c r="B593" s="6" t="s">
        <v>1603</v>
      </c>
      <c r="C593" s="5" t="s">
        <v>1604</v>
      </c>
      <c r="D593" s="5">
        <v>79869205039</v>
      </c>
      <c r="E593" s="5" t="s">
        <v>1605</v>
      </c>
      <c r="F593" s="6" t="s">
        <v>1484</v>
      </c>
      <c r="G593" s="6" t="s">
        <v>1485</v>
      </c>
    </row>
    <row r="594" spans="1:7" ht="15.75" customHeight="1">
      <c r="A594" s="3">
        <v>218335023</v>
      </c>
      <c r="B594" s="4" t="s">
        <v>1606</v>
      </c>
      <c r="C594" s="3" t="s">
        <v>1607</v>
      </c>
      <c r="D594" s="3" t="s">
        <v>1608</v>
      </c>
      <c r="E594" s="3" t="s">
        <v>1609</v>
      </c>
      <c r="F594" s="4" t="s">
        <v>82</v>
      </c>
      <c r="G594" s="4" t="s">
        <v>83</v>
      </c>
    </row>
    <row r="595" spans="1:7" ht="15.75" customHeight="1">
      <c r="A595" s="5">
        <v>211493383</v>
      </c>
      <c r="B595" s="6" t="s">
        <v>1610</v>
      </c>
      <c r="C595" s="5" t="s">
        <v>1611</v>
      </c>
      <c r="D595" s="5" t="s">
        <v>1612</v>
      </c>
      <c r="E595" s="5" t="s">
        <v>1613</v>
      </c>
      <c r="F595" s="6" t="s">
        <v>1599</v>
      </c>
      <c r="G595" s="6" t="s">
        <v>222</v>
      </c>
    </row>
    <row r="596" spans="1:7" ht="15.75" customHeight="1">
      <c r="A596" s="3">
        <v>218411070</v>
      </c>
      <c r="B596" s="4" t="s">
        <v>1614</v>
      </c>
      <c r="C596" s="3" t="s">
        <v>1615</v>
      </c>
      <c r="D596" s="3" t="s">
        <v>1616</v>
      </c>
      <c r="E596" s="3" t="s">
        <v>1617</v>
      </c>
      <c r="F596" s="4" t="s">
        <v>55</v>
      </c>
      <c r="G596" s="4" t="s">
        <v>56</v>
      </c>
    </row>
    <row r="597" spans="1:7" ht="15.75" customHeight="1">
      <c r="A597" s="5">
        <v>218445507</v>
      </c>
      <c r="B597" s="6" t="s">
        <v>1618</v>
      </c>
      <c r="C597" s="5" t="s">
        <v>1619</v>
      </c>
      <c r="D597" s="5">
        <v>22040670</v>
      </c>
      <c r="E597" s="5" t="s">
        <v>1620</v>
      </c>
      <c r="F597" s="6" t="s">
        <v>115</v>
      </c>
      <c r="G597" s="6" t="s">
        <v>116</v>
      </c>
    </row>
    <row r="598" spans="1:7" ht="15.75" customHeight="1">
      <c r="A598" s="3">
        <v>218481211</v>
      </c>
      <c r="B598" s="4" t="s">
        <v>1621</v>
      </c>
      <c r="C598" s="3" t="s">
        <v>1622</v>
      </c>
      <c r="D598" s="3" t="s">
        <v>1623</v>
      </c>
      <c r="E598" s="3" t="s">
        <v>1624</v>
      </c>
      <c r="F598" s="4" t="s">
        <v>854</v>
      </c>
      <c r="G598" s="4" t="s">
        <v>855</v>
      </c>
    </row>
    <row r="599" spans="1:7" ht="15.75" customHeight="1">
      <c r="A599" s="5">
        <v>218335023</v>
      </c>
      <c r="B599" s="6" t="s">
        <v>1606</v>
      </c>
      <c r="C599" s="5" t="s">
        <v>1607</v>
      </c>
      <c r="D599" s="5" t="s">
        <v>1608</v>
      </c>
      <c r="E599" s="5" t="s">
        <v>1625</v>
      </c>
      <c r="F599" s="6" t="s">
        <v>82</v>
      </c>
      <c r="G599" s="6" t="s">
        <v>83</v>
      </c>
    </row>
    <row r="600" spans="1:7" ht="15.75" customHeight="1">
      <c r="A600" s="3">
        <v>177703024</v>
      </c>
      <c r="B600" s="4" t="s">
        <v>1626</v>
      </c>
      <c r="C600" s="3" t="s">
        <v>1627</v>
      </c>
      <c r="D600" s="3" t="s">
        <v>1628</v>
      </c>
      <c r="E600" s="3" t="s">
        <v>1629</v>
      </c>
      <c r="F600" s="4" t="s">
        <v>221</v>
      </c>
      <c r="G600" s="4" t="s">
        <v>222</v>
      </c>
    </row>
    <row r="601" spans="1:7" ht="15.75" customHeight="1">
      <c r="A601" s="5">
        <v>205586828</v>
      </c>
      <c r="B601" s="6" t="s">
        <v>1630</v>
      </c>
      <c r="C601" s="5" t="s">
        <v>1631</v>
      </c>
      <c r="D601" s="5" t="s">
        <v>1632</v>
      </c>
      <c r="E601" s="5" t="s">
        <v>1633</v>
      </c>
      <c r="F601" s="6" t="s">
        <v>172</v>
      </c>
      <c r="G601" s="6" t="s">
        <v>173</v>
      </c>
    </row>
    <row r="602" spans="1:7" ht="15.75" customHeight="1">
      <c r="A602" s="3">
        <v>218908530</v>
      </c>
      <c r="B602" s="4" t="s">
        <v>1634</v>
      </c>
      <c r="C602" s="3" t="s">
        <v>1635</v>
      </c>
      <c r="D602" s="3" t="s">
        <v>1636</v>
      </c>
      <c r="E602" s="3" t="s">
        <v>1637</v>
      </c>
      <c r="F602" s="4" t="s">
        <v>172</v>
      </c>
      <c r="G602" s="4" t="s">
        <v>173</v>
      </c>
    </row>
    <row r="603" spans="1:7" ht="15.75" customHeight="1">
      <c r="A603" s="5">
        <v>214714351</v>
      </c>
      <c r="B603" s="6" t="s">
        <v>1638</v>
      </c>
      <c r="C603" s="5" t="s">
        <v>1639</v>
      </c>
      <c r="D603" s="5" t="s">
        <v>1640</v>
      </c>
      <c r="E603" s="5" t="s">
        <v>1641</v>
      </c>
      <c r="F603" s="6" t="s">
        <v>368</v>
      </c>
      <c r="G603" s="6" t="s">
        <v>369</v>
      </c>
    </row>
    <row r="604" spans="1:7" ht="15.75" customHeight="1">
      <c r="A604" s="3">
        <v>199119029</v>
      </c>
      <c r="B604" s="4" t="s">
        <v>1642</v>
      </c>
      <c r="C604" s="3" t="s">
        <v>1643</v>
      </c>
      <c r="D604" s="3">
        <v>79231088150</v>
      </c>
      <c r="E604" s="3" t="s">
        <v>1644</v>
      </c>
      <c r="F604" s="4" t="s">
        <v>204</v>
      </c>
      <c r="G604" s="4" t="s">
        <v>205</v>
      </c>
    </row>
    <row r="605" spans="1:7" ht="15.75" customHeight="1">
      <c r="A605" s="5">
        <v>219244569</v>
      </c>
      <c r="B605" s="6" t="s">
        <v>1645</v>
      </c>
      <c r="C605" s="5" t="s">
        <v>1646</v>
      </c>
      <c r="D605" s="5">
        <v>79871909929</v>
      </c>
      <c r="E605" s="5" t="s">
        <v>1647</v>
      </c>
      <c r="F605" s="6" t="s">
        <v>936</v>
      </c>
      <c r="G605" s="6" t="s">
        <v>937</v>
      </c>
    </row>
    <row r="606" spans="1:7" ht="15.75" customHeight="1">
      <c r="A606" s="3">
        <v>219249419</v>
      </c>
      <c r="B606" s="4" t="s">
        <v>1648</v>
      </c>
      <c r="C606" s="3" t="s">
        <v>1649</v>
      </c>
      <c r="D606" s="3" t="s">
        <v>1650</v>
      </c>
      <c r="E606" s="3" t="s">
        <v>1651</v>
      </c>
      <c r="F606" s="4" t="s">
        <v>854</v>
      </c>
      <c r="G606" s="4" t="s">
        <v>855</v>
      </c>
    </row>
    <row r="607" spans="1:7" ht="15.75" customHeight="1">
      <c r="A607" s="5">
        <v>219257468</v>
      </c>
      <c r="B607" s="6" t="s">
        <v>1652</v>
      </c>
      <c r="C607" s="5" t="s">
        <v>1653</v>
      </c>
      <c r="D607" s="5" t="s">
        <v>1654</v>
      </c>
      <c r="E607" s="5" t="s">
        <v>1655</v>
      </c>
      <c r="F607" s="6" t="s">
        <v>91</v>
      </c>
      <c r="G607" s="6" t="s">
        <v>92</v>
      </c>
    </row>
    <row r="608" spans="1:7" ht="15.75" customHeight="1">
      <c r="A608" s="3">
        <v>219278047</v>
      </c>
      <c r="B608" s="4" t="s">
        <v>1656</v>
      </c>
      <c r="C608" s="3" t="s">
        <v>1657</v>
      </c>
      <c r="D608" s="3">
        <v>79042934896</v>
      </c>
      <c r="E608" s="3" t="s">
        <v>1658</v>
      </c>
      <c r="F608" s="4" t="s">
        <v>91</v>
      </c>
      <c r="G608" s="4" t="s">
        <v>92</v>
      </c>
    </row>
    <row r="609" spans="1:7" ht="15.75" customHeight="1">
      <c r="A609" s="5">
        <v>219305959</v>
      </c>
      <c r="B609" s="6" t="s">
        <v>1659</v>
      </c>
      <c r="C609" s="5" t="s">
        <v>1660</v>
      </c>
      <c r="D609" s="5">
        <v>79961775916</v>
      </c>
      <c r="E609" s="5" t="s">
        <v>1661</v>
      </c>
      <c r="F609" s="6" t="s">
        <v>172</v>
      </c>
      <c r="G609" s="6" t="s">
        <v>173</v>
      </c>
    </row>
    <row r="610" spans="1:7" ht="15.75" customHeight="1">
      <c r="A610" s="3">
        <v>205952229</v>
      </c>
      <c r="B610" s="4" t="s">
        <v>1662</v>
      </c>
      <c r="C610" s="3" t="s">
        <v>1663</v>
      </c>
      <c r="D610" s="3" t="s">
        <v>1664</v>
      </c>
      <c r="E610" s="3" t="s">
        <v>1665</v>
      </c>
      <c r="F610" s="4" t="s">
        <v>91</v>
      </c>
      <c r="G610" s="4" t="s">
        <v>92</v>
      </c>
    </row>
    <row r="611" spans="1:7" ht="15.75" customHeight="1">
      <c r="A611" s="5">
        <v>219373378</v>
      </c>
      <c r="B611" s="6" t="s">
        <v>1666</v>
      </c>
      <c r="C611" s="5" t="s">
        <v>1667</v>
      </c>
      <c r="D611" s="5" t="s">
        <v>1668</v>
      </c>
      <c r="E611" s="5" t="s">
        <v>1669</v>
      </c>
      <c r="F611" s="6" t="s">
        <v>936</v>
      </c>
      <c r="G611" s="6" t="s">
        <v>937</v>
      </c>
    </row>
    <row r="612" spans="1:7" ht="15.75" customHeight="1">
      <c r="A612" s="3">
        <v>219398184</v>
      </c>
      <c r="B612" s="4" t="s">
        <v>1670</v>
      </c>
      <c r="C612" s="3" t="s">
        <v>1671</v>
      </c>
      <c r="D612" s="3" t="s">
        <v>1672</v>
      </c>
      <c r="E612" s="3" t="s">
        <v>1673</v>
      </c>
      <c r="F612" s="4" t="s">
        <v>91</v>
      </c>
      <c r="G612" s="4" t="s">
        <v>92</v>
      </c>
    </row>
    <row r="613" spans="1:7" ht="15.75" customHeight="1">
      <c r="A613" s="5">
        <v>219479156</v>
      </c>
      <c r="B613" s="6" t="s">
        <v>1674</v>
      </c>
      <c r="C613" s="5" t="s">
        <v>1675</v>
      </c>
      <c r="D613" s="5" t="s">
        <v>1676</v>
      </c>
      <c r="E613" s="5" t="s">
        <v>1677</v>
      </c>
      <c r="F613" s="6" t="s">
        <v>172</v>
      </c>
      <c r="G613" s="6" t="s">
        <v>173</v>
      </c>
    </row>
    <row r="614" spans="1:7" ht="15.75" customHeight="1">
      <c r="A614" s="3">
        <v>214443677</v>
      </c>
      <c r="B614" s="4" t="s">
        <v>1678</v>
      </c>
      <c r="C614" s="3" t="s">
        <v>1679</v>
      </c>
      <c r="D614" s="3">
        <v>79151666161</v>
      </c>
      <c r="E614" s="3" t="s">
        <v>1680</v>
      </c>
      <c r="F614" s="4" t="s">
        <v>368</v>
      </c>
      <c r="G614" s="4" t="s">
        <v>369</v>
      </c>
    </row>
    <row r="615" spans="1:7" ht="15.75" customHeight="1">
      <c r="A615" s="5">
        <v>192075904</v>
      </c>
      <c r="B615" s="6" t="s">
        <v>1681</v>
      </c>
      <c r="C615" s="5" t="s">
        <v>1682</v>
      </c>
      <c r="D615" s="5" t="s">
        <v>1683</v>
      </c>
      <c r="E615" s="5" t="s">
        <v>1684</v>
      </c>
      <c r="F615" s="6" t="s">
        <v>292</v>
      </c>
      <c r="G615" s="6" t="s">
        <v>293</v>
      </c>
    </row>
    <row r="616" spans="1:7" ht="15.75" customHeight="1">
      <c r="A616" s="3">
        <v>199539760</v>
      </c>
      <c r="B616" s="4" t="s">
        <v>1685</v>
      </c>
      <c r="C616" s="3" t="s">
        <v>1686</v>
      </c>
      <c r="D616" s="3" t="s">
        <v>1687</v>
      </c>
      <c r="E616" s="3" t="s">
        <v>1688</v>
      </c>
      <c r="F616" s="4" t="s">
        <v>97</v>
      </c>
      <c r="G616" s="4" t="s">
        <v>98</v>
      </c>
    </row>
    <row r="617" spans="1:7" ht="15.75" customHeight="1">
      <c r="A617" s="5">
        <v>210371507</v>
      </c>
      <c r="B617" s="6" t="s">
        <v>1689</v>
      </c>
      <c r="C617" s="5" t="s">
        <v>1690</v>
      </c>
      <c r="D617" s="5">
        <v>28240780</v>
      </c>
      <c r="E617" s="5" t="s">
        <v>1691</v>
      </c>
      <c r="F617" s="6" t="s">
        <v>292</v>
      </c>
      <c r="G617" s="6" t="s">
        <v>293</v>
      </c>
    </row>
    <row r="618" spans="1:7" ht="15.75" customHeight="1">
      <c r="A618" s="3">
        <v>219719026</v>
      </c>
      <c r="B618" s="4" t="s">
        <v>1692</v>
      </c>
      <c r="C618" s="3" t="s">
        <v>1693</v>
      </c>
      <c r="D618" s="3" t="s">
        <v>1694</v>
      </c>
      <c r="E618" s="3" t="s">
        <v>1695</v>
      </c>
      <c r="F618" s="4" t="s">
        <v>213</v>
      </c>
      <c r="G618" s="4" t="s">
        <v>89</v>
      </c>
    </row>
    <row r="619" spans="1:7" ht="15.75" customHeight="1">
      <c r="A619" s="5">
        <v>219843457</v>
      </c>
      <c r="B619" s="6" t="s">
        <v>1696</v>
      </c>
      <c r="C619" s="5" t="s">
        <v>1697</v>
      </c>
      <c r="D619" s="5" t="s">
        <v>1698</v>
      </c>
      <c r="E619" s="5" t="s">
        <v>1699</v>
      </c>
      <c r="F619" s="6" t="s">
        <v>1593</v>
      </c>
      <c r="G619" s="6" t="s">
        <v>1594</v>
      </c>
    </row>
    <row r="620" spans="1:7" ht="15.75" customHeight="1">
      <c r="A620" s="3">
        <v>219844153</v>
      </c>
      <c r="B620" s="4" t="s">
        <v>1700</v>
      </c>
      <c r="C620" s="3" t="s">
        <v>1701</v>
      </c>
      <c r="D620" s="3" t="s">
        <v>1702</v>
      </c>
      <c r="E620" s="3" t="s">
        <v>1703</v>
      </c>
      <c r="F620" s="4" t="s">
        <v>1593</v>
      </c>
      <c r="G620" s="4" t="s">
        <v>1594</v>
      </c>
    </row>
    <row r="621" spans="1:7" ht="15.75" customHeight="1">
      <c r="A621" s="5">
        <v>219956439</v>
      </c>
      <c r="B621" s="6" t="s">
        <v>1704</v>
      </c>
      <c r="C621" s="5" t="s">
        <v>1705</v>
      </c>
      <c r="D621" s="5" t="s">
        <v>1706</v>
      </c>
      <c r="E621" s="5" t="s">
        <v>1707</v>
      </c>
      <c r="F621" s="6" t="s">
        <v>854</v>
      </c>
      <c r="G621" s="6" t="s">
        <v>855</v>
      </c>
    </row>
    <row r="622" spans="1:7" ht="15.75" customHeight="1">
      <c r="A622" s="3">
        <v>214603233</v>
      </c>
      <c r="B622" s="4" t="s">
        <v>1708</v>
      </c>
      <c r="C622" s="3" t="s">
        <v>1709</v>
      </c>
      <c r="D622" s="3" t="s">
        <v>1710</v>
      </c>
      <c r="E622" s="3" t="s">
        <v>1711</v>
      </c>
      <c r="F622" s="4" t="s">
        <v>1712</v>
      </c>
      <c r="G622" s="4" t="s">
        <v>155</v>
      </c>
    </row>
    <row r="623" spans="1:7" ht="15.75" customHeight="1">
      <c r="A623" s="5">
        <v>217230023</v>
      </c>
      <c r="B623" s="6" t="s">
        <v>1468</v>
      </c>
      <c r="C623" s="5" t="s">
        <v>1469</v>
      </c>
      <c r="D623" s="5" t="s">
        <v>1470</v>
      </c>
      <c r="E623" s="5" t="s">
        <v>1713</v>
      </c>
      <c r="F623" s="6" t="s">
        <v>213</v>
      </c>
      <c r="G623" s="6" t="s">
        <v>89</v>
      </c>
    </row>
    <row r="624" spans="1:7" ht="15.75" customHeight="1">
      <c r="A624" s="3">
        <v>217353664</v>
      </c>
      <c r="B624" s="4" t="s">
        <v>1500</v>
      </c>
      <c r="C624" s="3" t="s">
        <v>1501</v>
      </c>
      <c r="D624" s="3" t="s">
        <v>1397</v>
      </c>
      <c r="E624" s="3" t="s">
        <v>1714</v>
      </c>
      <c r="F624" s="4" t="s">
        <v>1715</v>
      </c>
      <c r="G624" s="4" t="s">
        <v>1716</v>
      </c>
    </row>
    <row r="625" spans="1:7" ht="15.75" customHeight="1">
      <c r="A625" s="5">
        <v>220680909</v>
      </c>
      <c r="B625" s="6" t="s">
        <v>1717</v>
      </c>
      <c r="C625" s="5" t="s">
        <v>1718</v>
      </c>
      <c r="D625" s="5">
        <v>79282945028</v>
      </c>
      <c r="E625" s="5" t="s">
        <v>1719</v>
      </c>
      <c r="F625" s="6" t="s">
        <v>936</v>
      </c>
      <c r="G625" s="6" t="s">
        <v>937</v>
      </c>
    </row>
    <row r="626" spans="1:7" ht="15.75" customHeight="1">
      <c r="A626" s="3">
        <v>220713279</v>
      </c>
      <c r="B626" s="4" t="s">
        <v>1720</v>
      </c>
      <c r="C626" s="3" t="s">
        <v>1721</v>
      </c>
      <c r="D626" s="3" t="s">
        <v>1722</v>
      </c>
      <c r="E626" s="3" t="s">
        <v>1723</v>
      </c>
      <c r="F626" s="4" t="s">
        <v>91</v>
      </c>
      <c r="G626" s="4" t="s">
        <v>92</v>
      </c>
    </row>
    <row r="627" spans="1:7" ht="15.75" customHeight="1">
      <c r="A627" s="5">
        <v>211485115</v>
      </c>
      <c r="B627" s="6" t="s">
        <v>1724</v>
      </c>
      <c r="C627" s="5" t="s">
        <v>1725</v>
      </c>
      <c r="D627" s="5" t="s">
        <v>1726</v>
      </c>
      <c r="E627" s="5" t="s">
        <v>1727</v>
      </c>
      <c r="F627" s="6" t="s">
        <v>55</v>
      </c>
      <c r="G627" s="6" t="s">
        <v>56</v>
      </c>
    </row>
    <row r="628" spans="1:7" ht="15.75" customHeight="1">
      <c r="A628" s="3">
        <v>202557120</v>
      </c>
      <c r="B628" s="4" t="s">
        <v>1728</v>
      </c>
      <c r="C628" s="3" t="s">
        <v>1729</v>
      </c>
      <c r="D628" s="3" t="s">
        <v>1730</v>
      </c>
      <c r="E628" s="3" t="s">
        <v>1731</v>
      </c>
      <c r="F628" s="4" t="s">
        <v>228</v>
      </c>
      <c r="G628" s="4" t="s">
        <v>229</v>
      </c>
    </row>
    <row r="629" spans="1:7" ht="15.75" customHeight="1">
      <c r="A629" s="5">
        <v>220755168</v>
      </c>
      <c r="B629" s="6" t="s">
        <v>1732</v>
      </c>
      <c r="C629" s="5" t="s">
        <v>1733</v>
      </c>
      <c r="D629" s="5" t="s">
        <v>1734</v>
      </c>
      <c r="E629" s="5" t="s">
        <v>1735</v>
      </c>
      <c r="F629" s="6" t="s">
        <v>368</v>
      </c>
      <c r="G629" s="6" t="s">
        <v>369</v>
      </c>
    </row>
    <row r="630" spans="1:7" ht="15.75" customHeight="1">
      <c r="A630" s="3">
        <v>205870064</v>
      </c>
      <c r="B630" s="4" t="s">
        <v>1736</v>
      </c>
      <c r="C630" s="3" t="s">
        <v>1737</v>
      </c>
      <c r="D630" s="3" t="s">
        <v>1738</v>
      </c>
      <c r="E630" s="3" t="s">
        <v>1739</v>
      </c>
      <c r="F630" s="4" t="s">
        <v>228</v>
      </c>
      <c r="G630" s="4" t="s">
        <v>229</v>
      </c>
    </row>
    <row r="631" spans="1:7" ht="15.75" customHeight="1">
      <c r="A631" s="5">
        <v>177703024</v>
      </c>
      <c r="B631" s="6" t="s">
        <v>1626</v>
      </c>
      <c r="C631" s="5" t="s">
        <v>1627</v>
      </c>
      <c r="D631" s="5" t="s">
        <v>1628</v>
      </c>
      <c r="E631" s="5" t="s">
        <v>1740</v>
      </c>
      <c r="F631" s="6" t="s">
        <v>55</v>
      </c>
      <c r="G631" s="6" t="s">
        <v>56</v>
      </c>
    </row>
    <row r="632" spans="1:7" ht="15.75" customHeight="1">
      <c r="A632" s="3">
        <v>220858807</v>
      </c>
      <c r="B632" s="4" t="s">
        <v>1741</v>
      </c>
      <c r="C632" s="3" t="s">
        <v>1742</v>
      </c>
      <c r="D632" s="3" t="s">
        <v>1743</v>
      </c>
      <c r="E632" s="3" t="s">
        <v>1744</v>
      </c>
      <c r="F632" s="4" t="s">
        <v>91</v>
      </c>
      <c r="G632" s="4" t="s">
        <v>92</v>
      </c>
    </row>
    <row r="633" spans="1:7" ht="15.75" customHeight="1">
      <c r="A633" s="5">
        <v>220974906</v>
      </c>
      <c r="B633" s="6" t="s">
        <v>1745</v>
      </c>
      <c r="C633" s="5" t="s">
        <v>1746</v>
      </c>
      <c r="D633" s="5" t="s">
        <v>1747</v>
      </c>
      <c r="E633" s="5" t="s">
        <v>1748</v>
      </c>
      <c r="F633" s="6" t="s">
        <v>97</v>
      </c>
      <c r="G633" s="6" t="s">
        <v>98</v>
      </c>
    </row>
    <row r="634" spans="1:7" ht="15.75" customHeight="1">
      <c r="A634" s="3">
        <v>199120569</v>
      </c>
      <c r="B634" s="4" t="s">
        <v>1378</v>
      </c>
      <c r="C634" s="3" t="s">
        <v>1379</v>
      </c>
      <c r="D634" s="3" t="s">
        <v>1380</v>
      </c>
      <c r="E634" s="3" t="s">
        <v>1749</v>
      </c>
      <c r="F634" s="4" t="s">
        <v>1750</v>
      </c>
      <c r="G634" s="4" t="s">
        <v>205</v>
      </c>
    </row>
    <row r="635" spans="1:7" ht="15.75" customHeight="1">
      <c r="A635" s="5">
        <v>199120569</v>
      </c>
      <c r="B635" s="6" t="s">
        <v>1378</v>
      </c>
      <c r="C635" s="5" t="s">
        <v>1379</v>
      </c>
      <c r="D635" s="5" t="s">
        <v>1380</v>
      </c>
      <c r="E635" s="5" t="s">
        <v>1751</v>
      </c>
      <c r="F635" s="6" t="s">
        <v>1752</v>
      </c>
      <c r="G635" s="6" t="s">
        <v>205</v>
      </c>
    </row>
    <row r="636" spans="1:7" ht="15.75" customHeight="1">
      <c r="A636" s="3">
        <v>215664147</v>
      </c>
      <c r="B636" s="4" t="s">
        <v>1314</v>
      </c>
      <c r="C636" s="3" t="s">
        <v>1315</v>
      </c>
      <c r="D636" s="3" t="s">
        <v>1316</v>
      </c>
      <c r="E636" s="3" t="s">
        <v>1753</v>
      </c>
      <c r="F636" s="4" t="s">
        <v>221</v>
      </c>
      <c r="G636" s="4" t="s">
        <v>222</v>
      </c>
    </row>
    <row r="637" spans="1:7" ht="15.75" customHeight="1">
      <c r="A637" s="5">
        <v>221150290</v>
      </c>
      <c r="B637" s="6" t="s">
        <v>1754</v>
      </c>
      <c r="C637" s="5" t="s">
        <v>1755</v>
      </c>
      <c r="D637" s="5">
        <v>79180163243</v>
      </c>
      <c r="E637" s="5" t="s">
        <v>1756</v>
      </c>
      <c r="F637" s="6" t="s">
        <v>148</v>
      </c>
      <c r="G637" s="6" t="s">
        <v>149</v>
      </c>
    </row>
    <row r="638" spans="1:7" ht="15.75" customHeight="1">
      <c r="A638" s="3">
        <v>221297475</v>
      </c>
      <c r="B638" s="4" t="s">
        <v>736</v>
      </c>
      <c r="C638" s="3" t="s">
        <v>1757</v>
      </c>
      <c r="D638" s="3" t="s">
        <v>738</v>
      </c>
      <c r="E638" s="3" t="s">
        <v>1758</v>
      </c>
      <c r="F638" s="4" t="s">
        <v>91</v>
      </c>
      <c r="G638" s="4" t="s">
        <v>92</v>
      </c>
    </row>
    <row r="639" spans="1:7" ht="15.75" customHeight="1">
      <c r="A639" s="5">
        <v>221348509</v>
      </c>
      <c r="B639" s="6" t="s">
        <v>1759</v>
      </c>
      <c r="C639" s="5" t="s">
        <v>1760</v>
      </c>
      <c r="D639" s="5">
        <v>79645438902</v>
      </c>
      <c r="E639" s="5" t="s">
        <v>1761</v>
      </c>
      <c r="F639" s="6" t="s">
        <v>210</v>
      </c>
      <c r="G639" s="6" t="s">
        <v>211</v>
      </c>
    </row>
    <row r="640" spans="1:7" ht="15.75" customHeight="1">
      <c r="A640" s="3">
        <v>205952229</v>
      </c>
      <c r="B640" s="4" t="s">
        <v>1662</v>
      </c>
      <c r="C640" s="3" t="s">
        <v>1663</v>
      </c>
      <c r="D640" s="3" t="s">
        <v>1664</v>
      </c>
      <c r="E640" s="3" t="s">
        <v>1762</v>
      </c>
      <c r="F640" s="4" t="s">
        <v>228</v>
      </c>
      <c r="G640" s="4" t="s">
        <v>229</v>
      </c>
    </row>
    <row r="641" spans="1:7" ht="15.75" customHeight="1">
      <c r="A641" s="5">
        <v>217251899</v>
      </c>
      <c r="B641" s="6" t="s">
        <v>1476</v>
      </c>
      <c r="C641" s="5" t="s">
        <v>1477</v>
      </c>
      <c r="D641" s="5" t="s">
        <v>1478</v>
      </c>
      <c r="E641" s="5" t="s">
        <v>1763</v>
      </c>
      <c r="F641" s="6" t="s">
        <v>292</v>
      </c>
      <c r="G641" s="6" t="s">
        <v>293</v>
      </c>
    </row>
    <row r="642" spans="1:7" ht="15.75" customHeight="1">
      <c r="A642" s="3">
        <v>179742240</v>
      </c>
      <c r="B642" s="4" t="s">
        <v>1764</v>
      </c>
      <c r="C642" s="3" t="s">
        <v>1765</v>
      </c>
      <c r="D642" s="3" t="s">
        <v>1766</v>
      </c>
      <c r="E642" s="3" t="s">
        <v>1767</v>
      </c>
      <c r="F642" s="4" t="s">
        <v>221</v>
      </c>
      <c r="G642" s="4" t="s">
        <v>222</v>
      </c>
    </row>
    <row r="643" spans="1:7" ht="15.75" customHeight="1">
      <c r="A643" s="5">
        <v>221608365</v>
      </c>
      <c r="B643" s="6" t="s">
        <v>1768</v>
      </c>
      <c r="C643" s="5" t="s">
        <v>1769</v>
      </c>
      <c r="D643" s="5" t="s">
        <v>1770</v>
      </c>
      <c r="E643" s="5" t="s">
        <v>1771</v>
      </c>
      <c r="F643" s="6" t="s">
        <v>292</v>
      </c>
      <c r="G643" s="6" t="s">
        <v>293</v>
      </c>
    </row>
    <row r="644" spans="1:7" ht="15.75" customHeight="1">
      <c r="A644" s="3">
        <v>221624331</v>
      </c>
      <c r="B644" s="4" t="s">
        <v>1772</v>
      </c>
      <c r="C644" s="3" t="s">
        <v>1773</v>
      </c>
      <c r="D644" s="3" t="s">
        <v>1774</v>
      </c>
      <c r="E644" s="3" t="s">
        <v>1775</v>
      </c>
      <c r="F644" s="4" t="s">
        <v>91</v>
      </c>
      <c r="G644" s="4" t="s">
        <v>92</v>
      </c>
    </row>
    <row r="645" spans="1:7" ht="15.75" customHeight="1">
      <c r="A645" s="5">
        <v>221624970</v>
      </c>
      <c r="B645" s="6" t="s">
        <v>1776</v>
      </c>
      <c r="C645" s="5" t="s">
        <v>1777</v>
      </c>
      <c r="D645" s="5" t="s">
        <v>1778</v>
      </c>
      <c r="E645" s="5" t="s">
        <v>1779</v>
      </c>
      <c r="F645" s="6" t="s">
        <v>91</v>
      </c>
      <c r="G645" s="6" t="s">
        <v>92</v>
      </c>
    </row>
    <row r="646" spans="1:7" ht="15.75" customHeight="1">
      <c r="A646" s="3">
        <v>217353664</v>
      </c>
      <c r="B646" s="4" t="s">
        <v>1500</v>
      </c>
      <c r="C646" s="3" t="s">
        <v>1501</v>
      </c>
      <c r="D646" s="3" t="s">
        <v>1397</v>
      </c>
      <c r="E646" s="3" t="s">
        <v>1780</v>
      </c>
      <c r="F646" s="4" t="s">
        <v>1390</v>
      </c>
      <c r="G646" s="4" t="s">
        <v>1391</v>
      </c>
    </row>
    <row r="647" spans="1:7" ht="15.75" customHeight="1">
      <c r="A647" s="5">
        <v>217353664</v>
      </c>
      <c r="B647" s="6" t="s">
        <v>1500</v>
      </c>
      <c r="C647" s="5" t="s">
        <v>1501</v>
      </c>
      <c r="D647" s="5" t="s">
        <v>1397</v>
      </c>
      <c r="E647" s="5" t="s">
        <v>1781</v>
      </c>
      <c r="F647" s="6" t="s">
        <v>1390</v>
      </c>
      <c r="G647" s="6" t="s">
        <v>1391</v>
      </c>
    </row>
    <row r="648" spans="1:7" ht="15.75" customHeight="1">
      <c r="A648" s="3">
        <v>205044601</v>
      </c>
      <c r="B648" s="4" t="s">
        <v>1782</v>
      </c>
      <c r="C648" s="3" t="s">
        <v>1783</v>
      </c>
      <c r="D648" s="3" t="s">
        <v>1784</v>
      </c>
      <c r="E648" s="3" t="s">
        <v>1785</v>
      </c>
      <c r="F648" s="4" t="s">
        <v>91</v>
      </c>
      <c r="G648" s="4" t="s">
        <v>92</v>
      </c>
    </row>
    <row r="649" spans="1:7" ht="15.75" customHeight="1">
      <c r="A649" s="5">
        <v>199377296</v>
      </c>
      <c r="B649" s="6" t="s">
        <v>1786</v>
      </c>
      <c r="C649" s="5" t="s">
        <v>1787</v>
      </c>
      <c r="D649" s="5" t="s">
        <v>1788</v>
      </c>
      <c r="E649" s="5" t="s">
        <v>1789</v>
      </c>
      <c r="F649" s="6" t="s">
        <v>1790</v>
      </c>
      <c r="G649" s="6" t="s">
        <v>155</v>
      </c>
    </row>
    <row r="650" spans="1:7" ht="15.75" customHeight="1">
      <c r="A650" s="3">
        <v>221729502</v>
      </c>
      <c r="B650" s="4" t="s">
        <v>1791</v>
      </c>
      <c r="C650" s="3" t="s">
        <v>1792</v>
      </c>
      <c r="D650" s="3">
        <v>79184852208</v>
      </c>
      <c r="E650" s="3" t="s">
        <v>1793</v>
      </c>
      <c r="F650" s="4" t="s">
        <v>91</v>
      </c>
      <c r="G650" s="4" t="s">
        <v>92</v>
      </c>
    </row>
    <row r="651" spans="1:7" ht="15.75" customHeight="1">
      <c r="A651" s="5">
        <v>221789809</v>
      </c>
      <c r="B651" s="6" t="s">
        <v>1794</v>
      </c>
      <c r="C651" s="5" t="s">
        <v>1795</v>
      </c>
      <c r="D651" s="5" t="s">
        <v>1796</v>
      </c>
      <c r="E651" s="5" t="s">
        <v>1797</v>
      </c>
      <c r="F651" s="6" t="s">
        <v>228</v>
      </c>
      <c r="G651" s="6" t="s">
        <v>229</v>
      </c>
    </row>
    <row r="652" spans="1:7" ht="15.75" customHeight="1">
      <c r="A652" s="3">
        <v>207574983</v>
      </c>
      <c r="B652" s="4" t="s">
        <v>1798</v>
      </c>
      <c r="C652" s="3" t="s">
        <v>1799</v>
      </c>
      <c r="D652" s="3" t="s">
        <v>1800</v>
      </c>
      <c r="E652" s="3" t="s">
        <v>1801</v>
      </c>
      <c r="F652" s="4" t="s">
        <v>368</v>
      </c>
      <c r="G652" s="4" t="s">
        <v>369</v>
      </c>
    </row>
    <row r="653" spans="1:7" ht="15.75" customHeight="1">
      <c r="A653" s="5">
        <v>195058945</v>
      </c>
      <c r="B653" s="6" t="s">
        <v>1802</v>
      </c>
      <c r="C653" s="5" t="s">
        <v>1803</v>
      </c>
      <c r="D653" s="5">
        <v>79853648884</v>
      </c>
      <c r="E653" s="5" t="s">
        <v>1804</v>
      </c>
      <c r="F653" s="6" t="s">
        <v>228</v>
      </c>
      <c r="G653" s="6" t="s">
        <v>229</v>
      </c>
    </row>
    <row r="654" spans="1:7" ht="15.75" customHeight="1">
      <c r="A654" s="3">
        <v>221854940</v>
      </c>
      <c r="B654" s="4" t="s">
        <v>1805</v>
      </c>
      <c r="C654" s="3" t="s">
        <v>1806</v>
      </c>
      <c r="D654" s="3" t="s">
        <v>1807</v>
      </c>
      <c r="E654" s="3" t="s">
        <v>1808</v>
      </c>
      <c r="F654" s="4" t="s">
        <v>253</v>
      </c>
      <c r="G654" s="4" t="s">
        <v>254</v>
      </c>
    </row>
    <row r="655" spans="1:7" ht="15.75" customHeight="1">
      <c r="A655" s="5">
        <v>191530974</v>
      </c>
      <c r="B655" s="6" t="s">
        <v>1809</v>
      </c>
      <c r="C655" s="5" t="s">
        <v>1810</v>
      </c>
      <c r="D655" s="5" t="s">
        <v>1811</v>
      </c>
      <c r="E655" s="5" t="s">
        <v>1812</v>
      </c>
      <c r="F655" s="6" t="s">
        <v>55</v>
      </c>
      <c r="G655" s="6" t="s">
        <v>56</v>
      </c>
    </row>
    <row r="656" spans="1:7" ht="15.75" customHeight="1">
      <c r="A656" s="3">
        <v>222154657</v>
      </c>
      <c r="B656" s="4" t="s">
        <v>1813</v>
      </c>
      <c r="C656" s="3" t="s">
        <v>1814</v>
      </c>
      <c r="D656" s="3">
        <v>79166725212</v>
      </c>
      <c r="E656" s="3" t="s">
        <v>1815</v>
      </c>
      <c r="F656" s="4" t="s">
        <v>310</v>
      </c>
      <c r="G656" s="4" t="s">
        <v>311</v>
      </c>
    </row>
    <row r="657" spans="1:7" ht="15.75" customHeight="1">
      <c r="A657" s="5">
        <v>222207044</v>
      </c>
      <c r="B657" s="6" t="s">
        <v>1816</v>
      </c>
      <c r="C657" s="5" t="s">
        <v>1817</v>
      </c>
      <c r="D657" s="5">
        <v>447516389</v>
      </c>
      <c r="E657" s="5" t="s">
        <v>1818</v>
      </c>
      <c r="F657" s="6" t="s">
        <v>1819</v>
      </c>
      <c r="G657" s="6" t="s">
        <v>1820</v>
      </c>
    </row>
    <row r="658" spans="1:7" ht="15.75" customHeight="1">
      <c r="A658" s="3">
        <v>222229466</v>
      </c>
      <c r="B658" s="4" t="s">
        <v>1821</v>
      </c>
      <c r="C658" s="3" t="s">
        <v>1822</v>
      </c>
      <c r="D658" s="3" t="s">
        <v>1823</v>
      </c>
      <c r="E658" s="3" t="s">
        <v>1824</v>
      </c>
      <c r="F658" s="4" t="s">
        <v>1819</v>
      </c>
      <c r="G658" s="4" t="s">
        <v>1820</v>
      </c>
    </row>
    <row r="659" spans="1:7" ht="15.75" customHeight="1">
      <c r="A659" s="5">
        <v>222244824</v>
      </c>
      <c r="B659" s="6" t="s">
        <v>1825</v>
      </c>
      <c r="C659" s="5" t="s">
        <v>1826</v>
      </c>
      <c r="D659" s="5" t="s">
        <v>1827</v>
      </c>
      <c r="E659" s="5" t="s">
        <v>1828</v>
      </c>
      <c r="F659" s="6" t="s">
        <v>1819</v>
      </c>
      <c r="G659" s="6" t="s">
        <v>1820</v>
      </c>
    </row>
    <row r="660" spans="1:7" ht="15.75" customHeight="1">
      <c r="A660" s="3">
        <v>222313066</v>
      </c>
      <c r="B660" s="4" t="s">
        <v>1829</v>
      </c>
      <c r="C660" s="3" t="s">
        <v>1830</v>
      </c>
      <c r="D660" s="3" t="s">
        <v>1831</v>
      </c>
      <c r="E660" s="3" t="s">
        <v>1832</v>
      </c>
      <c r="F660" s="4" t="s">
        <v>1819</v>
      </c>
      <c r="G660" s="4" t="s">
        <v>1820</v>
      </c>
    </row>
    <row r="661" spans="1:7" ht="15.75" customHeight="1">
      <c r="A661" s="5">
        <v>222329716</v>
      </c>
      <c r="B661" s="6" t="s">
        <v>1833</v>
      </c>
      <c r="C661" s="5" t="s">
        <v>1834</v>
      </c>
      <c r="D661" s="5">
        <v>79154756597</v>
      </c>
      <c r="E661" s="5" t="s">
        <v>1835</v>
      </c>
      <c r="F661" s="6" t="s">
        <v>91</v>
      </c>
      <c r="G661" s="6" t="s">
        <v>92</v>
      </c>
    </row>
    <row r="662" spans="1:7" ht="15.75" customHeight="1">
      <c r="A662" s="3">
        <v>217230023</v>
      </c>
      <c r="B662" s="4" t="s">
        <v>1468</v>
      </c>
      <c r="C662" s="3" t="s">
        <v>1469</v>
      </c>
      <c r="D662" s="3" t="s">
        <v>1470</v>
      </c>
      <c r="E662" s="3" t="s">
        <v>1836</v>
      </c>
      <c r="F662" s="4" t="s">
        <v>1819</v>
      </c>
      <c r="G662" s="4" t="s">
        <v>1820</v>
      </c>
    </row>
    <row r="663" spans="1:7" ht="15.75" customHeight="1">
      <c r="A663" s="5">
        <v>222412221</v>
      </c>
      <c r="B663" s="6" t="s">
        <v>1837</v>
      </c>
      <c r="C663" s="5" t="s">
        <v>1838</v>
      </c>
      <c r="D663" s="5" t="s">
        <v>1839</v>
      </c>
      <c r="E663" s="5" t="s">
        <v>1840</v>
      </c>
      <c r="F663" s="6" t="s">
        <v>1841</v>
      </c>
      <c r="G663" s="6" t="s">
        <v>1842</v>
      </c>
    </row>
    <row r="664" spans="1:7" ht="15.75" customHeight="1">
      <c r="A664" s="3">
        <v>222427218</v>
      </c>
      <c r="B664" s="4" t="s">
        <v>1843</v>
      </c>
      <c r="C664" s="3" t="s">
        <v>1844</v>
      </c>
      <c r="D664" s="3" t="s">
        <v>1845</v>
      </c>
      <c r="E664" s="3" t="s">
        <v>1846</v>
      </c>
      <c r="F664" s="4" t="s">
        <v>1847</v>
      </c>
      <c r="G664" s="4" t="s">
        <v>293</v>
      </c>
    </row>
    <row r="665" spans="1:7" ht="15.75" customHeight="1">
      <c r="A665" s="5">
        <v>222533650</v>
      </c>
      <c r="B665" s="6" t="s">
        <v>1848</v>
      </c>
      <c r="C665" s="5" t="s">
        <v>1849</v>
      </c>
      <c r="D665" s="5" t="s">
        <v>1850</v>
      </c>
      <c r="E665" s="5" t="s">
        <v>1851</v>
      </c>
      <c r="F665" s="6" t="s">
        <v>1847</v>
      </c>
      <c r="G665" s="6" t="s">
        <v>293</v>
      </c>
    </row>
    <row r="666" spans="1:7" ht="15.75" customHeight="1">
      <c r="A666" s="3">
        <v>207965590</v>
      </c>
      <c r="B666" s="4" t="s">
        <v>1852</v>
      </c>
      <c r="C666" s="3" t="s">
        <v>1853</v>
      </c>
      <c r="D666" s="3" t="s">
        <v>1854</v>
      </c>
      <c r="E666" s="3" t="s">
        <v>1855</v>
      </c>
      <c r="F666" s="4" t="s">
        <v>1819</v>
      </c>
      <c r="G666" s="4" t="s">
        <v>1820</v>
      </c>
    </row>
    <row r="667" spans="1:7" ht="15.75" customHeight="1">
      <c r="A667" s="5">
        <v>222616996</v>
      </c>
      <c r="B667" s="6" t="s">
        <v>1856</v>
      </c>
      <c r="C667" s="5" t="s">
        <v>1857</v>
      </c>
      <c r="D667" s="5" t="s">
        <v>1858</v>
      </c>
      <c r="E667" s="5" t="s">
        <v>1859</v>
      </c>
      <c r="F667" s="6" t="s">
        <v>196</v>
      </c>
      <c r="G667" s="6" t="s">
        <v>197</v>
      </c>
    </row>
    <row r="668" spans="1:7" ht="15.75" customHeight="1">
      <c r="A668" s="3">
        <v>222640251</v>
      </c>
      <c r="B668" s="4" t="s">
        <v>1860</v>
      </c>
      <c r="C668" s="3" t="s">
        <v>1861</v>
      </c>
      <c r="D668" s="3" t="s">
        <v>1862</v>
      </c>
      <c r="E668" s="3" t="s">
        <v>1863</v>
      </c>
      <c r="F668" s="4" t="s">
        <v>1819</v>
      </c>
      <c r="G668" s="4" t="s">
        <v>1820</v>
      </c>
    </row>
    <row r="669" spans="1:7" ht="15.75" customHeight="1">
      <c r="A669" s="5">
        <v>222719370</v>
      </c>
      <c r="B669" s="6" t="s">
        <v>1864</v>
      </c>
      <c r="C669" s="5" t="s">
        <v>1865</v>
      </c>
      <c r="D669" s="5" t="s">
        <v>1866</v>
      </c>
      <c r="E669" s="5" t="s">
        <v>1867</v>
      </c>
      <c r="F669" s="6" t="s">
        <v>1819</v>
      </c>
      <c r="G669" s="6" t="s">
        <v>1820</v>
      </c>
    </row>
    <row r="670" spans="1:7" ht="15.75" customHeight="1">
      <c r="A670" s="3">
        <v>222785177</v>
      </c>
      <c r="B670" s="4" t="s">
        <v>1868</v>
      </c>
      <c r="C670" s="3" t="s">
        <v>1869</v>
      </c>
      <c r="D670" s="3" t="s">
        <v>1870</v>
      </c>
      <c r="E670" s="3" t="s">
        <v>1871</v>
      </c>
      <c r="F670" s="4" t="s">
        <v>1872</v>
      </c>
      <c r="G670" s="4" t="s">
        <v>1873</v>
      </c>
    </row>
    <row r="671" spans="1:7" ht="15.75" customHeight="1">
      <c r="A671" s="5">
        <v>222815396</v>
      </c>
      <c r="B671" s="6" t="s">
        <v>1874</v>
      </c>
      <c r="C671" s="5" t="s">
        <v>1875</v>
      </c>
      <c r="D671" s="5" t="s">
        <v>1876</v>
      </c>
      <c r="E671" s="5" t="s">
        <v>1877</v>
      </c>
      <c r="F671" s="6" t="s">
        <v>310</v>
      </c>
      <c r="G671" s="6" t="s">
        <v>311</v>
      </c>
    </row>
    <row r="672" spans="1:7" ht="15.75" customHeight="1">
      <c r="A672" s="3">
        <v>222829047</v>
      </c>
      <c r="B672" s="4" t="s">
        <v>1878</v>
      </c>
      <c r="C672" s="3" t="s">
        <v>1879</v>
      </c>
      <c r="D672" s="3" t="s">
        <v>1880</v>
      </c>
      <c r="E672" s="3" t="s">
        <v>1881</v>
      </c>
      <c r="F672" s="4" t="s">
        <v>55</v>
      </c>
      <c r="G672" s="4" t="s">
        <v>56</v>
      </c>
    </row>
    <row r="673" spans="1:7" ht="15.75" customHeight="1">
      <c r="A673" s="5">
        <v>217604034</v>
      </c>
      <c r="B673" s="6" t="s">
        <v>1542</v>
      </c>
      <c r="C673" s="5" t="s">
        <v>1543</v>
      </c>
      <c r="D673" s="5" t="s">
        <v>1544</v>
      </c>
      <c r="E673" s="5" t="s">
        <v>1882</v>
      </c>
      <c r="F673" s="6" t="s">
        <v>292</v>
      </c>
      <c r="G673" s="6" t="s">
        <v>293</v>
      </c>
    </row>
    <row r="674" spans="1:7" ht="15.75" customHeight="1">
      <c r="A674" s="3">
        <v>222908896</v>
      </c>
      <c r="B674" s="4" t="s">
        <v>1883</v>
      </c>
      <c r="C674" s="3" t="s">
        <v>1884</v>
      </c>
      <c r="D674" s="3" t="s">
        <v>1885</v>
      </c>
      <c r="E674" s="3" t="s">
        <v>1886</v>
      </c>
      <c r="F674" s="4" t="s">
        <v>310</v>
      </c>
      <c r="G674" s="4" t="s">
        <v>311</v>
      </c>
    </row>
    <row r="675" spans="1:7" ht="15.75" customHeight="1">
      <c r="A675" s="5">
        <v>222939150</v>
      </c>
      <c r="B675" s="6" t="s">
        <v>1887</v>
      </c>
      <c r="C675" s="5" t="s">
        <v>1888</v>
      </c>
      <c r="D675" s="5" t="s">
        <v>1889</v>
      </c>
      <c r="E675" s="5" t="s">
        <v>1890</v>
      </c>
      <c r="F675" s="6" t="s">
        <v>1872</v>
      </c>
      <c r="G675" s="6" t="s">
        <v>1873</v>
      </c>
    </row>
    <row r="676" spans="1:7" ht="15.75" customHeight="1">
      <c r="A676" s="3">
        <v>223081797</v>
      </c>
      <c r="B676" s="4" t="s">
        <v>1891</v>
      </c>
      <c r="C676" s="3" t="s">
        <v>1892</v>
      </c>
      <c r="D676" s="3" t="s">
        <v>1893</v>
      </c>
      <c r="E676" s="3" t="s">
        <v>1894</v>
      </c>
      <c r="F676" s="4" t="s">
        <v>1819</v>
      </c>
      <c r="G676" s="4" t="s">
        <v>1820</v>
      </c>
    </row>
    <row r="677" spans="1:7" ht="15.75" customHeight="1">
      <c r="A677" s="5">
        <v>223096688</v>
      </c>
      <c r="B677" s="6" t="s">
        <v>1895</v>
      </c>
      <c r="C677" s="5" t="s">
        <v>1896</v>
      </c>
      <c r="D677" s="5" t="s">
        <v>1897</v>
      </c>
      <c r="E677" s="5" t="s">
        <v>1898</v>
      </c>
      <c r="F677" s="6" t="s">
        <v>1819</v>
      </c>
      <c r="G677" s="6" t="s">
        <v>1820</v>
      </c>
    </row>
    <row r="678" spans="1:7" ht="15.75" customHeight="1">
      <c r="A678" s="3">
        <v>223107946</v>
      </c>
      <c r="B678" s="4" t="s">
        <v>1899</v>
      </c>
      <c r="C678" s="3" t="s">
        <v>1900</v>
      </c>
      <c r="D678" s="3">
        <v>79241505263</v>
      </c>
      <c r="E678" s="3" t="s">
        <v>1901</v>
      </c>
      <c r="F678" s="4" t="s">
        <v>310</v>
      </c>
      <c r="G678" s="4" t="s">
        <v>311</v>
      </c>
    </row>
    <row r="679" spans="1:7" ht="15.75" customHeight="1">
      <c r="A679" s="5">
        <v>223115577</v>
      </c>
      <c r="B679" s="6" t="s">
        <v>1902</v>
      </c>
      <c r="C679" s="5" t="s">
        <v>1903</v>
      </c>
      <c r="D679" s="5" t="s">
        <v>1904</v>
      </c>
      <c r="E679" s="5" t="s">
        <v>1905</v>
      </c>
      <c r="F679" s="6" t="s">
        <v>310</v>
      </c>
      <c r="G679" s="6" t="s">
        <v>311</v>
      </c>
    </row>
    <row r="680" spans="1:7" ht="15.75" customHeight="1">
      <c r="A680" s="3">
        <v>223147600</v>
      </c>
      <c r="B680" s="4" t="s">
        <v>1906</v>
      </c>
      <c r="C680" s="3" t="s">
        <v>1907</v>
      </c>
      <c r="D680" s="3" t="s">
        <v>1908</v>
      </c>
      <c r="E680" s="3" t="s">
        <v>1909</v>
      </c>
      <c r="F680" s="4" t="s">
        <v>1819</v>
      </c>
      <c r="G680" s="4" t="s">
        <v>1820</v>
      </c>
    </row>
    <row r="681" spans="1:7" ht="15.75" customHeight="1">
      <c r="A681" s="5">
        <v>210439195</v>
      </c>
      <c r="B681" s="6" t="s">
        <v>1506</v>
      </c>
      <c r="C681" s="5" t="s">
        <v>1507</v>
      </c>
      <c r="D681" s="5">
        <v>25488544</v>
      </c>
      <c r="E681" s="5" t="s">
        <v>1910</v>
      </c>
      <c r="F681" s="6" t="s">
        <v>292</v>
      </c>
      <c r="G681" s="6" t="s">
        <v>293</v>
      </c>
    </row>
    <row r="682" spans="1:7" ht="15.75" customHeight="1">
      <c r="A682" s="3">
        <v>223256267</v>
      </c>
      <c r="B682" s="4" t="s">
        <v>1911</v>
      </c>
      <c r="C682" s="3" t="s">
        <v>1912</v>
      </c>
      <c r="D682" s="3">
        <v>380958306167</v>
      </c>
      <c r="E682" s="3" t="s">
        <v>1913</v>
      </c>
      <c r="F682" s="4" t="s">
        <v>310</v>
      </c>
      <c r="G682" s="4" t="s">
        <v>311</v>
      </c>
    </row>
    <row r="683" spans="1:7" ht="15.75" customHeight="1">
      <c r="A683" s="5">
        <v>217353664</v>
      </c>
      <c r="B683" s="6" t="s">
        <v>1500</v>
      </c>
      <c r="C683" s="5" t="s">
        <v>1501</v>
      </c>
      <c r="D683" s="5" t="s">
        <v>1397</v>
      </c>
      <c r="E683" s="5" t="s">
        <v>1914</v>
      </c>
      <c r="F683" s="6" t="s">
        <v>1915</v>
      </c>
      <c r="G683" s="6" t="s">
        <v>1916</v>
      </c>
    </row>
    <row r="684" spans="1:7" ht="15.75" customHeight="1">
      <c r="A684" s="3">
        <v>223271079</v>
      </c>
      <c r="B684" s="4" t="s">
        <v>1917</v>
      </c>
      <c r="C684" s="3" t="s">
        <v>1918</v>
      </c>
      <c r="D684" s="3">
        <v>8946</v>
      </c>
      <c r="E684" s="3" t="s">
        <v>1919</v>
      </c>
      <c r="F684" s="4" t="s">
        <v>172</v>
      </c>
      <c r="G684" s="4" t="s">
        <v>173</v>
      </c>
    </row>
    <row r="685" spans="1:7" ht="15.75" customHeight="1">
      <c r="A685" s="5">
        <v>223272243</v>
      </c>
      <c r="B685" s="6" t="s">
        <v>1920</v>
      </c>
      <c r="C685" s="5" t="s">
        <v>1921</v>
      </c>
      <c r="D685" s="5" t="s">
        <v>1922</v>
      </c>
      <c r="E685" s="5" t="s">
        <v>1923</v>
      </c>
      <c r="F685" s="6" t="s">
        <v>292</v>
      </c>
      <c r="G685" s="6" t="s">
        <v>293</v>
      </c>
    </row>
    <row r="686" spans="1:7" ht="15.75" customHeight="1">
      <c r="A686" s="3">
        <v>223273523</v>
      </c>
      <c r="B686" s="4" t="s">
        <v>1924</v>
      </c>
      <c r="C686" s="3" t="s">
        <v>1925</v>
      </c>
      <c r="D686" s="3" t="s">
        <v>1926</v>
      </c>
      <c r="E686" s="3" t="s">
        <v>1927</v>
      </c>
      <c r="F686" s="4" t="s">
        <v>1819</v>
      </c>
      <c r="G686" s="4" t="s">
        <v>1820</v>
      </c>
    </row>
    <row r="687" spans="1:7" ht="15.75" customHeight="1">
      <c r="A687" s="5">
        <v>223284551</v>
      </c>
      <c r="B687" s="6" t="s">
        <v>1928</v>
      </c>
      <c r="C687" s="5" t="s">
        <v>1929</v>
      </c>
      <c r="D687" s="5" t="s">
        <v>1930</v>
      </c>
      <c r="E687" s="5" t="s">
        <v>1931</v>
      </c>
      <c r="F687" s="6" t="s">
        <v>1819</v>
      </c>
      <c r="G687" s="6" t="s">
        <v>1820</v>
      </c>
    </row>
    <row r="688" spans="1:7" ht="15.75" customHeight="1">
      <c r="A688" s="3">
        <v>223308391</v>
      </c>
      <c r="B688" s="4" t="s">
        <v>1932</v>
      </c>
      <c r="C688" s="3" t="s">
        <v>1933</v>
      </c>
      <c r="D688" s="3" t="s">
        <v>1934</v>
      </c>
      <c r="E688" s="3" t="s">
        <v>1935</v>
      </c>
      <c r="F688" s="4" t="s">
        <v>310</v>
      </c>
      <c r="G688" s="4" t="s">
        <v>311</v>
      </c>
    </row>
    <row r="689" spans="1:7" ht="15.75" customHeight="1">
      <c r="A689" s="5">
        <v>205952229</v>
      </c>
      <c r="B689" s="6" t="s">
        <v>1662</v>
      </c>
      <c r="C689" s="5" t="s">
        <v>1663</v>
      </c>
      <c r="D689" s="5" t="s">
        <v>1664</v>
      </c>
      <c r="E689" s="5" t="s">
        <v>1936</v>
      </c>
      <c r="F689" s="6" t="s">
        <v>356</v>
      </c>
      <c r="G689" s="6" t="s">
        <v>357</v>
      </c>
    </row>
    <row r="690" spans="1:7" ht="15.75" customHeight="1">
      <c r="A690" s="3">
        <v>223346041</v>
      </c>
      <c r="B690" s="4" t="s">
        <v>547</v>
      </c>
      <c r="C690" s="3" t="s">
        <v>1937</v>
      </c>
      <c r="D690" s="3" t="s">
        <v>549</v>
      </c>
      <c r="E690" s="3" t="s">
        <v>1938</v>
      </c>
      <c r="F690" s="4" t="s">
        <v>345</v>
      </c>
      <c r="G690" s="4" t="s">
        <v>346</v>
      </c>
    </row>
    <row r="691" spans="1:7" ht="15.75" customHeight="1">
      <c r="A691" s="5">
        <v>223374041</v>
      </c>
      <c r="B691" s="6" t="s">
        <v>1939</v>
      </c>
      <c r="C691" s="5" t="s">
        <v>1940</v>
      </c>
      <c r="D691" s="5" t="s">
        <v>1941</v>
      </c>
      <c r="E691" s="5" t="s">
        <v>1942</v>
      </c>
      <c r="F691" s="6" t="s">
        <v>1819</v>
      </c>
      <c r="G691" s="6" t="s">
        <v>1820</v>
      </c>
    </row>
    <row r="692" spans="1:7" ht="15.75" customHeight="1">
      <c r="A692" s="3">
        <v>223379423</v>
      </c>
      <c r="B692" s="4" t="s">
        <v>1943</v>
      </c>
      <c r="C692" s="3" t="s">
        <v>1944</v>
      </c>
      <c r="D692" s="3">
        <v>29164789</v>
      </c>
      <c r="E692" s="3" t="s">
        <v>1945</v>
      </c>
      <c r="F692" s="4" t="s">
        <v>1847</v>
      </c>
      <c r="G692" s="4" t="s">
        <v>293</v>
      </c>
    </row>
    <row r="693" spans="1:7" ht="15.75" customHeight="1">
      <c r="A693" s="5">
        <v>214424208</v>
      </c>
      <c r="B693" s="6" t="s">
        <v>1946</v>
      </c>
      <c r="C693" s="5" t="s">
        <v>1947</v>
      </c>
      <c r="D693" s="5" t="s">
        <v>1948</v>
      </c>
      <c r="E693" s="5" t="s">
        <v>1949</v>
      </c>
      <c r="F693" s="6" t="s">
        <v>310</v>
      </c>
      <c r="G693" s="6" t="s">
        <v>311</v>
      </c>
    </row>
    <row r="694" spans="1:7" ht="15.75" customHeight="1">
      <c r="A694" s="3">
        <v>223657589</v>
      </c>
      <c r="B694" s="4" t="s">
        <v>1950</v>
      </c>
      <c r="C694" s="3" t="s">
        <v>1951</v>
      </c>
      <c r="D694" s="3">
        <v>79517433228</v>
      </c>
      <c r="E694" s="3" t="s">
        <v>1952</v>
      </c>
      <c r="F694" s="4" t="s">
        <v>854</v>
      </c>
      <c r="G694" s="4" t="s">
        <v>855</v>
      </c>
    </row>
    <row r="695" spans="1:7" ht="15.75" customHeight="1">
      <c r="A695" s="5">
        <v>215783905</v>
      </c>
      <c r="B695" s="6" t="s">
        <v>1322</v>
      </c>
      <c r="C695" s="5" t="s">
        <v>1323</v>
      </c>
      <c r="D695" s="5">
        <v>79033992548</v>
      </c>
      <c r="E695" s="5" t="s">
        <v>1953</v>
      </c>
      <c r="F695" s="6" t="s">
        <v>204</v>
      </c>
      <c r="G695" s="6" t="s">
        <v>205</v>
      </c>
    </row>
    <row r="696" spans="1:7" ht="15.75" customHeight="1">
      <c r="A696" s="3">
        <v>214515849</v>
      </c>
      <c r="B696" s="4" t="s">
        <v>1954</v>
      </c>
      <c r="C696" s="3" t="s">
        <v>1955</v>
      </c>
      <c r="D696" s="3" t="s">
        <v>1956</v>
      </c>
      <c r="E696" s="3" t="s">
        <v>1957</v>
      </c>
      <c r="F696" s="4" t="s">
        <v>310</v>
      </c>
      <c r="G696" s="4" t="s">
        <v>311</v>
      </c>
    </row>
    <row r="697" spans="1:7" ht="15.75" customHeight="1">
      <c r="A697" s="5">
        <v>223827936</v>
      </c>
      <c r="B697" s="6" t="s">
        <v>1954</v>
      </c>
      <c r="C697" s="5" t="s">
        <v>1958</v>
      </c>
      <c r="D697" s="5" t="s">
        <v>1956</v>
      </c>
      <c r="E697" s="5" t="s">
        <v>1959</v>
      </c>
      <c r="F697" s="6" t="s">
        <v>310</v>
      </c>
      <c r="G697" s="6" t="s">
        <v>311</v>
      </c>
    </row>
    <row r="698" spans="1:7" ht="15.75" customHeight="1">
      <c r="A698" s="3">
        <v>223899700</v>
      </c>
      <c r="B698" s="4" t="s">
        <v>1960</v>
      </c>
      <c r="C698" s="3" t="s">
        <v>1961</v>
      </c>
      <c r="D698" s="3" t="s">
        <v>1962</v>
      </c>
      <c r="E698" s="3" t="s">
        <v>1963</v>
      </c>
      <c r="F698" s="4" t="s">
        <v>292</v>
      </c>
      <c r="G698" s="4" t="s">
        <v>293</v>
      </c>
    </row>
    <row r="699" spans="1:7" ht="15.75" customHeight="1">
      <c r="A699" s="5">
        <v>191530974</v>
      </c>
      <c r="B699" s="6" t="s">
        <v>1809</v>
      </c>
      <c r="C699" s="5" t="s">
        <v>1810</v>
      </c>
      <c r="D699" s="5" t="s">
        <v>1811</v>
      </c>
      <c r="E699" s="5" t="s">
        <v>1964</v>
      </c>
      <c r="F699" s="6" t="s">
        <v>332</v>
      </c>
      <c r="G699" s="6" t="s">
        <v>155</v>
      </c>
    </row>
    <row r="700" spans="1:7" ht="15.75" customHeight="1">
      <c r="A700" s="3">
        <v>224355633</v>
      </c>
      <c r="B700" s="4" t="s">
        <v>1965</v>
      </c>
      <c r="C700" s="3" t="s">
        <v>1966</v>
      </c>
      <c r="D700" s="3" t="s">
        <v>1967</v>
      </c>
      <c r="E700" s="3" t="s">
        <v>1968</v>
      </c>
      <c r="F700" s="4" t="s">
        <v>1969</v>
      </c>
      <c r="G700" s="4" t="s">
        <v>194</v>
      </c>
    </row>
    <row r="701" spans="1:7" ht="15.75" customHeight="1">
      <c r="A701" s="5">
        <v>199540857</v>
      </c>
      <c r="B701" s="6" t="s">
        <v>1585</v>
      </c>
      <c r="C701" s="5" t="s">
        <v>1586</v>
      </c>
      <c r="D701" s="5" t="s">
        <v>1587</v>
      </c>
      <c r="E701" s="5" t="s">
        <v>1970</v>
      </c>
      <c r="F701" s="6" t="s">
        <v>55</v>
      </c>
      <c r="G701" s="6" t="s">
        <v>56</v>
      </c>
    </row>
    <row r="702" spans="1:7" ht="15.75" customHeight="1">
      <c r="A702" s="3">
        <v>217353664</v>
      </c>
      <c r="B702" s="4" t="s">
        <v>1500</v>
      </c>
      <c r="C702" s="3" t="s">
        <v>1501</v>
      </c>
      <c r="D702" s="3" t="s">
        <v>1397</v>
      </c>
      <c r="E702" s="3" t="s">
        <v>1971</v>
      </c>
      <c r="F702" s="4" t="s">
        <v>1972</v>
      </c>
      <c r="G702" s="4" t="s">
        <v>1973</v>
      </c>
    </row>
    <row r="703" spans="1:7" ht="15.75" customHeight="1">
      <c r="A703" s="5">
        <v>224635897</v>
      </c>
      <c r="B703" s="6" t="s">
        <v>1974</v>
      </c>
      <c r="C703" s="5" t="s">
        <v>1975</v>
      </c>
      <c r="D703" s="5" t="s">
        <v>1976</v>
      </c>
      <c r="E703" s="5" t="s">
        <v>1977</v>
      </c>
      <c r="F703" s="6" t="s">
        <v>854</v>
      </c>
      <c r="G703" s="6" t="s">
        <v>855</v>
      </c>
    </row>
    <row r="704" spans="1:7" ht="15.75" customHeight="1">
      <c r="A704" s="3">
        <v>223308391</v>
      </c>
      <c r="B704" s="4" t="s">
        <v>1932</v>
      </c>
      <c r="C704" s="3" t="s">
        <v>1933</v>
      </c>
      <c r="D704" s="3" t="s">
        <v>1934</v>
      </c>
      <c r="E704" s="3" t="s">
        <v>1978</v>
      </c>
      <c r="F704" s="4" t="s">
        <v>356</v>
      </c>
      <c r="G704" s="4" t="s">
        <v>357</v>
      </c>
    </row>
    <row r="705" spans="1:7" ht="15.75" customHeight="1">
      <c r="A705" s="5">
        <v>224702211</v>
      </c>
      <c r="B705" s="6" t="s">
        <v>1979</v>
      </c>
      <c r="C705" s="5" t="s">
        <v>1980</v>
      </c>
      <c r="D705" s="5" t="s">
        <v>1981</v>
      </c>
      <c r="E705" s="5" t="s">
        <v>1982</v>
      </c>
      <c r="F705" s="6" t="s">
        <v>356</v>
      </c>
      <c r="G705" s="6" t="s">
        <v>357</v>
      </c>
    </row>
    <row r="706" spans="1:7" ht="15.75" customHeight="1">
      <c r="A706" s="3">
        <v>207574983</v>
      </c>
      <c r="B706" s="4" t="s">
        <v>1798</v>
      </c>
      <c r="C706" s="3" t="s">
        <v>1799</v>
      </c>
      <c r="D706" s="3" t="s">
        <v>1800</v>
      </c>
      <c r="E706" s="3" t="s">
        <v>1983</v>
      </c>
      <c r="F706" s="4" t="s">
        <v>356</v>
      </c>
      <c r="G706" s="4" t="s">
        <v>357</v>
      </c>
    </row>
    <row r="707" spans="1:7" ht="15.75" customHeight="1">
      <c r="A707" s="5">
        <v>217353664</v>
      </c>
      <c r="B707" s="6" t="s">
        <v>1500</v>
      </c>
      <c r="C707" s="5" t="s">
        <v>1501</v>
      </c>
      <c r="D707" s="5" t="s">
        <v>1397</v>
      </c>
      <c r="E707" s="5" t="s">
        <v>1984</v>
      </c>
      <c r="F707" s="6" t="s">
        <v>1985</v>
      </c>
      <c r="G707" s="6" t="s">
        <v>1986</v>
      </c>
    </row>
    <row r="708" spans="1:7" ht="15.75" customHeight="1">
      <c r="A708" s="3">
        <v>185492280</v>
      </c>
      <c r="B708" s="4" t="s">
        <v>1987</v>
      </c>
      <c r="C708" s="3" t="s">
        <v>1988</v>
      </c>
      <c r="D708" s="3" t="s">
        <v>1989</v>
      </c>
      <c r="E708" s="3" t="s">
        <v>1990</v>
      </c>
      <c r="F708" s="4" t="s">
        <v>55</v>
      </c>
      <c r="G708" s="4" t="s">
        <v>56</v>
      </c>
    </row>
    <row r="709" spans="1:7" ht="15.75" customHeight="1">
      <c r="A709" s="5">
        <v>225040192</v>
      </c>
      <c r="B709" s="6" t="s">
        <v>1991</v>
      </c>
      <c r="C709" s="5" t="s">
        <v>1992</v>
      </c>
      <c r="D709" s="5" t="s">
        <v>1608</v>
      </c>
      <c r="E709" s="5" t="s">
        <v>1993</v>
      </c>
      <c r="F709" s="6" t="s">
        <v>356</v>
      </c>
      <c r="G709" s="6" t="s">
        <v>357</v>
      </c>
    </row>
    <row r="710" spans="1:7" ht="15.75" customHeight="1">
      <c r="A710" s="3">
        <v>225131040</v>
      </c>
      <c r="B710" s="4" t="s">
        <v>1994</v>
      </c>
      <c r="C710" s="3" t="s">
        <v>1995</v>
      </c>
      <c r="D710" s="3" t="s">
        <v>1996</v>
      </c>
      <c r="E710" s="3" t="s">
        <v>1997</v>
      </c>
      <c r="F710" s="4" t="s">
        <v>356</v>
      </c>
      <c r="G710" s="4" t="s">
        <v>357</v>
      </c>
    </row>
    <row r="711" spans="1:7" ht="15.75" customHeight="1">
      <c r="A711" s="5">
        <v>225147423</v>
      </c>
      <c r="B711" s="6" t="s">
        <v>1998</v>
      </c>
      <c r="C711" s="5" t="s">
        <v>1999</v>
      </c>
      <c r="D711" s="5" t="s">
        <v>2000</v>
      </c>
      <c r="E711" s="5" t="s">
        <v>2001</v>
      </c>
      <c r="F711" s="6" t="s">
        <v>420</v>
      </c>
      <c r="G711" s="6" t="s">
        <v>421</v>
      </c>
    </row>
    <row r="712" spans="1:7" ht="15.75" customHeight="1">
      <c r="A712" s="3">
        <v>225175177</v>
      </c>
      <c r="B712" s="4" t="s">
        <v>2002</v>
      </c>
      <c r="C712" s="3" t="s">
        <v>2003</v>
      </c>
      <c r="D712" s="3" t="s">
        <v>2004</v>
      </c>
      <c r="E712" s="3" t="s">
        <v>2005</v>
      </c>
      <c r="F712" s="4" t="s">
        <v>390</v>
      </c>
      <c r="G712" s="4" t="s">
        <v>391</v>
      </c>
    </row>
    <row r="713" spans="1:7" ht="15.75" customHeight="1">
      <c r="A713" s="5">
        <v>225232482</v>
      </c>
      <c r="B713" s="6" t="s">
        <v>2006</v>
      </c>
      <c r="C713" s="5" t="s">
        <v>2007</v>
      </c>
      <c r="D713" s="5" t="s">
        <v>2008</v>
      </c>
      <c r="E713" s="5" t="s">
        <v>2009</v>
      </c>
      <c r="F713" s="6" t="s">
        <v>1715</v>
      </c>
      <c r="G713" s="6" t="s">
        <v>1716</v>
      </c>
    </row>
    <row r="714" spans="1:7" ht="15.75" customHeight="1">
      <c r="A714" s="3">
        <v>225479898</v>
      </c>
      <c r="B714" s="4" t="s">
        <v>2010</v>
      </c>
      <c r="C714" s="3" t="s">
        <v>2011</v>
      </c>
      <c r="D714" s="3" t="s">
        <v>2012</v>
      </c>
      <c r="E714" s="3" t="s">
        <v>2013</v>
      </c>
      <c r="F714" s="4" t="s">
        <v>356</v>
      </c>
      <c r="G714" s="4" t="s">
        <v>357</v>
      </c>
    </row>
    <row r="715" spans="1:7" ht="15.75" customHeight="1">
      <c r="A715" s="5">
        <v>225495226</v>
      </c>
      <c r="B715" s="6" t="s">
        <v>2014</v>
      </c>
      <c r="C715" s="5" t="s">
        <v>2015</v>
      </c>
      <c r="D715" s="5">
        <v>79175000577</v>
      </c>
      <c r="E715" s="5" t="s">
        <v>2016</v>
      </c>
      <c r="F715" s="6" t="s">
        <v>356</v>
      </c>
      <c r="G715" s="6" t="s">
        <v>357</v>
      </c>
    </row>
    <row r="716" spans="1:7" ht="15.75" customHeight="1">
      <c r="A716" s="3">
        <v>225583195</v>
      </c>
      <c r="B716" s="4" t="s">
        <v>2017</v>
      </c>
      <c r="C716" s="3" t="s">
        <v>2018</v>
      </c>
      <c r="D716" s="3" t="s">
        <v>2019</v>
      </c>
      <c r="E716" s="3" t="s">
        <v>2020</v>
      </c>
      <c r="F716" s="4" t="s">
        <v>390</v>
      </c>
      <c r="G716" s="4" t="s">
        <v>391</v>
      </c>
    </row>
    <row r="717" spans="1:7" ht="15.75" customHeight="1">
      <c r="A717" s="5">
        <v>220755168</v>
      </c>
      <c r="B717" s="6" t="s">
        <v>1732</v>
      </c>
      <c r="C717" s="5" t="s">
        <v>1733</v>
      </c>
      <c r="D717" s="5" t="s">
        <v>1734</v>
      </c>
      <c r="E717" s="5" t="s">
        <v>2021</v>
      </c>
      <c r="F717" s="6" t="s">
        <v>390</v>
      </c>
      <c r="G717" s="6" t="s">
        <v>391</v>
      </c>
    </row>
    <row r="718" spans="1:7" ht="15.75" customHeight="1">
      <c r="A718" s="3">
        <v>225624224</v>
      </c>
      <c r="B718" s="4" t="s">
        <v>2022</v>
      </c>
      <c r="C718" s="3" t="s">
        <v>2023</v>
      </c>
      <c r="D718" s="3">
        <v>939977835</v>
      </c>
      <c r="E718" s="3" t="s">
        <v>2024</v>
      </c>
      <c r="F718" s="4" t="s">
        <v>420</v>
      </c>
      <c r="G718" s="4" t="s">
        <v>421</v>
      </c>
    </row>
    <row r="719" spans="1:7" ht="15.75" customHeight="1">
      <c r="A719" s="5">
        <v>225628700</v>
      </c>
      <c r="B719" s="6" t="s">
        <v>2025</v>
      </c>
      <c r="C719" s="5" t="s">
        <v>2026</v>
      </c>
      <c r="D719" s="5">
        <v>79143160499</v>
      </c>
      <c r="E719" s="5" t="s">
        <v>2027</v>
      </c>
      <c r="F719" s="6" t="s">
        <v>390</v>
      </c>
      <c r="G719" s="6" t="s">
        <v>391</v>
      </c>
    </row>
    <row r="720" spans="1:7" ht="15.75" customHeight="1">
      <c r="A720" s="3">
        <v>225647525</v>
      </c>
      <c r="B720" s="4" t="s">
        <v>2028</v>
      </c>
      <c r="C720" s="3" t="s">
        <v>2029</v>
      </c>
      <c r="D720" s="3">
        <v>79143160499</v>
      </c>
      <c r="E720" s="3" t="s">
        <v>2030</v>
      </c>
      <c r="F720" s="4" t="s">
        <v>390</v>
      </c>
      <c r="G720" s="4" t="s">
        <v>391</v>
      </c>
    </row>
    <row r="721" spans="1:7" ht="15.75" customHeight="1">
      <c r="A721" s="5">
        <v>225693477</v>
      </c>
      <c r="B721" s="6" t="s">
        <v>2031</v>
      </c>
      <c r="C721" s="5" t="s">
        <v>2032</v>
      </c>
      <c r="D721" s="5" t="s">
        <v>2033</v>
      </c>
      <c r="E721" s="5" t="s">
        <v>2034</v>
      </c>
      <c r="F721" s="6" t="s">
        <v>420</v>
      </c>
      <c r="G721" s="6" t="s">
        <v>421</v>
      </c>
    </row>
    <row r="722" spans="1:7" ht="15.75" customHeight="1">
      <c r="A722" s="3">
        <v>225773604</v>
      </c>
      <c r="B722" s="4" t="s">
        <v>2035</v>
      </c>
      <c r="C722" s="3" t="s">
        <v>2036</v>
      </c>
      <c r="D722" s="3" t="s">
        <v>2037</v>
      </c>
      <c r="E722" s="3" t="s">
        <v>2038</v>
      </c>
      <c r="F722" s="4" t="s">
        <v>2039</v>
      </c>
      <c r="G722" s="4" t="s">
        <v>1820</v>
      </c>
    </row>
    <row r="723" spans="1:7" ht="15.75" customHeight="1">
      <c r="A723" s="5">
        <v>226865603</v>
      </c>
      <c r="B723" s="6" t="s">
        <v>2040</v>
      </c>
      <c r="C723" s="5" t="s">
        <v>2041</v>
      </c>
      <c r="D723" s="5" t="s">
        <v>2042</v>
      </c>
      <c r="E723" s="5" t="s">
        <v>2043</v>
      </c>
      <c r="F723" s="6" t="s">
        <v>420</v>
      </c>
      <c r="G723" s="6" t="s">
        <v>421</v>
      </c>
    </row>
    <row r="724" spans="1:7" ht="15.75" customHeight="1">
      <c r="A724" s="3">
        <v>227005570</v>
      </c>
      <c r="B724" s="4" t="s">
        <v>2044</v>
      </c>
      <c r="C724" s="3" t="s">
        <v>2045</v>
      </c>
      <c r="D724" s="3">
        <v>298718165</v>
      </c>
      <c r="E724" s="3" t="s">
        <v>2046</v>
      </c>
      <c r="F724" s="4" t="s">
        <v>2039</v>
      </c>
      <c r="G724" s="4" t="s">
        <v>1820</v>
      </c>
    </row>
    <row r="725" spans="1:7" ht="15.75" customHeight="1">
      <c r="A725" s="5">
        <v>217732612</v>
      </c>
      <c r="B725" s="6" t="s">
        <v>1561</v>
      </c>
      <c r="C725" s="5" t="s">
        <v>1562</v>
      </c>
      <c r="D725" s="5" t="s">
        <v>1563</v>
      </c>
      <c r="E725" s="5" t="s">
        <v>2047</v>
      </c>
      <c r="F725" s="6" t="s">
        <v>420</v>
      </c>
      <c r="G725" s="6" t="s">
        <v>421</v>
      </c>
    </row>
    <row r="726" spans="1:7" ht="15.75" customHeight="1">
      <c r="A726" s="3">
        <v>227147844</v>
      </c>
      <c r="B726" s="4" t="s">
        <v>2048</v>
      </c>
      <c r="C726" s="3" t="s">
        <v>2049</v>
      </c>
      <c r="D726" s="3">
        <v>79673202170</v>
      </c>
      <c r="E726" s="3" t="s">
        <v>2050</v>
      </c>
      <c r="F726" s="4" t="s">
        <v>420</v>
      </c>
      <c r="G726" s="4" t="s">
        <v>421</v>
      </c>
    </row>
    <row r="727" spans="1:7" ht="15.75" customHeight="1">
      <c r="A727" s="5">
        <v>227147865</v>
      </c>
      <c r="B727" s="6" t="s">
        <v>2051</v>
      </c>
      <c r="C727" s="5" t="s">
        <v>2052</v>
      </c>
      <c r="D727" s="5" t="s">
        <v>2053</v>
      </c>
      <c r="E727" s="5" t="s">
        <v>2054</v>
      </c>
      <c r="F727" s="6" t="s">
        <v>2039</v>
      </c>
      <c r="G727" s="6" t="s">
        <v>1820</v>
      </c>
    </row>
    <row r="728" spans="1:7" ht="15.75" customHeight="1">
      <c r="A728" s="3">
        <v>227206424</v>
      </c>
      <c r="B728" s="4" t="s">
        <v>2055</v>
      </c>
      <c r="C728" s="3" t="s">
        <v>2056</v>
      </c>
      <c r="D728" s="3" t="s">
        <v>2057</v>
      </c>
      <c r="E728" s="3" t="s">
        <v>2058</v>
      </c>
      <c r="F728" s="4" t="s">
        <v>2039</v>
      </c>
      <c r="G728" s="4" t="s">
        <v>1820</v>
      </c>
    </row>
    <row r="729" spans="1:7" ht="15.75" customHeight="1">
      <c r="A729" s="5">
        <v>227211947</v>
      </c>
      <c r="B729" s="6" t="s">
        <v>2059</v>
      </c>
      <c r="C729" s="5" t="s">
        <v>2060</v>
      </c>
      <c r="D729" s="5" t="s">
        <v>2061</v>
      </c>
      <c r="E729" s="5" t="s">
        <v>2062</v>
      </c>
      <c r="F729" s="6" t="s">
        <v>1345</v>
      </c>
      <c r="G729" s="6" t="s">
        <v>1346</v>
      </c>
    </row>
    <row r="730" spans="1:7" ht="15.75" customHeight="1">
      <c r="A730" s="3">
        <v>227305202</v>
      </c>
      <c r="B730" s="4" t="s">
        <v>2063</v>
      </c>
      <c r="C730" s="3" t="s">
        <v>2064</v>
      </c>
      <c r="D730" s="3"/>
      <c r="E730" s="3" t="s">
        <v>2065</v>
      </c>
      <c r="F730" s="4" t="s">
        <v>444</v>
      </c>
      <c r="G730" s="4" t="s">
        <v>445</v>
      </c>
    </row>
    <row r="731" spans="1:7" ht="15.75" customHeight="1">
      <c r="A731" s="5">
        <v>227367939</v>
      </c>
      <c r="B731" s="6" t="s">
        <v>2066</v>
      </c>
      <c r="C731" s="5" t="s">
        <v>2067</v>
      </c>
      <c r="D731" s="5">
        <v>79653229185</v>
      </c>
      <c r="E731" s="5" t="s">
        <v>2068</v>
      </c>
      <c r="F731" s="6" t="s">
        <v>420</v>
      </c>
      <c r="G731" s="6" t="s">
        <v>421</v>
      </c>
    </row>
    <row r="732" spans="1:7" ht="15.75" customHeight="1">
      <c r="A732" s="3">
        <v>192941291</v>
      </c>
      <c r="B732" s="4" t="s">
        <v>2069</v>
      </c>
      <c r="C732" s="3" t="s">
        <v>2070</v>
      </c>
      <c r="D732" s="3" t="s">
        <v>2071</v>
      </c>
      <c r="E732" s="3" t="s">
        <v>2072</v>
      </c>
      <c r="F732" s="4" t="s">
        <v>420</v>
      </c>
      <c r="G732" s="4" t="s">
        <v>421</v>
      </c>
    </row>
    <row r="733" spans="1:7" ht="15.75" customHeight="1">
      <c r="A733" s="5">
        <v>227538637</v>
      </c>
      <c r="B733" s="6" t="s">
        <v>2073</v>
      </c>
      <c r="C733" s="5" t="s">
        <v>2074</v>
      </c>
      <c r="D733" s="5" t="s">
        <v>2075</v>
      </c>
      <c r="E733" s="5" t="s">
        <v>2076</v>
      </c>
      <c r="F733" s="6" t="s">
        <v>420</v>
      </c>
      <c r="G733" s="6" t="s">
        <v>421</v>
      </c>
    </row>
    <row r="734" spans="1:7" ht="15.75" customHeight="1">
      <c r="A734" s="3">
        <v>227553509</v>
      </c>
      <c r="B734" s="4" t="s">
        <v>2077</v>
      </c>
      <c r="C734" s="3" t="s">
        <v>2078</v>
      </c>
      <c r="D734" s="3" t="s">
        <v>2079</v>
      </c>
      <c r="E734" s="3" t="s">
        <v>2080</v>
      </c>
      <c r="F734" s="4" t="s">
        <v>420</v>
      </c>
      <c r="G734" s="4" t="s">
        <v>421</v>
      </c>
    </row>
    <row r="735" spans="1:7" ht="15.75" customHeight="1">
      <c r="A735" s="5">
        <v>227579812</v>
      </c>
      <c r="B735" s="6" t="s">
        <v>2081</v>
      </c>
      <c r="C735" s="5" t="s">
        <v>2082</v>
      </c>
      <c r="D735" s="5" t="s">
        <v>2083</v>
      </c>
      <c r="E735" s="5" t="s">
        <v>2084</v>
      </c>
      <c r="F735" s="6" t="s">
        <v>420</v>
      </c>
      <c r="G735" s="6" t="s">
        <v>421</v>
      </c>
    </row>
    <row r="736" spans="1:7" ht="15.75" customHeight="1">
      <c r="A736" s="3">
        <v>227667615</v>
      </c>
      <c r="B736" s="4" t="s">
        <v>2085</v>
      </c>
      <c r="C736" s="3" t="s">
        <v>2086</v>
      </c>
      <c r="D736" s="3" t="s">
        <v>2087</v>
      </c>
      <c r="E736" s="3" t="s">
        <v>2088</v>
      </c>
      <c r="F736" s="4" t="s">
        <v>1593</v>
      </c>
      <c r="G736" s="4" t="s">
        <v>1594</v>
      </c>
    </row>
    <row r="737" spans="1:7" ht="15.75" customHeight="1">
      <c r="A737" s="5">
        <v>227005570</v>
      </c>
      <c r="B737" s="6" t="s">
        <v>2044</v>
      </c>
      <c r="C737" s="5" t="s">
        <v>2045</v>
      </c>
      <c r="D737" s="5">
        <v>298718165</v>
      </c>
      <c r="E737" s="5" t="s">
        <v>2089</v>
      </c>
      <c r="F737" s="6" t="s">
        <v>444</v>
      </c>
      <c r="G737" s="6" t="s">
        <v>445</v>
      </c>
    </row>
    <row r="738" spans="1:7" ht="15.75" customHeight="1">
      <c r="A738" s="3">
        <v>227771217</v>
      </c>
      <c r="B738" s="4" t="s">
        <v>2090</v>
      </c>
      <c r="C738" s="3" t="s">
        <v>2091</v>
      </c>
      <c r="D738" s="3">
        <v>79889526104</v>
      </c>
      <c r="E738" s="3" t="s">
        <v>2092</v>
      </c>
      <c r="F738" s="4" t="s">
        <v>1484</v>
      </c>
      <c r="G738" s="4" t="s">
        <v>1485</v>
      </c>
    </row>
    <row r="739" spans="1:7" ht="15.75" customHeight="1">
      <c r="A739" s="5">
        <v>227795184</v>
      </c>
      <c r="B739" s="6" t="s">
        <v>2093</v>
      </c>
      <c r="C739" s="5" t="s">
        <v>2094</v>
      </c>
      <c r="D739" s="5" t="s">
        <v>2095</v>
      </c>
      <c r="E739" s="5" t="s">
        <v>2096</v>
      </c>
      <c r="F739" s="6" t="s">
        <v>1593</v>
      </c>
      <c r="G739" s="6" t="s">
        <v>1594</v>
      </c>
    </row>
    <row r="740" spans="1:7" ht="15.75" customHeight="1">
      <c r="A740" s="3">
        <v>227799287</v>
      </c>
      <c r="B740" s="4" t="s">
        <v>2097</v>
      </c>
      <c r="C740" s="3" t="s">
        <v>2098</v>
      </c>
      <c r="D740" s="3">
        <v>79257187951</v>
      </c>
      <c r="E740" s="3" t="s">
        <v>2099</v>
      </c>
      <c r="F740" s="4" t="s">
        <v>854</v>
      </c>
      <c r="G740" s="4" t="s">
        <v>855</v>
      </c>
    </row>
    <row r="741" spans="1:7" ht="15.75" customHeight="1">
      <c r="A741" s="5">
        <v>202555427</v>
      </c>
      <c r="B741" s="6" t="s">
        <v>2100</v>
      </c>
      <c r="C741" s="5" t="s">
        <v>2101</v>
      </c>
      <c r="D741" s="5" t="s">
        <v>2102</v>
      </c>
      <c r="E741" s="5" t="s">
        <v>2103</v>
      </c>
      <c r="F741" s="6" t="s">
        <v>444</v>
      </c>
      <c r="G741" s="6" t="s">
        <v>445</v>
      </c>
    </row>
    <row r="742" spans="1:7" ht="15.75" customHeight="1">
      <c r="A742" s="3">
        <v>227887310</v>
      </c>
      <c r="B742" s="4" t="s">
        <v>2104</v>
      </c>
      <c r="C742" s="3" t="s">
        <v>2105</v>
      </c>
      <c r="D742" s="3" t="s">
        <v>2106</v>
      </c>
      <c r="E742" s="3" t="s">
        <v>2107</v>
      </c>
      <c r="F742" s="4" t="s">
        <v>444</v>
      </c>
      <c r="G742" s="4" t="s">
        <v>445</v>
      </c>
    </row>
    <row r="743" spans="1:7" ht="15.75" customHeight="1">
      <c r="A743" s="5">
        <v>227898464</v>
      </c>
      <c r="B743" s="6" t="s">
        <v>2108</v>
      </c>
      <c r="C743" s="5" t="s">
        <v>2109</v>
      </c>
      <c r="D743" s="5" t="s">
        <v>2110</v>
      </c>
      <c r="E743" s="5" t="s">
        <v>2111</v>
      </c>
      <c r="F743" s="6" t="s">
        <v>473</v>
      </c>
      <c r="G743" s="6" t="s">
        <v>474</v>
      </c>
    </row>
    <row r="744" spans="1:7" ht="15.75" customHeight="1">
      <c r="A744" s="3">
        <v>227923314</v>
      </c>
      <c r="B744" s="4" t="s">
        <v>2112</v>
      </c>
      <c r="C744" s="3" t="s">
        <v>2113</v>
      </c>
      <c r="D744" s="3">
        <v>79536750399</v>
      </c>
      <c r="E744" s="3" t="s">
        <v>2114</v>
      </c>
      <c r="F744" s="4" t="s">
        <v>444</v>
      </c>
      <c r="G744" s="4" t="s">
        <v>445</v>
      </c>
    </row>
    <row r="745" spans="1:7" ht="15.75" customHeight="1">
      <c r="A745" s="5">
        <v>179742240</v>
      </c>
      <c r="B745" s="6" t="s">
        <v>1764</v>
      </c>
      <c r="C745" s="5" t="s">
        <v>1765</v>
      </c>
      <c r="D745" s="5" t="s">
        <v>1766</v>
      </c>
      <c r="E745" s="5" t="s">
        <v>2115</v>
      </c>
      <c r="F745" s="6" t="s">
        <v>454</v>
      </c>
      <c r="G745" s="6" t="s">
        <v>455</v>
      </c>
    </row>
    <row r="746" spans="1:7" ht="15.75" customHeight="1">
      <c r="A746" s="3">
        <v>191530974</v>
      </c>
      <c r="B746" s="4" t="s">
        <v>1809</v>
      </c>
      <c r="C746" s="3" t="s">
        <v>1810</v>
      </c>
      <c r="D746" s="3" t="s">
        <v>1811</v>
      </c>
      <c r="E746" s="3" t="s">
        <v>2116</v>
      </c>
      <c r="F746" s="4" t="s">
        <v>454</v>
      </c>
      <c r="G746" s="4" t="s">
        <v>455</v>
      </c>
    </row>
    <row r="747" spans="1:7" ht="15.75" customHeight="1">
      <c r="A747" s="5">
        <v>192075904</v>
      </c>
      <c r="B747" s="6" t="s">
        <v>1681</v>
      </c>
      <c r="C747" s="5" t="s">
        <v>1682</v>
      </c>
      <c r="D747" s="5" t="s">
        <v>1683</v>
      </c>
      <c r="E747" s="5" t="s">
        <v>2116</v>
      </c>
      <c r="F747" s="6" t="s">
        <v>454</v>
      </c>
      <c r="G747" s="6" t="s">
        <v>455</v>
      </c>
    </row>
    <row r="748" spans="1:7" ht="15.75" customHeight="1">
      <c r="A748" s="3">
        <v>199377296</v>
      </c>
      <c r="B748" s="4" t="s">
        <v>1786</v>
      </c>
      <c r="C748" s="3" t="s">
        <v>1787</v>
      </c>
      <c r="D748" s="3" t="s">
        <v>1788</v>
      </c>
      <c r="E748" s="3" t="s">
        <v>2117</v>
      </c>
      <c r="F748" s="4" t="s">
        <v>454</v>
      </c>
      <c r="G748" s="4" t="s">
        <v>455</v>
      </c>
    </row>
    <row r="749" spans="1:7" ht="15.75" customHeight="1">
      <c r="A749" s="5">
        <v>211493383</v>
      </c>
      <c r="B749" s="6" t="s">
        <v>1610</v>
      </c>
      <c r="C749" s="5" t="s">
        <v>1611</v>
      </c>
      <c r="D749" s="5" t="s">
        <v>1612</v>
      </c>
      <c r="E749" s="5" t="s">
        <v>2118</v>
      </c>
      <c r="F749" s="6" t="s">
        <v>454</v>
      </c>
      <c r="G749" s="6" t="s">
        <v>455</v>
      </c>
    </row>
    <row r="750" spans="1:7" ht="15.75" customHeight="1">
      <c r="A750" s="3">
        <v>214603233</v>
      </c>
      <c r="B750" s="4" t="s">
        <v>1708</v>
      </c>
      <c r="C750" s="3" t="s">
        <v>1709</v>
      </c>
      <c r="D750" s="3" t="s">
        <v>1710</v>
      </c>
      <c r="E750" s="3" t="s">
        <v>2119</v>
      </c>
      <c r="F750" s="4" t="s">
        <v>454</v>
      </c>
      <c r="G750" s="4" t="s">
        <v>455</v>
      </c>
    </row>
    <row r="751" spans="1:7" ht="15.75" customHeight="1">
      <c r="A751" s="5">
        <v>215664147</v>
      </c>
      <c r="B751" s="6" t="s">
        <v>1314</v>
      </c>
      <c r="C751" s="5" t="s">
        <v>1315</v>
      </c>
      <c r="D751" s="5" t="s">
        <v>1316</v>
      </c>
      <c r="E751" s="5" t="s">
        <v>2119</v>
      </c>
      <c r="F751" s="6" t="s">
        <v>454</v>
      </c>
      <c r="G751" s="6" t="s">
        <v>455</v>
      </c>
    </row>
    <row r="752" spans="1:7" ht="15.75" customHeight="1">
      <c r="A752" s="3">
        <v>217251899</v>
      </c>
      <c r="B752" s="4" t="s">
        <v>1476</v>
      </c>
      <c r="C752" s="3" t="s">
        <v>1477</v>
      </c>
      <c r="D752" s="3" t="s">
        <v>1478</v>
      </c>
      <c r="E752" s="3" t="s">
        <v>2120</v>
      </c>
      <c r="F752" s="4" t="s">
        <v>473</v>
      </c>
      <c r="G752" s="4" t="s">
        <v>474</v>
      </c>
    </row>
    <row r="753" spans="1:7" ht="15.75" customHeight="1">
      <c r="A753" s="5">
        <v>182551160</v>
      </c>
      <c r="B753" s="6" t="s">
        <v>1595</v>
      </c>
      <c r="C753" s="5" t="s">
        <v>1596</v>
      </c>
      <c r="D753" s="5" t="s">
        <v>1597</v>
      </c>
      <c r="E753" s="5" t="s">
        <v>2121</v>
      </c>
      <c r="F753" s="6" t="s">
        <v>454</v>
      </c>
      <c r="G753" s="6" t="s">
        <v>455</v>
      </c>
    </row>
    <row r="754" spans="1:7" ht="15.75" customHeight="1">
      <c r="A754" s="3">
        <v>191530974</v>
      </c>
      <c r="B754" s="4" t="s">
        <v>1809</v>
      </c>
      <c r="C754" s="3" t="s">
        <v>1810</v>
      </c>
      <c r="D754" s="3" t="s">
        <v>1811</v>
      </c>
      <c r="E754" s="3" t="s">
        <v>2121</v>
      </c>
      <c r="F754" s="4" t="s">
        <v>454</v>
      </c>
      <c r="G754" s="4" t="s">
        <v>455</v>
      </c>
    </row>
    <row r="755" spans="1:7" ht="15.75" customHeight="1">
      <c r="A755" s="5">
        <v>192075904</v>
      </c>
      <c r="B755" s="6" t="s">
        <v>1681</v>
      </c>
      <c r="C755" s="5" t="s">
        <v>1682</v>
      </c>
      <c r="D755" s="5" t="s">
        <v>1683</v>
      </c>
      <c r="E755" s="5" t="s">
        <v>2122</v>
      </c>
      <c r="F755" s="6" t="s">
        <v>454</v>
      </c>
      <c r="G755" s="6" t="s">
        <v>455</v>
      </c>
    </row>
    <row r="756" spans="1:7" ht="15.75" customHeight="1">
      <c r="A756" s="3">
        <v>199377296</v>
      </c>
      <c r="B756" s="4" t="s">
        <v>1786</v>
      </c>
      <c r="C756" s="3" t="s">
        <v>1787</v>
      </c>
      <c r="D756" s="3" t="s">
        <v>1788</v>
      </c>
      <c r="E756" s="3" t="s">
        <v>2122</v>
      </c>
      <c r="F756" s="4" t="s">
        <v>454</v>
      </c>
      <c r="G756" s="4" t="s">
        <v>455</v>
      </c>
    </row>
    <row r="757" spans="1:7" ht="15.75" customHeight="1">
      <c r="A757" s="5">
        <v>210371507</v>
      </c>
      <c r="B757" s="6" t="s">
        <v>1689</v>
      </c>
      <c r="C757" s="5" t="s">
        <v>1690</v>
      </c>
      <c r="D757" s="5">
        <v>28240780</v>
      </c>
      <c r="E757" s="5" t="s">
        <v>2123</v>
      </c>
      <c r="F757" s="6" t="s">
        <v>454</v>
      </c>
      <c r="G757" s="6" t="s">
        <v>455</v>
      </c>
    </row>
    <row r="758" spans="1:7" ht="15.75" customHeight="1">
      <c r="A758" s="3">
        <v>210439195</v>
      </c>
      <c r="B758" s="4" t="s">
        <v>1506</v>
      </c>
      <c r="C758" s="3" t="s">
        <v>1507</v>
      </c>
      <c r="D758" s="3">
        <v>25488544</v>
      </c>
      <c r="E758" s="3" t="s">
        <v>2123</v>
      </c>
      <c r="F758" s="4" t="s">
        <v>454</v>
      </c>
      <c r="G758" s="4" t="s">
        <v>455</v>
      </c>
    </row>
    <row r="759" spans="1:7" ht="15.75" customHeight="1">
      <c r="A759" s="5">
        <v>211493383</v>
      </c>
      <c r="B759" s="6" t="s">
        <v>1610</v>
      </c>
      <c r="C759" s="5" t="s">
        <v>1611</v>
      </c>
      <c r="D759" s="5" t="s">
        <v>1612</v>
      </c>
      <c r="E759" s="5" t="s">
        <v>2124</v>
      </c>
      <c r="F759" s="6" t="s">
        <v>454</v>
      </c>
      <c r="G759" s="6" t="s">
        <v>455</v>
      </c>
    </row>
    <row r="760" spans="1:7" ht="15.75" customHeight="1">
      <c r="A760" s="3">
        <v>214603233</v>
      </c>
      <c r="B760" s="4" t="s">
        <v>1708</v>
      </c>
      <c r="C760" s="3" t="s">
        <v>1709</v>
      </c>
      <c r="D760" s="3" t="s">
        <v>1710</v>
      </c>
      <c r="E760" s="3" t="s">
        <v>2124</v>
      </c>
      <c r="F760" s="4" t="s">
        <v>454</v>
      </c>
      <c r="G760" s="4" t="s">
        <v>455</v>
      </c>
    </row>
    <row r="761" spans="1:7" ht="15.75" customHeight="1">
      <c r="A761" s="5">
        <v>215664147</v>
      </c>
      <c r="B761" s="6" t="s">
        <v>1314</v>
      </c>
      <c r="C761" s="5" t="s">
        <v>1315</v>
      </c>
      <c r="D761" s="5" t="s">
        <v>1316</v>
      </c>
      <c r="E761" s="5" t="s">
        <v>2124</v>
      </c>
      <c r="F761" s="6" t="s">
        <v>454</v>
      </c>
      <c r="G761" s="6" t="s">
        <v>455</v>
      </c>
    </row>
    <row r="762" spans="1:7" ht="15.75" customHeight="1">
      <c r="A762" s="3">
        <v>217251899</v>
      </c>
      <c r="B762" s="4" t="s">
        <v>1476</v>
      </c>
      <c r="C762" s="3" t="s">
        <v>1477</v>
      </c>
      <c r="D762" s="3" t="s">
        <v>1478</v>
      </c>
      <c r="E762" s="3" t="s">
        <v>2125</v>
      </c>
      <c r="F762" s="4" t="s">
        <v>454</v>
      </c>
      <c r="G762" s="4" t="s">
        <v>455</v>
      </c>
    </row>
    <row r="763" spans="1:7" ht="15.75" customHeight="1">
      <c r="A763" s="5">
        <v>217604034</v>
      </c>
      <c r="B763" s="6" t="s">
        <v>1542</v>
      </c>
      <c r="C763" s="5" t="s">
        <v>1543</v>
      </c>
      <c r="D763" s="5" t="s">
        <v>1544</v>
      </c>
      <c r="E763" s="5" t="s">
        <v>2126</v>
      </c>
      <c r="F763" s="6" t="s">
        <v>454</v>
      </c>
      <c r="G763" s="6" t="s">
        <v>455</v>
      </c>
    </row>
    <row r="764" spans="1:7" ht="15.75" customHeight="1">
      <c r="A764" s="3">
        <v>221608365</v>
      </c>
      <c r="B764" s="4" t="s">
        <v>1768</v>
      </c>
      <c r="C764" s="3" t="s">
        <v>1769</v>
      </c>
      <c r="D764" s="3" t="s">
        <v>1770</v>
      </c>
      <c r="E764" s="3" t="s">
        <v>2127</v>
      </c>
      <c r="F764" s="4" t="s">
        <v>454</v>
      </c>
      <c r="G764" s="4" t="s">
        <v>455</v>
      </c>
    </row>
    <row r="765" spans="1:7" ht="15.75" customHeight="1">
      <c r="A765" s="5">
        <v>223272243</v>
      </c>
      <c r="B765" s="6" t="s">
        <v>1920</v>
      </c>
      <c r="C765" s="5" t="s">
        <v>1921</v>
      </c>
      <c r="D765" s="5" t="s">
        <v>1922</v>
      </c>
      <c r="E765" s="5" t="s">
        <v>2127</v>
      </c>
      <c r="F765" s="6" t="s">
        <v>454</v>
      </c>
      <c r="G765" s="6" t="s">
        <v>455</v>
      </c>
    </row>
    <row r="766" spans="1:7" ht="15.75" customHeight="1">
      <c r="A766" s="3">
        <v>223899700</v>
      </c>
      <c r="B766" s="4" t="s">
        <v>1960</v>
      </c>
      <c r="C766" s="3" t="s">
        <v>1961</v>
      </c>
      <c r="D766" s="3" t="s">
        <v>1962</v>
      </c>
      <c r="E766" s="3" t="s">
        <v>2128</v>
      </c>
      <c r="F766" s="4" t="s">
        <v>454</v>
      </c>
      <c r="G766" s="4" t="s">
        <v>455</v>
      </c>
    </row>
    <row r="767" spans="1:7" ht="15.75" customHeight="1">
      <c r="A767" s="5">
        <v>228043647</v>
      </c>
      <c r="B767" s="6" t="s">
        <v>2129</v>
      </c>
      <c r="C767" s="5" t="s">
        <v>2130</v>
      </c>
      <c r="D767" s="5" t="s">
        <v>2131</v>
      </c>
      <c r="E767" s="5" t="s">
        <v>2132</v>
      </c>
      <c r="F767" s="6" t="s">
        <v>473</v>
      </c>
      <c r="G767" s="6" t="s">
        <v>474</v>
      </c>
    </row>
    <row r="768" spans="1:7" ht="15.75" customHeight="1">
      <c r="A768" s="3">
        <v>228092020</v>
      </c>
      <c r="B768" s="4" t="s">
        <v>2133</v>
      </c>
      <c r="C768" s="3" t="s">
        <v>2134</v>
      </c>
      <c r="D768" s="3">
        <v>28145078</v>
      </c>
      <c r="E768" s="3" t="s">
        <v>2135</v>
      </c>
      <c r="F768" s="4" t="s">
        <v>473</v>
      </c>
      <c r="G768" s="4" t="s">
        <v>474</v>
      </c>
    </row>
    <row r="769" spans="1:7" ht="15.75" customHeight="1">
      <c r="A769" s="5">
        <v>210637945</v>
      </c>
      <c r="B769" s="6" t="s">
        <v>2136</v>
      </c>
      <c r="C769" s="5" t="s">
        <v>2137</v>
      </c>
      <c r="D769" s="5" t="s">
        <v>2138</v>
      </c>
      <c r="E769" s="5" t="s">
        <v>2139</v>
      </c>
      <c r="F769" s="6" t="s">
        <v>473</v>
      </c>
      <c r="G769" s="6" t="s">
        <v>474</v>
      </c>
    </row>
    <row r="770" spans="1:7" ht="15.75" customHeight="1">
      <c r="A770" s="3">
        <v>228208809</v>
      </c>
      <c r="B770" s="4" t="s">
        <v>2140</v>
      </c>
      <c r="C770" s="3" t="s">
        <v>2141</v>
      </c>
      <c r="D770" s="3">
        <v>37129670447</v>
      </c>
      <c r="E770" s="3" t="s">
        <v>2142</v>
      </c>
      <c r="F770" s="4" t="s">
        <v>473</v>
      </c>
      <c r="G770" s="4" t="s">
        <v>474</v>
      </c>
    </row>
    <row r="771" spans="1:7" ht="15.75" customHeight="1">
      <c r="A771" s="5">
        <v>228225216</v>
      </c>
      <c r="B771" s="6" t="s">
        <v>2143</v>
      </c>
      <c r="C771" s="5" t="s">
        <v>2144</v>
      </c>
      <c r="D771" s="5" t="s">
        <v>2145</v>
      </c>
      <c r="E771" s="5" t="s">
        <v>2146</v>
      </c>
      <c r="F771" s="6" t="s">
        <v>420</v>
      </c>
      <c r="G771" s="6" t="s">
        <v>421</v>
      </c>
    </row>
    <row r="772" spans="1:7" ht="15.75" customHeight="1">
      <c r="A772" s="3">
        <v>210542313</v>
      </c>
      <c r="B772" s="4" t="s">
        <v>2147</v>
      </c>
      <c r="C772" s="3" t="s">
        <v>2148</v>
      </c>
      <c r="D772" s="3">
        <v>28231036</v>
      </c>
      <c r="E772" s="3" t="s">
        <v>2149</v>
      </c>
      <c r="F772" s="4" t="s">
        <v>473</v>
      </c>
      <c r="G772" s="4" t="s">
        <v>474</v>
      </c>
    </row>
    <row r="773" spans="1:7" ht="15.75" customHeight="1">
      <c r="A773" s="5">
        <v>228450882</v>
      </c>
      <c r="B773" s="6" t="s">
        <v>2150</v>
      </c>
      <c r="C773" s="5" t="s">
        <v>2151</v>
      </c>
      <c r="D773" s="5" t="s">
        <v>2152</v>
      </c>
      <c r="E773" s="5" t="s">
        <v>2153</v>
      </c>
      <c r="F773" s="6" t="s">
        <v>473</v>
      </c>
      <c r="G773" s="6" t="s">
        <v>474</v>
      </c>
    </row>
    <row r="774" spans="1:7" ht="15.75" customHeight="1">
      <c r="A774" s="3">
        <v>228456167</v>
      </c>
      <c r="B774" s="4" t="s">
        <v>2154</v>
      </c>
      <c r="C774" s="3" t="s">
        <v>2155</v>
      </c>
      <c r="D774" s="3" t="s">
        <v>2156</v>
      </c>
      <c r="E774" s="3" t="s">
        <v>2157</v>
      </c>
      <c r="F774" s="4" t="s">
        <v>473</v>
      </c>
      <c r="G774" s="4" t="s">
        <v>474</v>
      </c>
    </row>
    <row r="775" spans="1:7" ht="15.75" customHeight="1">
      <c r="A775" s="5">
        <v>228554599</v>
      </c>
      <c r="B775" s="6" t="s">
        <v>2158</v>
      </c>
      <c r="C775" s="5" t="s">
        <v>2159</v>
      </c>
      <c r="D775" s="5" t="s">
        <v>2160</v>
      </c>
      <c r="E775" s="5" t="s">
        <v>2161</v>
      </c>
      <c r="F775" s="6" t="s">
        <v>390</v>
      </c>
      <c r="G775" s="6" t="s">
        <v>391</v>
      </c>
    </row>
    <row r="776" spans="1:7" ht="15.75" customHeight="1">
      <c r="A776" s="3">
        <v>223346041</v>
      </c>
      <c r="B776" s="4" t="s">
        <v>547</v>
      </c>
      <c r="C776" s="3" t="s">
        <v>1937</v>
      </c>
      <c r="D776" s="3" t="s">
        <v>549</v>
      </c>
      <c r="E776" s="3" t="s">
        <v>2162</v>
      </c>
      <c r="F776" s="4" t="s">
        <v>420</v>
      </c>
      <c r="G776" s="4" t="s">
        <v>421</v>
      </c>
    </row>
    <row r="777" spans="1:7" ht="15.75" customHeight="1">
      <c r="A777" s="5">
        <v>228624290</v>
      </c>
      <c r="B777" s="6" t="s">
        <v>2163</v>
      </c>
      <c r="C777" s="5" t="s">
        <v>2164</v>
      </c>
      <c r="D777" s="5" t="s">
        <v>2165</v>
      </c>
      <c r="E777" s="5" t="s">
        <v>2166</v>
      </c>
      <c r="F777" s="6" t="s">
        <v>1345</v>
      </c>
      <c r="G777" s="6" t="s">
        <v>1346</v>
      </c>
    </row>
    <row r="778" spans="1:7" ht="15.75" customHeight="1">
      <c r="A778" s="3">
        <v>219249419</v>
      </c>
      <c r="B778" s="4" t="s">
        <v>1648</v>
      </c>
      <c r="C778" s="3" t="s">
        <v>1649</v>
      </c>
      <c r="D778" s="3" t="s">
        <v>1650</v>
      </c>
      <c r="E778" s="3" t="s">
        <v>2167</v>
      </c>
      <c r="F778" s="4" t="s">
        <v>854</v>
      </c>
      <c r="G778" s="4" t="s">
        <v>855</v>
      </c>
    </row>
    <row r="779" spans="1:7" ht="15.75" customHeight="1">
      <c r="A779" s="5">
        <v>228784381</v>
      </c>
      <c r="B779" s="6" t="s">
        <v>2168</v>
      </c>
      <c r="C779" s="5" t="s">
        <v>2169</v>
      </c>
      <c r="D779" s="5" t="s">
        <v>2170</v>
      </c>
      <c r="E779" s="5" t="s">
        <v>2171</v>
      </c>
      <c r="F779" s="6" t="s">
        <v>854</v>
      </c>
      <c r="G779" s="6" t="s">
        <v>855</v>
      </c>
    </row>
    <row r="780" spans="1:7" ht="15.75" customHeight="1">
      <c r="A780" s="3">
        <v>228898927</v>
      </c>
      <c r="B780" s="4" t="s">
        <v>2172</v>
      </c>
      <c r="C780" s="3" t="s">
        <v>2173</v>
      </c>
      <c r="D780" s="3" t="s">
        <v>2174</v>
      </c>
      <c r="E780" s="3" t="s">
        <v>2175</v>
      </c>
      <c r="F780" s="4" t="s">
        <v>2176</v>
      </c>
      <c r="G780" s="4" t="s">
        <v>791</v>
      </c>
    </row>
    <row r="781" spans="1:7" ht="15.75" customHeight="1">
      <c r="A781" s="5">
        <v>228910131</v>
      </c>
      <c r="B781" s="6" t="s">
        <v>2177</v>
      </c>
      <c r="C781" s="5" t="s">
        <v>2178</v>
      </c>
      <c r="D781" s="5" t="s">
        <v>2179</v>
      </c>
      <c r="E781" s="5" t="s">
        <v>2180</v>
      </c>
      <c r="F781" s="6" t="s">
        <v>2176</v>
      </c>
      <c r="G781" s="6" t="s">
        <v>791</v>
      </c>
    </row>
    <row r="782" spans="1:7" ht="15.75" customHeight="1">
      <c r="A782" s="3">
        <v>229025086</v>
      </c>
      <c r="B782" s="4" t="s">
        <v>2181</v>
      </c>
      <c r="C782" s="3" t="s">
        <v>2182</v>
      </c>
      <c r="D782" s="3" t="s">
        <v>2183</v>
      </c>
      <c r="E782" s="3" t="s">
        <v>2184</v>
      </c>
      <c r="F782" s="4" t="s">
        <v>2185</v>
      </c>
      <c r="G782" s="4" t="s">
        <v>2186</v>
      </c>
    </row>
    <row r="783" spans="1:7" ht="15.75" customHeight="1">
      <c r="A783" s="5">
        <v>229042909</v>
      </c>
      <c r="B783" s="6" t="s">
        <v>2187</v>
      </c>
      <c r="C783" s="5" t="s">
        <v>2188</v>
      </c>
      <c r="D783" s="5" t="s">
        <v>2189</v>
      </c>
      <c r="E783" s="5" t="s">
        <v>2190</v>
      </c>
      <c r="F783" s="6" t="s">
        <v>420</v>
      </c>
      <c r="G783" s="6" t="s">
        <v>421</v>
      </c>
    </row>
    <row r="784" spans="1:7" ht="15.75" customHeight="1">
      <c r="A784" s="3">
        <v>211485115</v>
      </c>
      <c r="B784" s="4" t="s">
        <v>1724</v>
      </c>
      <c r="C784" s="3" t="s">
        <v>1725</v>
      </c>
      <c r="D784" s="3" t="s">
        <v>1726</v>
      </c>
      <c r="E784" s="3" t="s">
        <v>2191</v>
      </c>
      <c r="F784" s="4" t="s">
        <v>55</v>
      </c>
      <c r="G784" s="4" t="s">
        <v>56</v>
      </c>
    </row>
    <row r="785" spans="1:7" ht="15.75" customHeight="1">
      <c r="A785" s="5">
        <v>229258243</v>
      </c>
      <c r="B785" s="6" t="s">
        <v>2192</v>
      </c>
      <c r="C785" s="5" t="s">
        <v>2193</v>
      </c>
      <c r="D785" s="5" t="s">
        <v>2194</v>
      </c>
      <c r="E785" s="5" t="s">
        <v>2195</v>
      </c>
      <c r="F785" s="6" t="s">
        <v>2196</v>
      </c>
      <c r="G785" s="6" t="s">
        <v>282</v>
      </c>
    </row>
    <row r="786" spans="1:7" ht="15.75" customHeight="1">
      <c r="A786" s="3">
        <v>229470707</v>
      </c>
      <c r="B786" s="4" t="s">
        <v>2197</v>
      </c>
      <c r="C786" s="3" t="s">
        <v>2198</v>
      </c>
      <c r="D786" s="3" t="s">
        <v>2199</v>
      </c>
      <c r="E786" s="3" t="s">
        <v>2200</v>
      </c>
      <c r="F786" s="4" t="s">
        <v>2201</v>
      </c>
      <c r="G786" s="4" t="s">
        <v>2202</v>
      </c>
    </row>
    <row r="787" spans="1:7" ht="15.75" customHeight="1">
      <c r="A787" s="5">
        <v>229653429</v>
      </c>
      <c r="B787" s="6" t="s">
        <v>2203</v>
      </c>
      <c r="C787" s="5" t="s">
        <v>2204</v>
      </c>
      <c r="D787" s="5">
        <v>79891661878</v>
      </c>
      <c r="E787" s="5" t="s">
        <v>2205</v>
      </c>
      <c r="F787" s="6" t="s">
        <v>1345</v>
      </c>
      <c r="G787" s="6" t="s">
        <v>1346</v>
      </c>
    </row>
    <row r="788" spans="1:7" ht="15.75" customHeight="1">
      <c r="A788" s="3">
        <v>223346041</v>
      </c>
      <c r="B788" s="4" t="s">
        <v>547</v>
      </c>
      <c r="C788" s="3" t="s">
        <v>1937</v>
      </c>
      <c r="D788" s="3" t="s">
        <v>549</v>
      </c>
      <c r="E788" s="3" t="s">
        <v>2206</v>
      </c>
      <c r="F788" s="4" t="s">
        <v>496</v>
      </c>
      <c r="G788" s="4" t="s">
        <v>497</v>
      </c>
    </row>
    <row r="789" spans="1:7" ht="15.75" customHeight="1">
      <c r="A789" s="5">
        <v>229977429</v>
      </c>
      <c r="B789" s="6" t="s">
        <v>2207</v>
      </c>
      <c r="C789" s="5" t="s">
        <v>2208</v>
      </c>
      <c r="D789" s="5" t="s">
        <v>2209</v>
      </c>
      <c r="E789" s="5" t="s">
        <v>2210</v>
      </c>
      <c r="F789" s="6" t="s">
        <v>936</v>
      </c>
      <c r="G789" s="6" t="s">
        <v>937</v>
      </c>
    </row>
    <row r="790" spans="1:7" ht="15.75" customHeight="1">
      <c r="A790" s="3">
        <v>222154657</v>
      </c>
      <c r="B790" s="4" t="s">
        <v>1813</v>
      </c>
      <c r="C790" s="3" t="s">
        <v>1814</v>
      </c>
      <c r="D790" s="3">
        <v>79166725212</v>
      </c>
      <c r="E790" s="3" t="s">
        <v>2211</v>
      </c>
      <c r="F790" s="4" t="s">
        <v>537</v>
      </c>
      <c r="G790" s="4" t="s">
        <v>538</v>
      </c>
    </row>
    <row r="791" spans="1:7" ht="15.75" customHeight="1">
      <c r="A791" s="5">
        <v>230012489</v>
      </c>
      <c r="B791" s="6" t="s">
        <v>2212</v>
      </c>
      <c r="C791" s="5" t="s">
        <v>2213</v>
      </c>
      <c r="D791" s="5" t="s">
        <v>2214</v>
      </c>
      <c r="E791" s="5" t="s">
        <v>2215</v>
      </c>
      <c r="F791" s="6" t="s">
        <v>399</v>
      </c>
      <c r="G791" s="6" t="s">
        <v>400</v>
      </c>
    </row>
    <row r="792" spans="1:7" ht="15.75" customHeight="1">
      <c r="A792" s="3">
        <v>230078497</v>
      </c>
      <c r="B792" s="4" t="s">
        <v>2216</v>
      </c>
      <c r="C792" s="3" t="s">
        <v>2217</v>
      </c>
      <c r="D792" s="3">
        <v>79006054545</v>
      </c>
      <c r="E792" s="3" t="s">
        <v>2218</v>
      </c>
      <c r="F792" s="4" t="s">
        <v>1484</v>
      </c>
      <c r="G792" s="4" t="s">
        <v>1485</v>
      </c>
    </row>
    <row r="793" spans="1:7" ht="15.75" customHeight="1">
      <c r="A793" s="5">
        <v>230197774</v>
      </c>
      <c r="B793" s="6" t="s">
        <v>2219</v>
      </c>
      <c r="C793" s="5" t="s">
        <v>2220</v>
      </c>
      <c r="D793" s="5">
        <v>79213178816</v>
      </c>
      <c r="E793" s="5" t="s">
        <v>2221</v>
      </c>
      <c r="F793" s="6" t="s">
        <v>936</v>
      </c>
      <c r="G793" s="6" t="s">
        <v>937</v>
      </c>
    </row>
    <row r="794" spans="1:7" ht="15.75" customHeight="1">
      <c r="A794" s="3">
        <v>230210050</v>
      </c>
      <c r="B794" s="4" t="s">
        <v>2222</v>
      </c>
      <c r="C794" s="3" t="s">
        <v>2223</v>
      </c>
      <c r="D794" s="3" t="s">
        <v>2224</v>
      </c>
      <c r="E794" s="3" t="s">
        <v>2225</v>
      </c>
      <c r="F794" s="4" t="s">
        <v>70</v>
      </c>
      <c r="G794" s="4" t="s">
        <v>71</v>
      </c>
    </row>
    <row r="795" spans="1:7" ht="15.75" customHeight="1">
      <c r="A795" s="5">
        <v>230293748</v>
      </c>
      <c r="B795" s="6" t="s">
        <v>2226</v>
      </c>
      <c r="C795" s="5" t="s">
        <v>2227</v>
      </c>
      <c r="D795" s="5" t="s">
        <v>2228</v>
      </c>
      <c r="E795" s="5" t="s">
        <v>2229</v>
      </c>
      <c r="F795" s="6" t="s">
        <v>204</v>
      </c>
      <c r="G795" s="6" t="s">
        <v>205</v>
      </c>
    </row>
    <row r="796" spans="1:7" ht="15.75" customHeight="1">
      <c r="A796" s="3">
        <v>211485115</v>
      </c>
      <c r="B796" s="4" t="s">
        <v>1724</v>
      </c>
      <c r="C796" s="3" t="s">
        <v>1725</v>
      </c>
      <c r="D796" s="3" t="s">
        <v>1726</v>
      </c>
      <c r="E796" s="3" t="s">
        <v>2230</v>
      </c>
      <c r="F796" s="4" t="s">
        <v>561</v>
      </c>
      <c r="G796" s="4" t="s">
        <v>538</v>
      </c>
    </row>
    <row r="797" spans="1:7" ht="15.75" customHeight="1">
      <c r="A797" s="5">
        <v>228092020</v>
      </c>
      <c r="B797" s="6" t="s">
        <v>2133</v>
      </c>
      <c r="C797" s="5" t="s">
        <v>2134</v>
      </c>
      <c r="D797" s="5">
        <v>28145078</v>
      </c>
      <c r="E797" s="5" t="s">
        <v>2231</v>
      </c>
      <c r="F797" s="6" t="s">
        <v>2232</v>
      </c>
      <c r="G797" s="6" t="s">
        <v>2233</v>
      </c>
    </row>
    <row r="798" spans="1:7" ht="15.75" customHeight="1">
      <c r="A798" s="3">
        <v>230405161</v>
      </c>
      <c r="B798" s="4" t="s">
        <v>2234</v>
      </c>
      <c r="C798" s="3" t="s">
        <v>2235</v>
      </c>
      <c r="D798" s="3" t="s">
        <v>2236</v>
      </c>
      <c r="E798" s="3" t="s">
        <v>2237</v>
      </c>
      <c r="F798" s="4" t="s">
        <v>97</v>
      </c>
      <c r="G798" s="4" t="s">
        <v>98</v>
      </c>
    </row>
    <row r="799" spans="1:7" ht="15.75" customHeight="1">
      <c r="A799" s="5">
        <v>216415878</v>
      </c>
      <c r="B799" s="6" t="s">
        <v>1347</v>
      </c>
      <c r="C799" s="5" t="s">
        <v>1348</v>
      </c>
      <c r="D799" s="5" t="s">
        <v>1349</v>
      </c>
      <c r="E799" s="5" t="s">
        <v>2238</v>
      </c>
      <c r="F799" s="6" t="s">
        <v>537</v>
      </c>
      <c r="G799" s="6" t="s">
        <v>538</v>
      </c>
    </row>
    <row r="800" spans="1:7" ht="15.75" customHeight="1">
      <c r="A800" s="3">
        <v>230446091</v>
      </c>
      <c r="B800" s="4" t="s">
        <v>2239</v>
      </c>
      <c r="C800" s="3" t="s">
        <v>2240</v>
      </c>
      <c r="D800" s="3" t="s">
        <v>2241</v>
      </c>
      <c r="E800" s="3" t="s">
        <v>2242</v>
      </c>
      <c r="F800" s="4" t="s">
        <v>537</v>
      </c>
      <c r="G800" s="4" t="s">
        <v>538</v>
      </c>
    </row>
    <row r="801" spans="1:7" ht="15.75" customHeight="1">
      <c r="A801" s="5">
        <v>230451354</v>
      </c>
      <c r="B801" s="6" t="s">
        <v>2243</v>
      </c>
      <c r="C801" s="5" t="s">
        <v>2244</v>
      </c>
      <c r="D801" s="5">
        <v>79216500116</v>
      </c>
      <c r="E801" s="5" t="s">
        <v>2245</v>
      </c>
      <c r="F801" s="6" t="s">
        <v>537</v>
      </c>
      <c r="G801" s="6" t="s">
        <v>538</v>
      </c>
    </row>
    <row r="802" spans="1:7" ht="15.75" customHeight="1">
      <c r="A802" s="3">
        <v>211485115</v>
      </c>
      <c r="B802" s="4" t="s">
        <v>1724</v>
      </c>
      <c r="C802" s="3" t="s">
        <v>1725</v>
      </c>
      <c r="D802" s="3" t="s">
        <v>1726</v>
      </c>
      <c r="E802" s="3" t="s">
        <v>2246</v>
      </c>
      <c r="F802" s="4" t="s">
        <v>561</v>
      </c>
      <c r="G802" s="4" t="s">
        <v>538</v>
      </c>
    </row>
    <row r="803" spans="1:7" ht="15.75" customHeight="1">
      <c r="A803" s="5">
        <v>230452624</v>
      </c>
      <c r="B803" s="6" t="s">
        <v>2247</v>
      </c>
      <c r="C803" s="5" t="s">
        <v>2248</v>
      </c>
      <c r="D803" s="5" t="s">
        <v>2249</v>
      </c>
      <c r="E803" s="5" t="s">
        <v>2250</v>
      </c>
      <c r="F803" s="6" t="s">
        <v>537</v>
      </c>
      <c r="G803" s="6" t="s">
        <v>538</v>
      </c>
    </row>
    <row r="804" spans="1:7" ht="15.75" customHeight="1">
      <c r="A804" s="3">
        <v>202557120</v>
      </c>
      <c r="B804" s="4" t="s">
        <v>1728</v>
      </c>
      <c r="C804" s="3" t="s">
        <v>1729</v>
      </c>
      <c r="D804" s="3" t="s">
        <v>1730</v>
      </c>
      <c r="E804" s="3" t="s">
        <v>2251</v>
      </c>
      <c r="F804" s="4" t="s">
        <v>537</v>
      </c>
      <c r="G804" s="4" t="s">
        <v>538</v>
      </c>
    </row>
    <row r="805" spans="1:7" ht="15.75" customHeight="1">
      <c r="A805" s="5">
        <v>222154657</v>
      </c>
      <c r="B805" s="6" t="s">
        <v>1813</v>
      </c>
      <c r="C805" s="5" t="s">
        <v>1814</v>
      </c>
      <c r="D805" s="5">
        <v>79166725212</v>
      </c>
      <c r="E805" s="5" t="s">
        <v>2252</v>
      </c>
      <c r="F805" s="6" t="s">
        <v>561</v>
      </c>
      <c r="G805" s="6" t="s">
        <v>538</v>
      </c>
    </row>
    <row r="806" spans="1:7" ht="15.75" customHeight="1">
      <c r="A806" s="3">
        <v>230464575</v>
      </c>
      <c r="B806" s="4" t="s">
        <v>2253</v>
      </c>
      <c r="C806" s="3" t="s">
        <v>2254</v>
      </c>
      <c r="D806" s="3" t="s">
        <v>2255</v>
      </c>
      <c r="E806" s="3" t="s">
        <v>2256</v>
      </c>
      <c r="F806" s="4" t="s">
        <v>537</v>
      </c>
      <c r="G806" s="4" t="s">
        <v>538</v>
      </c>
    </row>
    <row r="807" spans="1:7" ht="15.75" customHeight="1">
      <c r="A807" s="5">
        <v>214451896</v>
      </c>
      <c r="B807" s="6" t="s">
        <v>2257</v>
      </c>
      <c r="C807" s="5" t="s">
        <v>2258</v>
      </c>
      <c r="D807" s="5" t="s">
        <v>2259</v>
      </c>
      <c r="E807" s="5" t="s">
        <v>2260</v>
      </c>
      <c r="F807" s="6" t="s">
        <v>537</v>
      </c>
      <c r="G807" s="6" t="s">
        <v>538</v>
      </c>
    </row>
    <row r="808" spans="1:7" ht="15.75" customHeight="1">
      <c r="A808" s="3">
        <v>214424208</v>
      </c>
      <c r="B808" s="4" t="s">
        <v>1946</v>
      </c>
      <c r="C808" s="3" t="s">
        <v>1947</v>
      </c>
      <c r="D808" s="3" t="s">
        <v>1948</v>
      </c>
      <c r="E808" s="3" t="s">
        <v>2261</v>
      </c>
      <c r="F808" s="4" t="s">
        <v>537</v>
      </c>
      <c r="G808" s="4" t="s">
        <v>538</v>
      </c>
    </row>
    <row r="809" spans="1:7" ht="15.75" customHeight="1">
      <c r="A809" s="5">
        <v>223346041</v>
      </c>
      <c r="B809" s="6" t="s">
        <v>547</v>
      </c>
      <c r="C809" s="5" t="s">
        <v>1937</v>
      </c>
      <c r="D809" s="5" t="s">
        <v>549</v>
      </c>
      <c r="E809" s="5" t="s">
        <v>2262</v>
      </c>
      <c r="F809" s="6" t="s">
        <v>561</v>
      </c>
      <c r="G809" s="6" t="s">
        <v>538</v>
      </c>
    </row>
    <row r="810" spans="1:7" ht="15.75" customHeight="1">
      <c r="A810" s="3">
        <v>230514203</v>
      </c>
      <c r="B810" s="4" t="s">
        <v>2263</v>
      </c>
      <c r="C810" s="3" t="s">
        <v>2264</v>
      </c>
      <c r="D810" s="3" t="s">
        <v>2265</v>
      </c>
      <c r="E810" s="3" t="s">
        <v>2266</v>
      </c>
      <c r="F810" s="4" t="s">
        <v>537</v>
      </c>
      <c r="G810" s="4" t="s">
        <v>538</v>
      </c>
    </row>
    <row r="811" spans="1:7" ht="15.75" customHeight="1">
      <c r="A811" s="5">
        <v>230524908</v>
      </c>
      <c r="B811" s="6" t="s">
        <v>2267</v>
      </c>
      <c r="C811" s="5" t="s">
        <v>2268</v>
      </c>
      <c r="D811" s="5" t="s">
        <v>2269</v>
      </c>
      <c r="E811" s="5" t="s">
        <v>2270</v>
      </c>
      <c r="F811" s="6" t="s">
        <v>2201</v>
      </c>
      <c r="G811" s="6" t="s">
        <v>2202</v>
      </c>
    </row>
    <row r="812" spans="1:7" ht="15.75" customHeight="1">
      <c r="A812" s="3">
        <v>228784381</v>
      </c>
      <c r="B812" s="4" t="s">
        <v>2168</v>
      </c>
      <c r="C812" s="3" t="s">
        <v>2169</v>
      </c>
      <c r="D812" s="3" t="s">
        <v>2170</v>
      </c>
      <c r="E812" s="3" t="s">
        <v>2271</v>
      </c>
      <c r="F812" s="4" t="s">
        <v>854</v>
      </c>
      <c r="G812" s="4" t="s">
        <v>855</v>
      </c>
    </row>
    <row r="813" spans="1:7" ht="15.75" customHeight="1">
      <c r="A813" s="5">
        <v>230552571</v>
      </c>
      <c r="B813" s="6" t="s">
        <v>2272</v>
      </c>
      <c r="C813" s="5" t="s">
        <v>2273</v>
      </c>
      <c r="D813" s="5" t="s">
        <v>2274</v>
      </c>
      <c r="E813" s="5" t="s">
        <v>2275</v>
      </c>
      <c r="F813" s="6" t="s">
        <v>537</v>
      </c>
      <c r="G813" s="6" t="s">
        <v>538</v>
      </c>
    </row>
    <row r="814" spans="1:7" ht="15.75" customHeight="1">
      <c r="A814" s="3">
        <v>230554310</v>
      </c>
      <c r="B814" s="4" t="s">
        <v>2276</v>
      </c>
      <c r="C814" s="3" t="s">
        <v>2277</v>
      </c>
      <c r="D814" s="3" t="s">
        <v>2278</v>
      </c>
      <c r="E814" s="3" t="s">
        <v>2279</v>
      </c>
      <c r="F814" s="4" t="s">
        <v>537</v>
      </c>
      <c r="G814" s="4" t="s">
        <v>538</v>
      </c>
    </row>
    <row r="815" spans="1:7" ht="15.75" customHeight="1">
      <c r="A815" s="5">
        <v>230556652</v>
      </c>
      <c r="B815" s="6" t="s">
        <v>2280</v>
      </c>
      <c r="C815" s="5" t="s">
        <v>2281</v>
      </c>
      <c r="D815" s="5" t="s">
        <v>2282</v>
      </c>
      <c r="E815" s="5" t="s">
        <v>2283</v>
      </c>
      <c r="F815" s="6" t="s">
        <v>2201</v>
      </c>
      <c r="G815" s="6" t="s">
        <v>2202</v>
      </c>
    </row>
    <row r="816" spans="1:7" ht="15.75" customHeight="1">
      <c r="A816" s="3">
        <v>230565863</v>
      </c>
      <c r="B816" s="4" t="s">
        <v>2284</v>
      </c>
      <c r="C816" s="3" t="s">
        <v>2285</v>
      </c>
      <c r="D816" s="3" t="s">
        <v>2286</v>
      </c>
      <c r="E816" s="3" t="s">
        <v>2287</v>
      </c>
      <c r="F816" s="4" t="s">
        <v>537</v>
      </c>
      <c r="G816" s="4" t="s">
        <v>538</v>
      </c>
    </row>
    <row r="817" spans="1:7" ht="15.75" customHeight="1">
      <c r="A817" s="5">
        <v>230616879</v>
      </c>
      <c r="B817" s="6" t="s">
        <v>2288</v>
      </c>
      <c r="C817" s="5" t="s">
        <v>2289</v>
      </c>
      <c r="D817" s="5">
        <v>79112424205</v>
      </c>
      <c r="E817" s="5" t="s">
        <v>2290</v>
      </c>
      <c r="F817" s="6" t="s">
        <v>537</v>
      </c>
      <c r="G817" s="6" t="s">
        <v>538</v>
      </c>
    </row>
    <row r="818" spans="1:7" ht="15.75" customHeight="1">
      <c r="A818" s="3">
        <v>230634756</v>
      </c>
      <c r="B818" s="4" t="s">
        <v>1991</v>
      </c>
      <c r="C818" s="3" t="s">
        <v>2291</v>
      </c>
      <c r="D818" s="3" t="s">
        <v>1608</v>
      </c>
      <c r="E818" s="3" t="s">
        <v>2292</v>
      </c>
      <c r="F818" s="4" t="s">
        <v>537</v>
      </c>
      <c r="G818" s="4" t="s">
        <v>538</v>
      </c>
    </row>
    <row r="819" spans="1:7" ht="15.75" customHeight="1">
      <c r="A819" s="5">
        <v>230668885</v>
      </c>
      <c r="B819" s="6" t="s">
        <v>2293</v>
      </c>
      <c r="C819" s="5" t="s">
        <v>2294</v>
      </c>
      <c r="D819" s="5" t="s">
        <v>2295</v>
      </c>
      <c r="E819" s="5" t="s">
        <v>2296</v>
      </c>
      <c r="F819" s="6" t="s">
        <v>936</v>
      </c>
      <c r="G819" s="6" t="s">
        <v>937</v>
      </c>
    </row>
    <row r="820" spans="1:7" ht="15.75" customHeight="1">
      <c r="A820" s="3">
        <v>230823952</v>
      </c>
      <c r="B820" s="4" t="s">
        <v>2297</v>
      </c>
      <c r="C820" s="3" t="s">
        <v>2298</v>
      </c>
      <c r="D820" s="3">
        <v>79326221439</v>
      </c>
      <c r="E820" s="3" t="s">
        <v>2299</v>
      </c>
      <c r="F820" s="4" t="s">
        <v>537</v>
      </c>
      <c r="G820" s="4" t="s">
        <v>538</v>
      </c>
    </row>
    <row r="821" spans="1:7" ht="15.75" customHeight="1">
      <c r="A821" s="5">
        <v>230925679</v>
      </c>
      <c r="B821" s="6" t="s">
        <v>2300</v>
      </c>
      <c r="C821" s="5" t="s">
        <v>2301</v>
      </c>
      <c r="D821" s="5">
        <v>293035220</v>
      </c>
      <c r="E821" s="5" t="s">
        <v>2302</v>
      </c>
      <c r="F821" s="6" t="s">
        <v>2201</v>
      </c>
      <c r="G821" s="6" t="s">
        <v>2202</v>
      </c>
    </row>
    <row r="822" spans="1:7" ht="15.75" customHeight="1">
      <c r="A822" s="3">
        <v>230929461</v>
      </c>
      <c r="B822" s="4" t="s">
        <v>2303</v>
      </c>
      <c r="C822" s="3" t="s">
        <v>2304</v>
      </c>
      <c r="D822" s="3" t="s">
        <v>2305</v>
      </c>
      <c r="E822" s="3" t="s">
        <v>2306</v>
      </c>
      <c r="F822" s="4" t="s">
        <v>70</v>
      </c>
      <c r="G822" s="4" t="s">
        <v>71</v>
      </c>
    </row>
    <row r="823" spans="1:7" ht="15.75" customHeight="1">
      <c r="A823" s="5">
        <v>230964263</v>
      </c>
      <c r="B823" s="6" t="s">
        <v>2307</v>
      </c>
      <c r="C823" s="5" t="s">
        <v>2308</v>
      </c>
      <c r="D823" s="5">
        <v>79101491131</v>
      </c>
      <c r="E823" s="5" t="s">
        <v>2309</v>
      </c>
      <c r="F823" s="6" t="s">
        <v>537</v>
      </c>
      <c r="G823" s="6" t="s">
        <v>538</v>
      </c>
    </row>
    <row r="824" spans="1:7" ht="15.75" customHeight="1">
      <c r="A824" s="3">
        <v>223272243</v>
      </c>
      <c r="B824" s="4" t="s">
        <v>1920</v>
      </c>
      <c r="C824" s="3" t="s">
        <v>1921</v>
      </c>
      <c r="D824" s="3" t="s">
        <v>1922</v>
      </c>
      <c r="E824" s="3" t="s">
        <v>2310</v>
      </c>
      <c r="F824" s="4" t="s">
        <v>537</v>
      </c>
      <c r="G824" s="4" t="s">
        <v>538</v>
      </c>
    </row>
    <row r="825" spans="1:7" ht="15.75" customHeight="1">
      <c r="A825" s="5">
        <v>230993799</v>
      </c>
      <c r="B825" s="6" t="s">
        <v>2311</v>
      </c>
      <c r="C825" s="5" t="s">
        <v>2312</v>
      </c>
      <c r="D825" s="5">
        <v>79196273821</v>
      </c>
      <c r="E825" s="5" t="s">
        <v>2313</v>
      </c>
      <c r="F825" s="6" t="s">
        <v>537</v>
      </c>
      <c r="G825" s="6" t="s">
        <v>538</v>
      </c>
    </row>
    <row r="826" spans="1:7" ht="15.75" customHeight="1">
      <c r="A826" s="3">
        <v>231013984</v>
      </c>
      <c r="B826" s="4" t="s">
        <v>2314</v>
      </c>
      <c r="C826" s="3" t="s">
        <v>2315</v>
      </c>
      <c r="D826" s="3" t="s">
        <v>2316</v>
      </c>
      <c r="E826" s="3" t="s">
        <v>2317</v>
      </c>
      <c r="F826" s="4" t="s">
        <v>537</v>
      </c>
      <c r="G826" s="4" t="s">
        <v>538</v>
      </c>
    </row>
    <row r="827" spans="1:7" ht="15.75" customHeight="1">
      <c r="A827" s="5">
        <v>231027955</v>
      </c>
      <c r="B827" s="6" t="s">
        <v>2318</v>
      </c>
      <c r="C827" s="5" t="s">
        <v>2319</v>
      </c>
      <c r="D827" s="5" t="s">
        <v>2320</v>
      </c>
      <c r="E827" s="5" t="s">
        <v>2321</v>
      </c>
      <c r="F827" s="6" t="s">
        <v>420</v>
      </c>
      <c r="G827" s="6" t="s">
        <v>421</v>
      </c>
    </row>
    <row r="828" spans="1:7" ht="15.75" customHeight="1">
      <c r="A828" s="3">
        <v>231049169</v>
      </c>
      <c r="B828" s="4" t="s">
        <v>2322</v>
      </c>
      <c r="C828" s="3" t="s">
        <v>2323</v>
      </c>
      <c r="D828" s="3" t="s">
        <v>2324</v>
      </c>
      <c r="E828" s="3" t="s">
        <v>2325</v>
      </c>
      <c r="F828" s="4" t="s">
        <v>537</v>
      </c>
      <c r="G828" s="4" t="s">
        <v>538</v>
      </c>
    </row>
    <row r="829" spans="1:7" ht="15.75" customHeight="1">
      <c r="A829" s="5">
        <v>222829047</v>
      </c>
      <c r="B829" s="6" t="s">
        <v>1878</v>
      </c>
      <c r="C829" s="5" t="s">
        <v>1879</v>
      </c>
      <c r="D829" s="5" t="s">
        <v>1880</v>
      </c>
      <c r="E829" s="5" t="s">
        <v>2326</v>
      </c>
      <c r="F829" s="6" t="s">
        <v>55</v>
      </c>
      <c r="G829" s="6" t="s">
        <v>56</v>
      </c>
    </row>
    <row r="830" spans="1:7" ht="15.75" customHeight="1">
      <c r="A830" s="3">
        <v>211485115</v>
      </c>
      <c r="B830" s="4" t="s">
        <v>1724</v>
      </c>
      <c r="C830" s="3" t="s">
        <v>1725</v>
      </c>
      <c r="D830" s="3" t="s">
        <v>1726</v>
      </c>
      <c r="E830" s="3" t="s">
        <v>2327</v>
      </c>
      <c r="F830" s="4" t="s">
        <v>561</v>
      </c>
      <c r="G830" s="4" t="s">
        <v>538</v>
      </c>
    </row>
    <row r="831" spans="1:7" ht="15.75" customHeight="1">
      <c r="A831" s="5">
        <v>231101457</v>
      </c>
      <c r="B831" s="6" t="s">
        <v>2328</v>
      </c>
      <c r="C831" s="5" t="s">
        <v>2329</v>
      </c>
      <c r="D831" s="5" t="s">
        <v>2330</v>
      </c>
      <c r="E831" s="5" t="s">
        <v>2331</v>
      </c>
      <c r="F831" s="6" t="s">
        <v>537</v>
      </c>
      <c r="G831" s="6" t="s">
        <v>538</v>
      </c>
    </row>
    <row r="832" spans="1:7" ht="15.75" customHeight="1">
      <c r="A832" s="3">
        <v>231135202</v>
      </c>
      <c r="B832" s="4" t="s">
        <v>2332</v>
      </c>
      <c r="C832" s="3" t="s">
        <v>2333</v>
      </c>
      <c r="D832" s="3" t="s">
        <v>2334</v>
      </c>
      <c r="E832" s="3" t="s">
        <v>2335</v>
      </c>
      <c r="F832" s="4" t="s">
        <v>537</v>
      </c>
      <c r="G832" s="4" t="s">
        <v>538</v>
      </c>
    </row>
    <row r="833" spans="1:7" ht="15.75" customHeight="1">
      <c r="A833" s="5">
        <v>231210996</v>
      </c>
      <c r="B833" s="6" t="s">
        <v>2336</v>
      </c>
      <c r="C833" s="5" t="s">
        <v>2337</v>
      </c>
      <c r="D833" s="5" t="s">
        <v>2338</v>
      </c>
      <c r="E833" s="5" t="s">
        <v>2339</v>
      </c>
      <c r="F833" s="6" t="s">
        <v>537</v>
      </c>
      <c r="G833" s="6" t="s">
        <v>538</v>
      </c>
    </row>
    <row r="834" spans="1:7" ht="15.75" customHeight="1">
      <c r="A834" s="3">
        <v>225479898</v>
      </c>
      <c r="B834" s="4" t="s">
        <v>2010</v>
      </c>
      <c r="C834" s="3" t="s">
        <v>2011</v>
      </c>
      <c r="D834" s="3" t="s">
        <v>2012</v>
      </c>
      <c r="E834" s="3" t="s">
        <v>2340</v>
      </c>
      <c r="F834" s="4" t="s">
        <v>537</v>
      </c>
      <c r="G834" s="4" t="s">
        <v>538</v>
      </c>
    </row>
    <row r="835" spans="1:7" ht="15.75" customHeight="1">
      <c r="A835" s="5">
        <v>225624224</v>
      </c>
      <c r="B835" s="6" t="s">
        <v>2022</v>
      </c>
      <c r="C835" s="5" t="s">
        <v>2023</v>
      </c>
      <c r="D835" s="5">
        <v>939977835</v>
      </c>
      <c r="E835" s="5" t="s">
        <v>2341</v>
      </c>
      <c r="F835" s="6" t="s">
        <v>2342</v>
      </c>
      <c r="G835" s="6" t="s">
        <v>2343</v>
      </c>
    </row>
    <row r="836" spans="1:7" ht="15.75" customHeight="1">
      <c r="A836" s="3">
        <v>230552571</v>
      </c>
      <c r="B836" s="4" t="s">
        <v>2272</v>
      </c>
      <c r="C836" s="3" t="s">
        <v>2273</v>
      </c>
      <c r="D836" s="3" t="s">
        <v>2274</v>
      </c>
      <c r="E836" s="3" t="s">
        <v>2344</v>
      </c>
      <c r="F836" s="4" t="s">
        <v>2342</v>
      </c>
      <c r="G836" s="4" t="s">
        <v>2343</v>
      </c>
    </row>
    <row r="837" spans="1:7" ht="15.75" customHeight="1">
      <c r="A837" s="5">
        <v>231270756</v>
      </c>
      <c r="B837" s="6" t="s">
        <v>2345</v>
      </c>
      <c r="C837" s="5" t="s">
        <v>2346</v>
      </c>
      <c r="D837" s="5"/>
      <c r="E837" s="5" t="s">
        <v>2347</v>
      </c>
      <c r="F837" s="6" t="s">
        <v>2342</v>
      </c>
      <c r="G837" s="6" t="s">
        <v>2343</v>
      </c>
    </row>
    <row r="838" spans="1:7" ht="15.75" customHeight="1">
      <c r="A838" s="3">
        <v>194264653</v>
      </c>
      <c r="B838" s="4" t="s">
        <v>2348</v>
      </c>
      <c r="C838" s="3" t="s">
        <v>2349</v>
      </c>
      <c r="D838" s="3" t="s">
        <v>2350</v>
      </c>
      <c r="E838" s="3" t="s">
        <v>2351</v>
      </c>
      <c r="F838" s="4" t="s">
        <v>537</v>
      </c>
      <c r="G838" s="4" t="s">
        <v>538</v>
      </c>
    </row>
    <row r="839" spans="1:7" ht="15.75" customHeight="1">
      <c r="A839" s="5">
        <v>231296818</v>
      </c>
      <c r="B839" s="6" t="s">
        <v>2352</v>
      </c>
      <c r="C839" s="5" t="s">
        <v>2353</v>
      </c>
      <c r="D839" s="5" t="s">
        <v>2354</v>
      </c>
      <c r="E839" s="5" t="s">
        <v>2355</v>
      </c>
      <c r="F839" s="6" t="s">
        <v>537</v>
      </c>
      <c r="G839" s="6" t="s">
        <v>538</v>
      </c>
    </row>
    <row r="840" spans="1:7" ht="15.75" customHeight="1">
      <c r="A840" s="3">
        <v>231304484</v>
      </c>
      <c r="B840" s="4" t="s">
        <v>2356</v>
      </c>
      <c r="C840" s="3" t="s">
        <v>2357</v>
      </c>
      <c r="D840" s="3" t="s">
        <v>2358</v>
      </c>
      <c r="E840" s="3" t="s">
        <v>2359</v>
      </c>
      <c r="F840" s="4" t="s">
        <v>2342</v>
      </c>
      <c r="G840" s="4" t="s">
        <v>2343</v>
      </c>
    </row>
    <row r="841" spans="1:7" ht="15.75" customHeight="1">
      <c r="A841" s="5">
        <v>225624224</v>
      </c>
      <c r="B841" s="6" t="s">
        <v>2022</v>
      </c>
      <c r="C841" s="5" t="s">
        <v>2023</v>
      </c>
      <c r="D841" s="5">
        <v>939977835</v>
      </c>
      <c r="E841" s="5" t="s">
        <v>2360</v>
      </c>
      <c r="F841" s="6" t="s">
        <v>2342</v>
      </c>
      <c r="G841" s="6" t="s">
        <v>2343</v>
      </c>
    </row>
    <row r="842" spans="1:7" ht="15.75" customHeight="1">
      <c r="A842" s="3">
        <v>219479156</v>
      </c>
      <c r="B842" s="4" t="s">
        <v>1674</v>
      </c>
      <c r="C842" s="3" t="s">
        <v>1675</v>
      </c>
      <c r="D842" s="3" t="s">
        <v>1676</v>
      </c>
      <c r="E842" s="3" t="s">
        <v>2361</v>
      </c>
      <c r="F842" s="4" t="s">
        <v>570</v>
      </c>
      <c r="G842" s="4" t="s">
        <v>571</v>
      </c>
    </row>
    <row r="843" spans="1:7" ht="15.75" customHeight="1">
      <c r="A843" s="5">
        <v>231460922</v>
      </c>
      <c r="B843" s="6" t="s">
        <v>2362</v>
      </c>
      <c r="C843" s="5" t="s">
        <v>2363</v>
      </c>
      <c r="D843" s="5">
        <v>79261808929</v>
      </c>
      <c r="E843" s="5" t="s">
        <v>2364</v>
      </c>
      <c r="F843" s="6" t="s">
        <v>537</v>
      </c>
      <c r="G843" s="6" t="s">
        <v>538</v>
      </c>
    </row>
    <row r="844" spans="1:7" ht="15.75" customHeight="1">
      <c r="A844" s="3">
        <v>218481211</v>
      </c>
      <c r="B844" s="4" t="s">
        <v>1621</v>
      </c>
      <c r="C844" s="3" t="s">
        <v>1622</v>
      </c>
      <c r="D844" s="3" t="s">
        <v>1623</v>
      </c>
      <c r="E844" s="3" t="s">
        <v>2365</v>
      </c>
      <c r="F844" s="4" t="s">
        <v>854</v>
      </c>
      <c r="G844" s="4" t="s">
        <v>855</v>
      </c>
    </row>
    <row r="845" spans="1:7" ht="15.75" customHeight="1">
      <c r="A845" s="5">
        <v>230452624</v>
      </c>
      <c r="B845" s="6" t="s">
        <v>2247</v>
      </c>
      <c r="C845" s="5" t="s">
        <v>2248</v>
      </c>
      <c r="D845" s="5" t="s">
        <v>2249</v>
      </c>
      <c r="E845" s="5" t="s">
        <v>2366</v>
      </c>
      <c r="F845" s="6" t="s">
        <v>590</v>
      </c>
      <c r="G845" s="6" t="s">
        <v>591</v>
      </c>
    </row>
    <row r="846" spans="1:7" ht="15.75" customHeight="1">
      <c r="A846" s="3">
        <v>183188282</v>
      </c>
      <c r="B846" s="4" t="s">
        <v>2367</v>
      </c>
      <c r="C846" s="3" t="s">
        <v>2368</v>
      </c>
      <c r="D846" s="3">
        <v>79823069197</v>
      </c>
      <c r="E846" s="3" t="s">
        <v>2369</v>
      </c>
      <c r="F846" s="4" t="s">
        <v>570</v>
      </c>
      <c r="G846" s="4" t="s">
        <v>571</v>
      </c>
    </row>
    <row r="847" spans="1:7" ht="15.75" customHeight="1">
      <c r="A847" s="5">
        <v>225647525</v>
      </c>
      <c r="B847" s="6" t="s">
        <v>2028</v>
      </c>
      <c r="C847" s="5" t="s">
        <v>2029</v>
      </c>
      <c r="D847" s="5">
        <v>79143160499</v>
      </c>
      <c r="E847" s="5" t="s">
        <v>2370</v>
      </c>
      <c r="F847" s="6" t="s">
        <v>607</v>
      </c>
      <c r="G847" s="6" t="s">
        <v>608</v>
      </c>
    </row>
    <row r="848" spans="1:7" ht="15.75" customHeight="1">
      <c r="A848" s="3">
        <v>225175177</v>
      </c>
      <c r="B848" s="4" t="s">
        <v>2002</v>
      </c>
      <c r="C848" s="3" t="s">
        <v>2003</v>
      </c>
      <c r="D848" s="3" t="s">
        <v>2004</v>
      </c>
      <c r="E848" s="3" t="s">
        <v>2371</v>
      </c>
      <c r="F848" s="4" t="s">
        <v>607</v>
      </c>
      <c r="G848" s="4" t="s">
        <v>608</v>
      </c>
    </row>
    <row r="849" spans="1:7" ht="15.75" customHeight="1">
      <c r="A849" s="5">
        <v>227211947</v>
      </c>
      <c r="B849" s="6" t="s">
        <v>2059</v>
      </c>
      <c r="C849" s="5" t="s">
        <v>2060</v>
      </c>
      <c r="D849" s="5" t="s">
        <v>2061</v>
      </c>
      <c r="E849" s="5" t="s">
        <v>2372</v>
      </c>
      <c r="F849" s="6" t="s">
        <v>537</v>
      </c>
      <c r="G849" s="6" t="s">
        <v>538</v>
      </c>
    </row>
    <row r="850" spans="1:7" ht="15.75" customHeight="1">
      <c r="A850" s="3">
        <v>199540857</v>
      </c>
      <c r="B850" s="4" t="s">
        <v>1585</v>
      </c>
      <c r="C850" s="3" t="s">
        <v>1586</v>
      </c>
      <c r="D850" s="3" t="s">
        <v>1587</v>
      </c>
      <c r="E850" s="3" t="s">
        <v>2373</v>
      </c>
      <c r="F850" s="4" t="s">
        <v>570</v>
      </c>
      <c r="G850" s="4" t="s">
        <v>571</v>
      </c>
    </row>
    <row r="851" spans="1:7" ht="15.75" customHeight="1">
      <c r="A851" s="5">
        <v>218481211</v>
      </c>
      <c r="B851" s="6" t="s">
        <v>1621</v>
      </c>
      <c r="C851" s="5" t="s">
        <v>1622</v>
      </c>
      <c r="D851" s="5" t="s">
        <v>1623</v>
      </c>
      <c r="E851" s="5" t="s">
        <v>2374</v>
      </c>
      <c r="F851" s="6" t="s">
        <v>444</v>
      </c>
      <c r="G851" s="6" t="s">
        <v>445</v>
      </c>
    </row>
    <row r="852" spans="1:7" ht="15.75" customHeight="1">
      <c r="A852" s="3">
        <v>207574983</v>
      </c>
      <c r="B852" s="4" t="s">
        <v>1798</v>
      </c>
      <c r="C852" s="3" t="s">
        <v>1799</v>
      </c>
      <c r="D852" s="3" t="s">
        <v>1800</v>
      </c>
      <c r="E852" s="3" t="s">
        <v>2375</v>
      </c>
      <c r="F852" s="4" t="s">
        <v>570</v>
      </c>
      <c r="G852" s="4" t="s">
        <v>571</v>
      </c>
    </row>
    <row r="853" spans="1:7" ht="15.75" customHeight="1">
      <c r="A853" s="5">
        <v>226865603</v>
      </c>
      <c r="B853" s="6" t="s">
        <v>2040</v>
      </c>
      <c r="C853" s="5" t="s">
        <v>2041</v>
      </c>
      <c r="D853" s="5" t="s">
        <v>2042</v>
      </c>
      <c r="E853" s="5" t="s">
        <v>2376</v>
      </c>
      <c r="F853" s="6" t="s">
        <v>746</v>
      </c>
      <c r="G853" s="6" t="s">
        <v>369</v>
      </c>
    </row>
    <row r="854" spans="1:7" ht="15.75" customHeight="1">
      <c r="A854" s="3">
        <v>223308391</v>
      </c>
      <c r="B854" s="4" t="s">
        <v>1932</v>
      </c>
      <c r="C854" s="3" t="s">
        <v>1933</v>
      </c>
      <c r="D854" s="3" t="s">
        <v>1934</v>
      </c>
      <c r="E854" s="3" t="s">
        <v>2377</v>
      </c>
      <c r="F854" s="4" t="s">
        <v>635</v>
      </c>
      <c r="G854" s="4" t="s">
        <v>636</v>
      </c>
    </row>
    <row r="855" spans="1:7" ht="15.75" customHeight="1">
      <c r="A855" s="5">
        <v>225583195</v>
      </c>
      <c r="B855" s="6" t="s">
        <v>2017</v>
      </c>
      <c r="C855" s="5" t="s">
        <v>2018</v>
      </c>
      <c r="D855" s="5" t="s">
        <v>2019</v>
      </c>
      <c r="E855" s="5" t="s">
        <v>2378</v>
      </c>
      <c r="F855" s="6" t="s">
        <v>607</v>
      </c>
      <c r="G855" s="6" t="s">
        <v>608</v>
      </c>
    </row>
    <row r="856" spans="1:7" ht="15.75" customHeight="1">
      <c r="A856" s="3">
        <v>182551160</v>
      </c>
      <c r="B856" s="4" t="s">
        <v>1595</v>
      </c>
      <c r="C856" s="3" t="s">
        <v>1596</v>
      </c>
      <c r="D856" s="3" t="s">
        <v>1597</v>
      </c>
      <c r="E856" s="3" t="s">
        <v>2379</v>
      </c>
      <c r="F856" s="4" t="s">
        <v>2380</v>
      </c>
      <c r="G856" s="4" t="s">
        <v>56</v>
      </c>
    </row>
    <row r="857" spans="1:7" ht="15.75" customHeight="1">
      <c r="A857" s="5">
        <v>214603233</v>
      </c>
      <c r="B857" s="6" t="s">
        <v>1708</v>
      </c>
      <c r="C857" s="5" t="s">
        <v>1709</v>
      </c>
      <c r="D857" s="5" t="s">
        <v>1710</v>
      </c>
      <c r="E857" s="5" t="s">
        <v>2381</v>
      </c>
      <c r="F857" s="6" t="s">
        <v>570</v>
      </c>
      <c r="G857" s="6" t="s">
        <v>571</v>
      </c>
    </row>
    <row r="858" spans="1:7" ht="15.75" customHeight="1">
      <c r="A858" s="3">
        <v>187156845</v>
      </c>
      <c r="B858" s="4" t="s">
        <v>2382</v>
      </c>
      <c r="C858" s="3" t="s">
        <v>2383</v>
      </c>
      <c r="D858" s="3" t="s">
        <v>2384</v>
      </c>
      <c r="E858" s="3" t="s">
        <v>2385</v>
      </c>
      <c r="F858" s="4" t="s">
        <v>537</v>
      </c>
      <c r="G858" s="4" t="s">
        <v>538</v>
      </c>
    </row>
    <row r="859" spans="1:7" ht="15.75" customHeight="1">
      <c r="A859" s="5">
        <v>217732612</v>
      </c>
      <c r="B859" s="6" t="s">
        <v>1561</v>
      </c>
      <c r="C859" s="5" t="s">
        <v>1562</v>
      </c>
      <c r="D859" s="5" t="s">
        <v>1563</v>
      </c>
      <c r="E859" s="5" t="s">
        <v>2386</v>
      </c>
      <c r="F859" s="6" t="s">
        <v>561</v>
      </c>
      <c r="G859" s="6" t="s">
        <v>538</v>
      </c>
    </row>
    <row r="860" spans="1:7" ht="15.75" customHeight="1">
      <c r="A860" s="3">
        <v>217732612</v>
      </c>
      <c r="B860" s="4" t="s">
        <v>1561</v>
      </c>
      <c r="C860" s="3" t="s">
        <v>1562</v>
      </c>
      <c r="D860" s="3" t="s">
        <v>1563</v>
      </c>
      <c r="E860" s="3" t="s">
        <v>2387</v>
      </c>
      <c r="F860" s="4" t="s">
        <v>623</v>
      </c>
      <c r="G860" s="4" t="s">
        <v>624</v>
      </c>
    </row>
    <row r="861" spans="1:7" ht="15.75" customHeight="1">
      <c r="A861" s="5">
        <v>199540857</v>
      </c>
      <c r="B861" s="6" t="s">
        <v>1585</v>
      </c>
      <c r="C861" s="5" t="s">
        <v>1586</v>
      </c>
      <c r="D861" s="5" t="s">
        <v>1587</v>
      </c>
      <c r="E861" s="5" t="s">
        <v>2388</v>
      </c>
      <c r="F861" s="6" t="s">
        <v>55</v>
      </c>
      <c r="G861" s="6" t="s">
        <v>56</v>
      </c>
    </row>
    <row r="862" spans="1:7" ht="15.75" customHeight="1">
      <c r="A862" s="3">
        <v>225175177</v>
      </c>
      <c r="B862" s="4" t="s">
        <v>2002</v>
      </c>
      <c r="C862" s="3" t="s">
        <v>2003</v>
      </c>
      <c r="D862" s="3" t="s">
        <v>2004</v>
      </c>
      <c r="E862" s="3" t="s">
        <v>2389</v>
      </c>
      <c r="F862" s="4" t="s">
        <v>607</v>
      </c>
      <c r="G862" s="4" t="s">
        <v>608</v>
      </c>
    </row>
    <row r="863" spans="1:7" ht="15.75" customHeight="1">
      <c r="A863" s="5">
        <v>182551160</v>
      </c>
      <c r="B863" s="6" t="s">
        <v>1595</v>
      </c>
      <c r="C863" s="5" t="s">
        <v>1596</v>
      </c>
      <c r="D863" s="5" t="s">
        <v>1597</v>
      </c>
      <c r="E863" s="5" t="s">
        <v>2390</v>
      </c>
      <c r="F863" s="6" t="s">
        <v>537</v>
      </c>
      <c r="G863" s="6" t="s">
        <v>538</v>
      </c>
    </row>
    <row r="864" spans="1:7" ht="15.75" customHeight="1">
      <c r="A864" s="3">
        <v>230293748</v>
      </c>
      <c r="B864" s="4" t="s">
        <v>2226</v>
      </c>
      <c r="C864" s="3" t="s">
        <v>2227</v>
      </c>
      <c r="D864" s="3" t="s">
        <v>2228</v>
      </c>
      <c r="E864" s="3" t="s">
        <v>2391</v>
      </c>
      <c r="F864" s="4" t="s">
        <v>570</v>
      </c>
      <c r="G864" s="4" t="s">
        <v>571</v>
      </c>
    </row>
    <row r="865" spans="1:7" ht="15.75" customHeight="1">
      <c r="A865" s="5">
        <v>212073210</v>
      </c>
      <c r="B865" s="6" t="s">
        <v>2392</v>
      </c>
      <c r="C865" s="5" t="s">
        <v>2393</v>
      </c>
      <c r="D865" s="5">
        <v>79138211306</v>
      </c>
      <c r="E865" s="5" t="s">
        <v>2394</v>
      </c>
      <c r="F865" s="6" t="s">
        <v>561</v>
      </c>
      <c r="G865" s="6" t="s">
        <v>538</v>
      </c>
    </row>
    <row r="866" spans="1:7" ht="15.75" customHeight="1">
      <c r="A866" s="3">
        <v>191530974</v>
      </c>
      <c r="B866" s="4" t="s">
        <v>1809</v>
      </c>
      <c r="C866" s="3" t="s">
        <v>1810</v>
      </c>
      <c r="D866" s="3" t="s">
        <v>1811</v>
      </c>
      <c r="E866" s="3" t="s">
        <v>2395</v>
      </c>
      <c r="F866" s="4" t="s">
        <v>570</v>
      </c>
      <c r="G866" s="4" t="s">
        <v>571</v>
      </c>
    </row>
    <row r="867" spans="1:7" ht="15.75" customHeight="1">
      <c r="A867" s="5">
        <v>223346041</v>
      </c>
      <c r="B867" s="6" t="s">
        <v>547</v>
      </c>
      <c r="C867" s="5" t="s">
        <v>1937</v>
      </c>
      <c r="D867" s="5" t="s">
        <v>549</v>
      </c>
      <c r="E867" s="5" t="s">
        <v>2396</v>
      </c>
      <c r="F867" s="6" t="s">
        <v>561</v>
      </c>
      <c r="G867" s="6" t="s">
        <v>538</v>
      </c>
    </row>
    <row r="868" spans="1:7" ht="15.75" customHeight="1">
      <c r="A868" s="3">
        <v>230293748</v>
      </c>
      <c r="B868" s="4" t="s">
        <v>2226</v>
      </c>
      <c r="C868" s="3" t="s">
        <v>2227</v>
      </c>
      <c r="D868" s="3" t="s">
        <v>2228</v>
      </c>
      <c r="E868" s="3" t="s">
        <v>2397</v>
      </c>
      <c r="F868" s="4" t="s">
        <v>537</v>
      </c>
      <c r="G868" s="4" t="s">
        <v>538</v>
      </c>
    </row>
    <row r="869" spans="1:7" ht="15.75" customHeight="1">
      <c r="A869" s="5">
        <v>230012489</v>
      </c>
      <c r="B869" s="6" t="s">
        <v>2212</v>
      </c>
      <c r="C869" s="5" t="s">
        <v>2213</v>
      </c>
      <c r="D869" s="5" t="s">
        <v>2214</v>
      </c>
      <c r="E869" s="5" t="s">
        <v>2398</v>
      </c>
      <c r="F869" s="6" t="s">
        <v>444</v>
      </c>
      <c r="G869" s="6" t="s">
        <v>445</v>
      </c>
    </row>
    <row r="870" spans="1:7" ht="15.75" customHeight="1">
      <c r="A870" s="3">
        <v>222533650</v>
      </c>
      <c r="B870" s="4" t="s">
        <v>1848</v>
      </c>
      <c r="C870" s="3" t="s">
        <v>1849</v>
      </c>
      <c r="D870" s="3" t="s">
        <v>1850</v>
      </c>
      <c r="E870" s="3" t="s">
        <v>2399</v>
      </c>
      <c r="F870" s="4" t="s">
        <v>537</v>
      </c>
      <c r="G870" s="4" t="s">
        <v>538</v>
      </c>
    </row>
    <row r="871" spans="1:7" ht="15.75" customHeight="1">
      <c r="A871" s="5">
        <v>231210996</v>
      </c>
      <c r="B871" s="6" t="s">
        <v>2336</v>
      </c>
      <c r="C871" s="5" t="s">
        <v>2337</v>
      </c>
      <c r="D871" s="5" t="s">
        <v>2338</v>
      </c>
      <c r="E871" s="5" t="s">
        <v>2400</v>
      </c>
      <c r="F871" s="6" t="s">
        <v>537</v>
      </c>
      <c r="G871" s="6" t="s">
        <v>538</v>
      </c>
    </row>
    <row r="872" spans="1:7" ht="15.75" customHeight="1">
      <c r="A872" s="3">
        <v>192075904</v>
      </c>
      <c r="B872" s="4" t="s">
        <v>1681</v>
      </c>
      <c r="C872" s="3" t="s">
        <v>1682</v>
      </c>
      <c r="D872" s="3" t="s">
        <v>1683</v>
      </c>
      <c r="E872" s="3" t="s">
        <v>2401</v>
      </c>
      <c r="F872" s="4" t="s">
        <v>570</v>
      </c>
      <c r="G872" s="4" t="s">
        <v>571</v>
      </c>
    </row>
    <row r="873" spans="1:7" ht="15.75" customHeight="1">
      <c r="A873" s="5">
        <v>227799287</v>
      </c>
      <c r="B873" s="6" t="s">
        <v>2097</v>
      </c>
      <c r="C873" s="5" t="s">
        <v>2098</v>
      </c>
      <c r="D873" s="5">
        <v>79257187951</v>
      </c>
      <c r="E873" s="5" t="s">
        <v>2402</v>
      </c>
      <c r="F873" s="6" t="s">
        <v>561</v>
      </c>
      <c r="G873" s="6" t="s">
        <v>538</v>
      </c>
    </row>
    <row r="874" spans="1:7" ht="15.75" customHeight="1">
      <c r="A874" s="3">
        <v>214451896</v>
      </c>
      <c r="B874" s="4" t="s">
        <v>2257</v>
      </c>
      <c r="C874" s="3" t="s">
        <v>2258</v>
      </c>
      <c r="D874" s="3" t="s">
        <v>2259</v>
      </c>
      <c r="E874" s="3" t="s">
        <v>2403</v>
      </c>
      <c r="F874" s="4" t="s">
        <v>537</v>
      </c>
      <c r="G874" s="4" t="s">
        <v>538</v>
      </c>
    </row>
    <row r="875" spans="1:7" ht="15.75" customHeight="1">
      <c r="A875" s="5">
        <v>230552571</v>
      </c>
      <c r="B875" s="6" t="s">
        <v>2272</v>
      </c>
      <c r="C875" s="5" t="s">
        <v>2273</v>
      </c>
      <c r="D875" s="5" t="s">
        <v>2274</v>
      </c>
      <c r="E875" s="5" t="s">
        <v>2404</v>
      </c>
      <c r="F875" s="6" t="s">
        <v>561</v>
      </c>
      <c r="G875" s="6" t="s">
        <v>538</v>
      </c>
    </row>
    <row r="876" spans="1:7" ht="15.75" customHeight="1">
      <c r="A876" s="3">
        <v>199377296</v>
      </c>
      <c r="B876" s="4" t="s">
        <v>1786</v>
      </c>
      <c r="C876" s="3" t="s">
        <v>1787</v>
      </c>
      <c r="D876" s="3" t="s">
        <v>1788</v>
      </c>
      <c r="E876" s="3" t="s">
        <v>2405</v>
      </c>
      <c r="F876" s="4" t="s">
        <v>561</v>
      </c>
      <c r="G876" s="4" t="s">
        <v>538</v>
      </c>
    </row>
    <row r="877" spans="1:7" ht="15.75" customHeight="1">
      <c r="A877" s="5">
        <v>215783905</v>
      </c>
      <c r="B877" s="6" t="s">
        <v>1322</v>
      </c>
      <c r="C877" s="5" t="s">
        <v>1323</v>
      </c>
      <c r="D877" s="5">
        <v>79033992548</v>
      </c>
      <c r="E877" s="5" t="s">
        <v>2406</v>
      </c>
      <c r="F877" s="6" t="s">
        <v>561</v>
      </c>
      <c r="G877" s="6" t="s">
        <v>538</v>
      </c>
    </row>
    <row r="878" spans="1:7" ht="15.75" customHeight="1">
      <c r="A878" s="3">
        <v>227538637</v>
      </c>
      <c r="B878" s="4" t="s">
        <v>2073</v>
      </c>
      <c r="C878" s="3" t="s">
        <v>2074</v>
      </c>
      <c r="D878" s="3" t="s">
        <v>2075</v>
      </c>
      <c r="E878" s="3" t="s">
        <v>2407</v>
      </c>
      <c r="F878" s="4" t="s">
        <v>561</v>
      </c>
      <c r="G878" s="4" t="s">
        <v>538</v>
      </c>
    </row>
    <row r="879" spans="1:7" ht="15.75" customHeight="1">
      <c r="A879" s="5">
        <v>230823952</v>
      </c>
      <c r="B879" s="6" t="s">
        <v>2297</v>
      </c>
      <c r="C879" s="5" t="s">
        <v>2298</v>
      </c>
      <c r="D879" s="5">
        <v>79326221439</v>
      </c>
      <c r="E879" s="5" t="s">
        <v>2408</v>
      </c>
      <c r="F879" s="6" t="s">
        <v>561</v>
      </c>
      <c r="G879" s="6" t="s">
        <v>538</v>
      </c>
    </row>
    <row r="880" spans="1:7" ht="15.75" customHeight="1">
      <c r="A880" s="3">
        <v>231210996</v>
      </c>
      <c r="B880" s="4" t="s">
        <v>2336</v>
      </c>
      <c r="C880" s="3" t="s">
        <v>2337</v>
      </c>
      <c r="D880" s="3" t="s">
        <v>2338</v>
      </c>
      <c r="E880" s="3" t="s">
        <v>2409</v>
      </c>
      <c r="F880" s="4" t="s">
        <v>561</v>
      </c>
      <c r="G880" s="4" t="s">
        <v>538</v>
      </c>
    </row>
    <row r="881" spans="1:7" ht="15.75" customHeight="1">
      <c r="A881" s="5">
        <v>227553509</v>
      </c>
      <c r="B881" s="6" t="s">
        <v>2077</v>
      </c>
      <c r="C881" s="5" t="s">
        <v>2078</v>
      </c>
      <c r="D881" s="5" t="s">
        <v>2079</v>
      </c>
      <c r="E881" s="5" t="s">
        <v>2410</v>
      </c>
      <c r="F881" s="6" t="s">
        <v>561</v>
      </c>
      <c r="G881" s="6" t="s">
        <v>538</v>
      </c>
    </row>
    <row r="882" spans="1:7" ht="15.75" customHeight="1">
      <c r="A882" s="3">
        <v>199308782</v>
      </c>
      <c r="B882" s="4" t="s">
        <v>2411</v>
      </c>
      <c r="C882" s="3" t="s">
        <v>2412</v>
      </c>
      <c r="D882" s="3" t="s">
        <v>2413</v>
      </c>
      <c r="E882" s="3" t="s">
        <v>2414</v>
      </c>
      <c r="F882" s="4" t="s">
        <v>561</v>
      </c>
      <c r="G882" s="4" t="s">
        <v>538</v>
      </c>
    </row>
    <row r="883" spans="1:7" ht="15.75" customHeight="1">
      <c r="A883" s="5">
        <v>220974906</v>
      </c>
      <c r="B883" s="6" t="s">
        <v>1745</v>
      </c>
      <c r="C883" s="5" t="s">
        <v>1746</v>
      </c>
      <c r="D883" s="5" t="s">
        <v>1747</v>
      </c>
      <c r="E883" s="5" t="s">
        <v>2415</v>
      </c>
      <c r="F883" s="6" t="s">
        <v>561</v>
      </c>
      <c r="G883" s="6" t="s">
        <v>538</v>
      </c>
    </row>
    <row r="884" spans="1:7" ht="15.75" customHeight="1">
      <c r="A884" s="3">
        <v>193608902</v>
      </c>
      <c r="B884" s="4" t="s">
        <v>2416</v>
      </c>
      <c r="C884" s="3" t="s">
        <v>2417</v>
      </c>
      <c r="D884" s="3" t="s">
        <v>2418</v>
      </c>
      <c r="E884" s="3" t="s">
        <v>2419</v>
      </c>
      <c r="F884" s="4" t="s">
        <v>537</v>
      </c>
      <c r="G884" s="4" t="s">
        <v>538</v>
      </c>
    </row>
    <row r="885" spans="1:7" ht="15.75" customHeight="1">
      <c r="A885" s="5">
        <v>230293748</v>
      </c>
      <c r="B885" s="6" t="s">
        <v>2226</v>
      </c>
      <c r="C885" s="5" t="s">
        <v>2227</v>
      </c>
      <c r="D885" s="5" t="s">
        <v>2228</v>
      </c>
      <c r="E885" s="5" t="s">
        <v>2420</v>
      </c>
      <c r="F885" s="6" t="s">
        <v>2421</v>
      </c>
      <c r="G885" s="6" t="s">
        <v>2422</v>
      </c>
    </row>
    <row r="886" spans="1:7" ht="15.75" customHeight="1">
      <c r="A886" s="3">
        <v>191530974</v>
      </c>
      <c r="B886" s="4" t="s">
        <v>1809</v>
      </c>
      <c r="C886" s="3" t="s">
        <v>1810</v>
      </c>
      <c r="D886" s="3" t="s">
        <v>1811</v>
      </c>
      <c r="E886" s="3" t="s">
        <v>2423</v>
      </c>
      <c r="F886" s="4" t="s">
        <v>55</v>
      </c>
      <c r="G886" s="4" t="s">
        <v>56</v>
      </c>
    </row>
    <row r="887" spans="1:7" ht="15.75" customHeight="1">
      <c r="A887" s="5">
        <v>212073210</v>
      </c>
      <c r="B887" s="6" t="s">
        <v>2392</v>
      </c>
      <c r="C887" s="5" t="s">
        <v>2393</v>
      </c>
      <c r="D887" s="5">
        <v>79138211306</v>
      </c>
      <c r="E887" s="5" t="s">
        <v>2424</v>
      </c>
      <c r="F887" s="6" t="s">
        <v>2425</v>
      </c>
      <c r="G887" s="6" t="s">
        <v>497</v>
      </c>
    </row>
    <row r="888" spans="1:7" ht="15.75" customHeight="1">
      <c r="A888" s="3">
        <v>225583195</v>
      </c>
      <c r="B888" s="4" t="s">
        <v>2017</v>
      </c>
      <c r="C888" s="3" t="s">
        <v>2018</v>
      </c>
      <c r="D888" s="3" t="s">
        <v>2019</v>
      </c>
      <c r="E888" s="3" t="s">
        <v>2426</v>
      </c>
      <c r="F888" s="4" t="s">
        <v>617</v>
      </c>
      <c r="G888" s="4" t="s">
        <v>568</v>
      </c>
    </row>
    <row r="889" spans="1:7" ht="15.75" customHeight="1">
      <c r="A889" s="5">
        <v>225628700</v>
      </c>
      <c r="B889" s="6" t="s">
        <v>2025</v>
      </c>
      <c r="C889" s="5" t="s">
        <v>2026</v>
      </c>
      <c r="D889" s="5">
        <v>79143160499</v>
      </c>
      <c r="E889" s="5" t="s">
        <v>2427</v>
      </c>
      <c r="F889" s="6" t="s">
        <v>617</v>
      </c>
      <c r="G889" s="6" t="s">
        <v>568</v>
      </c>
    </row>
    <row r="890" spans="1:7" ht="15.75" customHeight="1">
      <c r="A890" s="3">
        <v>211574954</v>
      </c>
      <c r="B890" s="4" t="s">
        <v>2428</v>
      </c>
      <c r="C890" s="3" t="s">
        <v>2429</v>
      </c>
      <c r="D890" s="3" t="s">
        <v>2430</v>
      </c>
      <c r="E890" s="3" t="s">
        <v>2431</v>
      </c>
      <c r="F890" s="4" t="s">
        <v>746</v>
      </c>
      <c r="G890" s="4"/>
    </row>
    <row r="891" spans="1:7" ht="15.75" customHeight="1">
      <c r="A891" s="5">
        <v>230823952</v>
      </c>
      <c r="B891" s="6" t="s">
        <v>2297</v>
      </c>
      <c r="C891" s="5" t="s">
        <v>2298</v>
      </c>
      <c r="D891" s="5">
        <v>79326221439</v>
      </c>
      <c r="E891" s="5" t="s">
        <v>2432</v>
      </c>
      <c r="F891" s="6" t="s">
        <v>561</v>
      </c>
      <c r="G891" s="6" t="s">
        <v>538</v>
      </c>
    </row>
    <row r="892" spans="1:7" ht="15.75" customHeight="1">
      <c r="A892" s="3">
        <v>207574983</v>
      </c>
      <c r="B892" s="4" t="s">
        <v>1798</v>
      </c>
      <c r="C892" s="3" t="s">
        <v>1799</v>
      </c>
      <c r="D892" s="3" t="s">
        <v>1800</v>
      </c>
      <c r="E892" s="3" t="s">
        <v>2433</v>
      </c>
      <c r="F892" s="4" t="s">
        <v>281</v>
      </c>
      <c r="G892" s="4" t="s">
        <v>282</v>
      </c>
    </row>
    <row r="893" spans="1:7" ht="15.75" customHeight="1">
      <c r="A893" s="5">
        <v>230616879</v>
      </c>
      <c r="B893" s="6" t="s">
        <v>2288</v>
      </c>
      <c r="C893" s="5" t="s">
        <v>2289</v>
      </c>
      <c r="D893" s="5">
        <v>79112424205</v>
      </c>
      <c r="E893" s="5" t="s">
        <v>2434</v>
      </c>
      <c r="F893" s="6" t="s">
        <v>709</v>
      </c>
      <c r="G893" s="6" t="s">
        <v>710</v>
      </c>
    </row>
    <row r="894" spans="1:7" ht="15.75" customHeight="1">
      <c r="A894" s="3">
        <v>192324746</v>
      </c>
      <c r="B894" s="4" t="s">
        <v>2435</v>
      </c>
      <c r="C894" s="3" t="s">
        <v>2436</v>
      </c>
      <c r="D894" s="3">
        <v>79241617858</v>
      </c>
      <c r="E894" s="3" t="s">
        <v>2437</v>
      </c>
      <c r="F894" s="4" t="s">
        <v>709</v>
      </c>
      <c r="G894" s="4" t="s">
        <v>710</v>
      </c>
    </row>
    <row r="895" spans="1:7" ht="15.75" customHeight="1">
      <c r="A895" s="5">
        <v>220755168</v>
      </c>
      <c r="B895" s="6" t="s">
        <v>1732</v>
      </c>
      <c r="C895" s="5" t="s">
        <v>1733</v>
      </c>
      <c r="D895" s="5" t="s">
        <v>1734</v>
      </c>
      <c r="E895" s="5" t="s">
        <v>2438</v>
      </c>
      <c r="F895" s="6" t="s">
        <v>607</v>
      </c>
      <c r="G895" s="6" t="s">
        <v>608</v>
      </c>
    </row>
    <row r="896" spans="1:7" ht="15.75" customHeight="1">
      <c r="A896" s="3">
        <v>225175177</v>
      </c>
      <c r="B896" s="4" t="s">
        <v>2002</v>
      </c>
      <c r="C896" s="3" t="s">
        <v>2003</v>
      </c>
      <c r="D896" s="3" t="s">
        <v>2004</v>
      </c>
      <c r="E896" s="3" t="s">
        <v>2439</v>
      </c>
      <c r="F896" s="4" t="s">
        <v>607</v>
      </c>
      <c r="G896" s="4" t="s">
        <v>608</v>
      </c>
    </row>
    <row r="897" spans="1:7" ht="15.75" customHeight="1">
      <c r="A897" s="5">
        <v>223115577</v>
      </c>
      <c r="B897" s="6" t="s">
        <v>1902</v>
      </c>
      <c r="C897" s="5" t="s">
        <v>1903</v>
      </c>
      <c r="D897" s="5" t="s">
        <v>1904</v>
      </c>
      <c r="E897" s="5" t="s">
        <v>2440</v>
      </c>
      <c r="F897" s="6" t="s">
        <v>561</v>
      </c>
      <c r="G897" s="6" t="s">
        <v>538</v>
      </c>
    </row>
    <row r="898" spans="1:7" ht="15.75" customHeight="1">
      <c r="A898" s="3">
        <v>207574983</v>
      </c>
      <c r="B898" s="4" t="s">
        <v>1798</v>
      </c>
      <c r="C898" s="3" t="s">
        <v>1799</v>
      </c>
      <c r="D898" s="3" t="s">
        <v>1800</v>
      </c>
      <c r="E898" s="3" t="s">
        <v>2441</v>
      </c>
      <c r="F898" s="4" t="s">
        <v>746</v>
      </c>
      <c r="G898" s="4" t="s">
        <v>369</v>
      </c>
    </row>
    <row r="899" spans="1:7" ht="15.75" customHeight="1">
      <c r="A899" s="5">
        <v>218481211</v>
      </c>
      <c r="B899" s="6" t="s">
        <v>1621</v>
      </c>
      <c r="C899" s="5" t="s">
        <v>1622</v>
      </c>
      <c r="D899" s="5" t="s">
        <v>1623</v>
      </c>
      <c r="E899" s="5" t="s">
        <v>2442</v>
      </c>
      <c r="F899" s="6" t="s">
        <v>635</v>
      </c>
      <c r="G899" s="6" t="s">
        <v>636</v>
      </c>
    </row>
    <row r="900" spans="1:7" ht="15.75" customHeight="1">
      <c r="A900" s="3">
        <v>220755168</v>
      </c>
      <c r="B900" s="4" t="s">
        <v>1732</v>
      </c>
      <c r="C900" s="3" t="s">
        <v>1733</v>
      </c>
      <c r="D900" s="3" t="s">
        <v>1734</v>
      </c>
      <c r="E900" s="3" t="s">
        <v>2443</v>
      </c>
      <c r="F900" s="4" t="s">
        <v>617</v>
      </c>
      <c r="G900" s="4" t="s">
        <v>568</v>
      </c>
    </row>
    <row r="901" spans="1:7" ht="15.75" customHeight="1">
      <c r="A901" s="5">
        <v>230405161</v>
      </c>
      <c r="B901" s="6" t="s">
        <v>2234</v>
      </c>
      <c r="C901" s="5" t="s">
        <v>2235</v>
      </c>
      <c r="D901" s="5" t="s">
        <v>2236</v>
      </c>
      <c r="E901" s="5" t="s">
        <v>2444</v>
      </c>
      <c r="F901" s="6" t="s">
        <v>784</v>
      </c>
      <c r="G901" s="6" t="s">
        <v>785</v>
      </c>
    </row>
    <row r="902" spans="1:7" ht="15.75" customHeight="1">
      <c r="A902" s="3">
        <v>196957811</v>
      </c>
      <c r="B902" s="4" t="s">
        <v>2445</v>
      </c>
      <c r="C902" s="3" t="s">
        <v>2446</v>
      </c>
      <c r="D902" s="3">
        <v>79090951347</v>
      </c>
      <c r="E902" s="3" t="s">
        <v>2447</v>
      </c>
      <c r="F902" s="4" t="s">
        <v>2448</v>
      </c>
      <c r="G902" s="4" t="s">
        <v>2449</v>
      </c>
    </row>
    <row r="903" spans="1:7" ht="15.75" customHeight="1">
      <c r="A903" s="5">
        <v>227553509</v>
      </c>
      <c r="B903" s="6" t="s">
        <v>2077</v>
      </c>
      <c r="C903" s="5" t="s">
        <v>2078</v>
      </c>
      <c r="D903" s="5" t="s">
        <v>2079</v>
      </c>
      <c r="E903" s="5" t="s">
        <v>2450</v>
      </c>
      <c r="F903" s="6" t="s">
        <v>746</v>
      </c>
      <c r="G903" s="6" t="s">
        <v>369</v>
      </c>
    </row>
    <row r="904" spans="1:7" ht="15.75" customHeight="1">
      <c r="A904" s="3">
        <v>197195774</v>
      </c>
      <c r="B904" s="4" t="s">
        <v>2451</v>
      </c>
      <c r="C904" s="3" t="s">
        <v>2452</v>
      </c>
      <c r="D904" s="3" t="s">
        <v>2453</v>
      </c>
      <c r="E904" s="3" t="s">
        <v>2454</v>
      </c>
      <c r="F904" s="4" t="s">
        <v>2448</v>
      </c>
      <c r="G904" s="4" t="s">
        <v>2449</v>
      </c>
    </row>
    <row r="905" spans="1:7" ht="15.75" customHeight="1">
      <c r="A905" s="5">
        <v>197195774</v>
      </c>
      <c r="B905" s="6" t="s">
        <v>2451</v>
      </c>
      <c r="C905" s="5" t="s">
        <v>2452</v>
      </c>
      <c r="D905" s="5" t="s">
        <v>2453</v>
      </c>
      <c r="E905" s="5" t="s">
        <v>2455</v>
      </c>
      <c r="F905" s="6" t="s">
        <v>2456</v>
      </c>
      <c r="G905" s="6" t="s">
        <v>2457</v>
      </c>
    </row>
    <row r="906" spans="1:7" ht="15.75" customHeight="1">
      <c r="A906" s="3">
        <v>225147423</v>
      </c>
      <c r="B906" s="4" t="s">
        <v>1998</v>
      </c>
      <c r="C906" s="3" t="s">
        <v>1999</v>
      </c>
      <c r="D906" s="3" t="s">
        <v>2000</v>
      </c>
      <c r="E906" s="3" t="s">
        <v>2458</v>
      </c>
      <c r="F906" s="4" t="s">
        <v>746</v>
      </c>
      <c r="G906" s="4" t="s">
        <v>369</v>
      </c>
    </row>
    <row r="907" spans="1:7" ht="15.75" customHeight="1">
      <c r="A907" s="5">
        <v>199540857</v>
      </c>
      <c r="B907" s="6" t="s">
        <v>1585</v>
      </c>
      <c r="C907" s="5" t="s">
        <v>1586</v>
      </c>
      <c r="D907" s="5" t="s">
        <v>1587</v>
      </c>
      <c r="E907" s="5" t="s">
        <v>2459</v>
      </c>
      <c r="F907" s="6" t="s">
        <v>746</v>
      </c>
      <c r="G907" s="6" t="s">
        <v>369</v>
      </c>
    </row>
    <row r="908" spans="1:7" ht="15.75" customHeight="1">
      <c r="A908" s="3">
        <v>199377296</v>
      </c>
      <c r="B908" s="4" t="s">
        <v>1786</v>
      </c>
      <c r="C908" s="3" t="s">
        <v>1787</v>
      </c>
      <c r="D908" s="3" t="s">
        <v>1788</v>
      </c>
      <c r="E908" s="3" t="s">
        <v>2460</v>
      </c>
      <c r="F908" s="4" t="s">
        <v>97</v>
      </c>
      <c r="G908" s="4" t="s">
        <v>98</v>
      </c>
    </row>
    <row r="909" spans="1:7" ht="15.75" customHeight="1">
      <c r="A909" s="5">
        <v>230405161</v>
      </c>
      <c r="B909" s="6" t="s">
        <v>2234</v>
      </c>
      <c r="C909" s="5" t="s">
        <v>2235</v>
      </c>
      <c r="D909" s="5" t="s">
        <v>2236</v>
      </c>
      <c r="E909" s="5" t="s">
        <v>2461</v>
      </c>
      <c r="F909" s="6" t="s">
        <v>2462</v>
      </c>
      <c r="G909" s="6" t="s">
        <v>2463</v>
      </c>
    </row>
    <row r="910" spans="1:7" ht="15.75" customHeight="1">
      <c r="A910" s="3">
        <v>229653429</v>
      </c>
      <c r="B910" s="4" t="s">
        <v>2203</v>
      </c>
      <c r="C910" s="3" t="s">
        <v>2204</v>
      </c>
      <c r="D910" s="3">
        <v>79891661878</v>
      </c>
      <c r="E910" s="3" t="s">
        <v>2464</v>
      </c>
      <c r="F910" s="4" t="s">
        <v>281</v>
      </c>
      <c r="G910" s="4" t="s">
        <v>282</v>
      </c>
    </row>
    <row r="911" spans="1:7" ht="15.75" customHeight="1">
      <c r="A911" s="5">
        <v>225147423</v>
      </c>
      <c r="B911" s="6" t="s">
        <v>1998</v>
      </c>
      <c r="C911" s="5" t="s">
        <v>1999</v>
      </c>
      <c r="D911" s="5" t="s">
        <v>2000</v>
      </c>
      <c r="E911" s="5" t="s">
        <v>2465</v>
      </c>
      <c r="F911" s="6" t="s">
        <v>767</v>
      </c>
      <c r="G911" s="6" t="s">
        <v>768</v>
      </c>
    </row>
    <row r="912" spans="1:7" ht="15.75" customHeight="1">
      <c r="A912" s="3">
        <v>214603233</v>
      </c>
      <c r="B912" s="4" t="s">
        <v>1708</v>
      </c>
      <c r="C912" s="3" t="s">
        <v>1709</v>
      </c>
      <c r="D912" s="3" t="s">
        <v>1710</v>
      </c>
      <c r="E912" s="3" t="s">
        <v>2466</v>
      </c>
      <c r="F912" s="4" t="s">
        <v>97</v>
      </c>
      <c r="G912" s="4" t="s">
        <v>98</v>
      </c>
    </row>
    <row r="913" spans="1:7" ht="15.75" customHeight="1">
      <c r="A913" s="5">
        <v>199308782</v>
      </c>
      <c r="B913" s="6" t="s">
        <v>2411</v>
      </c>
      <c r="C913" s="5" t="s">
        <v>2412</v>
      </c>
      <c r="D913" s="5" t="s">
        <v>2413</v>
      </c>
      <c r="E913" s="5" t="s">
        <v>2467</v>
      </c>
      <c r="F913" s="6" t="s">
        <v>623</v>
      </c>
      <c r="G913" s="6" t="s">
        <v>624</v>
      </c>
    </row>
    <row r="914" spans="1:7" ht="15.75" customHeight="1">
      <c r="A914" s="3">
        <v>197195774</v>
      </c>
      <c r="B914" s="4" t="s">
        <v>2451</v>
      </c>
      <c r="C914" s="3" t="s">
        <v>2452</v>
      </c>
      <c r="D914" s="3" t="s">
        <v>2453</v>
      </c>
      <c r="E914" s="3" t="s">
        <v>2468</v>
      </c>
      <c r="F914" s="4" t="s">
        <v>281</v>
      </c>
      <c r="G914" s="4" t="s">
        <v>282</v>
      </c>
    </row>
    <row r="915" spans="1:7" ht="15.75" customHeight="1">
      <c r="A915" s="5">
        <v>167097957</v>
      </c>
      <c r="B915" s="6" t="s">
        <v>2469</v>
      </c>
      <c r="C915" s="5" t="s">
        <v>2470</v>
      </c>
      <c r="D915" s="5" t="s">
        <v>2471</v>
      </c>
      <c r="E915" s="5" t="s">
        <v>2472</v>
      </c>
      <c r="F915" s="6" t="s">
        <v>2462</v>
      </c>
      <c r="G915" s="6" t="s">
        <v>2463</v>
      </c>
    </row>
    <row r="916" spans="1:7" ht="15.75" customHeight="1">
      <c r="A916" s="3">
        <v>225175177</v>
      </c>
      <c r="B916" s="4" t="s">
        <v>2002</v>
      </c>
      <c r="C916" s="3" t="s">
        <v>2003</v>
      </c>
      <c r="D916" s="3" t="s">
        <v>2004</v>
      </c>
      <c r="E916" s="3" t="s">
        <v>2473</v>
      </c>
      <c r="F916" s="4" t="s">
        <v>617</v>
      </c>
      <c r="G916" s="4" t="s">
        <v>568</v>
      </c>
    </row>
    <row r="917" spans="1:7" ht="15.75" customHeight="1">
      <c r="A917" s="5">
        <v>223346041</v>
      </c>
      <c r="B917" s="6" t="s">
        <v>547</v>
      </c>
      <c r="C917" s="5" t="s">
        <v>1937</v>
      </c>
      <c r="D917" s="5" t="s">
        <v>549</v>
      </c>
      <c r="E917" s="5" t="s">
        <v>2474</v>
      </c>
      <c r="F917" s="6" t="s">
        <v>863</v>
      </c>
      <c r="G917" s="6" t="s">
        <v>864</v>
      </c>
    </row>
    <row r="918" spans="1:7" ht="15.75" customHeight="1">
      <c r="A918" s="3">
        <v>222616996</v>
      </c>
      <c r="B918" s="4" t="s">
        <v>1856</v>
      </c>
      <c r="C918" s="3" t="s">
        <v>1857</v>
      </c>
      <c r="D918" s="3" t="s">
        <v>1858</v>
      </c>
      <c r="E918" s="3" t="s">
        <v>2475</v>
      </c>
      <c r="F918" s="4" t="s">
        <v>790</v>
      </c>
      <c r="G918" s="4" t="s">
        <v>791</v>
      </c>
    </row>
    <row r="919" spans="1:7" ht="15.75" customHeight="1">
      <c r="A919" s="5">
        <v>217251899</v>
      </c>
      <c r="B919" s="6" t="s">
        <v>1476</v>
      </c>
      <c r="C919" s="5" t="s">
        <v>1477</v>
      </c>
      <c r="D919" s="5" t="s">
        <v>1478</v>
      </c>
      <c r="E919" s="5" t="s">
        <v>2476</v>
      </c>
      <c r="F919" s="6" t="s">
        <v>2421</v>
      </c>
      <c r="G919" s="6" t="s">
        <v>2422</v>
      </c>
    </row>
    <row r="920" spans="1:7" ht="15.75" customHeight="1">
      <c r="A920" s="3">
        <v>220755168</v>
      </c>
      <c r="B920" s="4" t="s">
        <v>1732</v>
      </c>
      <c r="C920" s="3" t="s">
        <v>1733</v>
      </c>
      <c r="D920" s="3" t="s">
        <v>1734</v>
      </c>
      <c r="E920" s="3" t="s">
        <v>2477</v>
      </c>
      <c r="F920" s="4" t="s">
        <v>281</v>
      </c>
      <c r="G920" s="4" t="s">
        <v>282</v>
      </c>
    </row>
    <row r="921" spans="1:7" ht="15.75" customHeight="1">
      <c r="A921" s="5">
        <v>221608365</v>
      </c>
      <c r="B921" s="6" t="s">
        <v>1768</v>
      </c>
      <c r="C921" s="5" t="s">
        <v>1769</v>
      </c>
      <c r="D921" s="5" t="s">
        <v>1770</v>
      </c>
      <c r="E921" s="5" t="s">
        <v>2478</v>
      </c>
      <c r="F921" s="6" t="s">
        <v>2421</v>
      </c>
      <c r="G921" s="6" t="s">
        <v>2422</v>
      </c>
    </row>
    <row r="922" spans="1:7" ht="15.75" customHeight="1">
      <c r="A922" s="3">
        <v>193608902</v>
      </c>
      <c r="B922" s="4" t="s">
        <v>2416</v>
      </c>
      <c r="C922" s="3" t="s">
        <v>2417</v>
      </c>
      <c r="D922" s="3" t="s">
        <v>2418</v>
      </c>
      <c r="E922" s="3" t="s">
        <v>2479</v>
      </c>
      <c r="F922" s="4" t="s">
        <v>1484</v>
      </c>
      <c r="G922" s="4" t="s">
        <v>1485</v>
      </c>
    </row>
    <row r="923" spans="1:7" ht="15.75" customHeight="1">
      <c r="A923" s="5">
        <v>210542313</v>
      </c>
      <c r="B923" s="6" t="s">
        <v>2147</v>
      </c>
      <c r="C923" s="5" t="s">
        <v>2148</v>
      </c>
      <c r="D923" s="5">
        <v>28231036</v>
      </c>
      <c r="E923" s="5" t="s">
        <v>2480</v>
      </c>
      <c r="F923" s="6" t="s">
        <v>2421</v>
      </c>
      <c r="G923" s="6" t="s">
        <v>2422</v>
      </c>
    </row>
    <row r="924" spans="1:7" ht="15.75" customHeight="1">
      <c r="A924" s="3">
        <v>197195774</v>
      </c>
      <c r="B924" s="4" t="s">
        <v>2451</v>
      </c>
      <c r="C924" s="3" t="s">
        <v>2452</v>
      </c>
      <c r="D924" s="3" t="s">
        <v>2453</v>
      </c>
      <c r="E924" s="3" t="s">
        <v>2481</v>
      </c>
      <c r="F924" s="4" t="s">
        <v>863</v>
      </c>
      <c r="G924" s="4" t="s">
        <v>864</v>
      </c>
    </row>
    <row r="925" spans="1:7" ht="15.75" customHeight="1">
      <c r="A925" s="5">
        <v>205044601</v>
      </c>
      <c r="B925" s="6" t="s">
        <v>1782</v>
      </c>
      <c r="C925" s="5" t="s">
        <v>1783</v>
      </c>
      <c r="D925" s="5" t="s">
        <v>1784</v>
      </c>
      <c r="E925" s="5" t="s">
        <v>2482</v>
      </c>
      <c r="F925" s="6" t="s">
        <v>70</v>
      </c>
      <c r="G925" s="6" t="s">
        <v>71</v>
      </c>
    </row>
    <row r="926" spans="1:7" ht="15.75" customHeight="1">
      <c r="A926" s="3">
        <v>205044601</v>
      </c>
      <c r="B926" s="4" t="s">
        <v>1782</v>
      </c>
      <c r="C926" s="3" t="s">
        <v>1783</v>
      </c>
      <c r="D926" s="3" t="s">
        <v>1784</v>
      </c>
      <c r="E926" s="3" t="s">
        <v>2483</v>
      </c>
      <c r="F926" s="4" t="s">
        <v>70</v>
      </c>
      <c r="G926" s="4" t="s">
        <v>71</v>
      </c>
    </row>
    <row r="927" spans="1:7" ht="15.75" customHeight="1">
      <c r="A927" s="5">
        <v>193608902</v>
      </c>
      <c r="B927" s="6" t="s">
        <v>2416</v>
      </c>
      <c r="C927" s="5" t="s">
        <v>2417</v>
      </c>
      <c r="D927" s="5" t="s">
        <v>2418</v>
      </c>
      <c r="E927" s="5" t="s">
        <v>2484</v>
      </c>
      <c r="F927" s="6" t="s">
        <v>1484</v>
      </c>
      <c r="G927" s="6" t="s">
        <v>1485</v>
      </c>
    </row>
    <row r="928" spans="1:7" ht="15.75" customHeight="1">
      <c r="A928" s="3">
        <v>183188282</v>
      </c>
      <c r="B928" s="4" t="s">
        <v>2367</v>
      </c>
      <c r="C928" s="3" t="s">
        <v>2368</v>
      </c>
      <c r="D928" s="3">
        <v>79823069197</v>
      </c>
      <c r="E928" s="3" t="s">
        <v>2485</v>
      </c>
      <c r="F928" s="4" t="s">
        <v>281</v>
      </c>
      <c r="G928" s="4" t="s">
        <v>282</v>
      </c>
    </row>
    <row r="929" spans="1:7" ht="15.75" customHeight="1">
      <c r="A929" s="5">
        <v>211485115</v>
      </c>
      <c r="B929" s="6" t="s">
        <v>1724</v>
      </c>
      <c r="C929" s="5" t="s">
        <v>1725</v>
      </c>
      <c r="D929" s="5" t="s">
        <v>1726</v>
      </c>
      <c r="E929" s="5" t="s">
        <v>2486</v>
      </c>
      <c r="F929" s="6" t="s">
        <v>55</v>
      </c>
      <c r="G929" s="6" t="s">
        <v>56</v>
      </c>
    </row>
    <row r="930" spans="1:7" ht="15.75" customHeight="1">
      <c r="A930" s="3">
        <v>225628700</v>
      </c>
      <c r="B930" s="4" t="s">
        <v>2025</v>
      </c>
      <c r="C930" s="3" t="s">
        <v>2026</v>
      </c>
      <c r="D930" s="3">
        <v>79143160499</v>
      </c>
      <c r="E930" s="3" t="s">
        <v>2487</v>
      </c>
      <c r="F930" s="4" t="s">
        <v>281</v>
      </c>
      <c r="G930" s="4" t="s">
        <v>282</v>
      </c>
    </row>
    <row r="931" spans="1:7" ht="15.75" customHeight="1">
      <c r="A931" s="5">
        <v>225583195</v>
      </c>
      <c r="B931" s="6" t="s">
        <v>2017</v>
      </c>
      <c r="C931" s="5" t="s">
        <v>2018</v>
      </c>
      <c r="D931" s="5" t="s">
        <v>2019</v>
      </c>
      <c r="E931" s="5" t="s">
        <v>2488</v>
      </c>
      <c r="F931" s="6" t="s">
        <v>826</v>
      </c>
      <c r="G931" s="6" t="s">
        <v>608</v>
      </c>
    </row>
    <row r="932" spans="1:7" ht="15.75" customHeight="1">
      <c r="A932" s="3">
        <v>217230023</v>
      </c>
      <c r="B932" s="4" t="s">
        <v>1468</v>
      </c>
      <c r="C932" s="3" t="s">
        <v>1469</v>
      </c>
      <c r="D932" s="3" t="s">
        <v>1470</v>
      </c>
      <c r="E932" s="3" t="s">
        <v>2489</v>
      </c>
      <c r="F932" s="4" t="s">
        <v>444</v>
      </c>
      <c r="G932" s="4" t="s">
        <v>445</v>
      </c>
    </row>
    <row r="933" spans="1:7" ht="15.75" customHeight="1">
      <c r="A933" s="5">
        <v>197195774</v>
      </c>
      <c r="B933" s="6" t="s">
        <v>2451</v>
      </c>
      <c r="C933" s="5" t="s">
        <v>2452</v>
      </c>
      <c r="D933" s="5" t="s">
        <v>2453</v>
      </c>
      <c r="E933" s="5" t="s">
        <v>2490</v>
      </c>
      <c r="F933" s="6" t="s">
        <v>823</v>
      </c>
      <c r="G933" s="6" t="s">
        <v>282</v>
      </c>
    </row>
    <row r="934" spans="1:7" ht="15.75" customHeight="1">
      <c r="A934" s="3">
        <v>171156221</v>
      </c>
      <c r="B934" s="4" t="s">
        <v>2491</v>
      </c>
      <c r="C934" s="3" t="s">
        <v>2492</v>
      </c>
      <c r="D934" s="3" t="s">
        <v>2493</v>
      </c>
      <c r="E934" s="3" t="s">
        <v>2494</v>
      </c>
      <c r="F934" s="4" t="s">
        <v>790</v>
      </c>
      <c r="G934" s="4" t="s">
        <v>791</v>
      </c>
    </row>
    <row r="935" spans="1:7" ht="15.75" customHeight="1">
      <c r="A935" s="5">
        <v>217353664</v>
      </c>
      <c r="B935" s="6" t="s">
        <v>1500</v>
      </c>
      <c r="C935" s="5" t="s">
        <v>1501</v>
      </c>
      <c r="D935" s="5" t="s">
        <v>1397</v>
      </c>
      <c r="E935" s="5" t="s">
        <v>2495</v>
      </c>
      <c r="F935" s="6" t="s">
        <v>829</v>
      </c>
      <c r="G935" s="6" t="s">
        <v>568</v>
      </c>
    </row>
    <row r="936" spans="1:7" ht="15.75" customHeight="1">
      <c r="A936" s="3">
        <v>194897303</v>
      </c>
      <c r="B936" s="4" t="s">
        <v>2496</v>
      </c>
      <c r="C936" s="3" t="s">
        <v>2497</v>
      </c>
      <c r="D936" s="3">
        <v>79636670528</v>
      </c>
      <c r="E936" s="3" t="s">
        <v>2498</v>
      </c>
      <c r="F936" s="4" t="s">
        <v>823</v>
      </c>
      <c r="G936" s="4" t="s">
        <v>282</v>
      </c>
    </row>
    <row r="937" spans="1:7" ht="15.75" customHeight="1">
      <c r="A937" s="5">
        <v>186824463</v>
      </c>
      <c r="B937" s="6" t="s">
        <v>2499</v>
      </c>
      <c r="C937" s="5" t="s">
        <v>2500</v>
      </c>
      <c r="D937" s="5" t="s">
        <v>2501</v>
      </c>
      <c r="E937" s="5" t="s">
        <v>2502</v>
      </c>
      <c r="F937" s="6" t="s">
        <v>795</v>
      </c>
      <c r="G937" s="6" t="s">
        <v>796</v>
      </c>
    </row>
    <row r="938" spans="1:7" ht="15.75" customHeight="1">
      <c r="A938" s="3">
        <v>227005570</v>
      </c>
      <c r="B938" s="4" t="s">
        <v>2044</v>
      </c>
      <c r="C938" s="3" t="s">
        <v>2045</v>
      </c>
      <c r="D938" s="3">
        <v>298718165</v>
      </c>
      <c r="E938" s="3" t="s">
        <v>2503</v>
      </c>
      <c r="F938" s="4" t="s">
        <v>2504</v>
      </c>
      <c r="G938" s="4" t="s">
        <v>2505</v>
      </c>
    </row>
    <row r="939" spans="1:7" ht="15.75" customHeight="1">
      <c r="A939" s="5">
        <v>225175177</v>
      </c>
      <c r="B939" s="6" t="s">
        <v>2002</v>
      </c>
      <c r="C939" s="5" t="s">
        <v>2003</v>
      </c>
      <c r="D939" s="5" t="s">
        <v>2004</v>
      </c>
      <c r="E939" s="5" t="s">
        <v>2506</v>
      </c>
      <c r="F939" s="6" t="s">
        <v>826</v>
      </c>
      <c r="G939" s="6" t="s">
        <v>608</v>
      </c>
    </row>
    <row r="940" spans="1:7" ht="15.75" customHeight="1">
      <c r="A940" s="3">
        <v>225175177</v>
      </c>
      <c r="B940" s="4" t="s">
        <v>2002</v>
      </c>
      <c r="C940" s="3" t="s">
        <v>2003</v>
      </c>
      <c r="D940" s="3" t="s">
        <v>2004</v>
      </c>
      <c r="E940" s="3" t="s">
        <v>2507</v>
      </c>
      <c r="F940" s="4" t="s">
        <v>826</v>
      </c>
      <c r="G940" s="4" t="s">
        <v>608</v>
      </c>
    </row>
    <row r="941" spans="1:7" ht="15.75" customHeight="1">
      <c r="A941" s="5">
        <v>227923314</v>
      </c>
      <c r="B941" s="6" t="s">
        <v>2112</v>
      </c>
      <c r="C941" s="5" t="s">
        <v>2113</v>
      </c>
      <c r="D941" s="5">
        <v>79536750399</v>
      </c>
      <c r="E941" s="5" t="s">
        <v>2508</v>
      </c>
      <c r="F941" s="6" t="s">
        <v>2509</v>
      </c>
      <c r="G941" s="6" t="s">
        <v>2510</v>
      </c>
    </row>
    <row r="942" spans="1:7" ht="15.75" customHeight="1">
      <c r="A942" s="3">
        <v>230405161</v>
      </c>
      <c r="B942" s="4" t="s">
        <v>2234</v>
      </c>
      <c r="C942" s="3" t="s">
        <v>2235</v>
      </c>
      <c r="D942" s="3" t="s">
        <v>2236</v>
      </c>
      <c r="E942" s="3" t="s">
        <v>2511</v>
      </c>
      <c r="F942" s="4" t="s">
        <v>767</v>
      </c>
      <c r="G942" s="4" t="s">
        <v>768</v>
      </c>
    </row>
    <row r="943" spans="1:7" ht="15.75" customHeight="1">
      <c r="A943" s="5">
        <v>167097957</v>
      </c>
      <c r="B943" s="6" t="s">
        <v>2469</v>
      </c>
      <c r="C943" s="5" t="s">
        <v>2470</v>
      </c>
      <c r="D943" s="5" t="s">
        <v>2471</v>
      </c>
      <c r="E943" s="5" t="s">
        <v>2512</v>
      </c>
      <c r="F943" s="6" t="s">
        <v>813</v>
      </c>
      <c r="G943" s="6" t="s">
        <v>811</v>
      </c>
    </row>
    <row r="944" spans="1:7" ht="15.75" customHeight="1">
      <c r="A944" s="3">
        <v>194264653</v>
      </c>
      <c r="B944" s="4" t="s">
        <v>2348</v>
      </c>
      <c r="C944" s="3" t="s">
        <v>2349</v>
      </c>
      <c r="D944" s="3" t="s">
        <v>2350</v>
      </c>
      <c r="E944" s="3" t="s">
        <v>2513</v>
      </c>
      <c r="F944" s="4" t="s">
        <v>823</v>
      </c>
      <c r="G944" s="4" t="s">
        <v>282</v>
      </c>
    </row>
    <row r="945" spans="1:7" ht="15.75" customHeight="1">
      <c r="A945" s="5">
        <v>174845244</v>
      </c>
      <c r="B945" s="6" t="s">
        <v>2514</v>
      </c>
      <c r="C945" s="5" t="s">
        <v>2515</v>
      </c>
      <c r="D945" s="5" t="s">
        <v>2516</v>
      </c>
      <c r="E945" s="5" t="s">
        <v>2517</v>
      </c>
      <c r="F945" s="6" t="s">
        <v>2518</v>
      </c>
      <c r="G945" s="6" t="s">
        <v>2519</v>
      </c>
    </row>
    <row r="946" spans="1:7" ht="15.75" customHeight="1">
      <c r="A946" s="3">
        <v>225147423</v>
      </c>
      <c r="B946" s="4" t="s">
        <v>1998</v>
      </c>
      <c r="C946" s="3" t="s">
        <v>1999</v>
      </c>
      <c r="D946" s="3" t="s">
        <v>2000</v>
      </c>
      <c r="E946" s="3" t="s">
        <v>2520</v>
      </c>
      <c r="F946" s="4" t="s">
        <v>2518</v>
      </c>
      <c r="G946" s="4" t="s">
        <v>2519</v>
      </c>
    </row>
    <row r="947" spans="1:7" ht="15.75" customHeight="1">
      <c r="A947" s="5">
        <v>174004830</v>
      </c>
      <c r="B947" s="6" t="s">
        <v>2521</v>
      </c>
      <c r="C947" s="5" t="s">
        <v>2522</v>
      </c>
      <c r="D947" s="5" t="s">
        <v>2523</v>
      </c>
      <c r="E947" s="5" t="s">
        <v>2524</v>
      </c>
      <c r="F947" s="6" t="s">
        <v>2525</v>
      </c>
      <c r="G947" s="6" t="s">
        <v>710</v>
      </c>
    </row>
    <row r="948" spans="1:7" ht="15.75" customHeight="1">
      <c r="A948" s="3">
        <v>212073210</v>
      </c>
      <c r="B948" s="4" t="s">
        <v>2392</v>
      </c>
      <c r="C948" s="3" t="s">
        <v>2393</v>
      </c>
      <c r="D948" s="3">
        <v>79138211306</v>
      </c>
      <c r="E948" s="3" t="s">
        <v>2526</v>
      </c>
      <c r="F948" s="4" t="s">
        <v>2527</v>
      </c>
      <c r="G948" s="4" t="s">
        <v>2528</v>
      </c>
    </row>
    <row r="949" spans="1:7" ht="15.75" customHeight="1">
      <c r="A949" s="5">
        <v>212073210</v>
      </c>
      <c r="B949" s="6" t="s">
        <v>2392</v>
      </c>
      <c r="C949" s="5" t="s">
        <v>2393</v>
      </c>
      <c r="D949" s="5">
        <v>79138211306</v>
      </c>
      <c r="E949" s="5" t="s">
        <v>2529</v>
      </c>
      <c r="F949" s="6" t="s">
        <v>2527</v>
      </c>
      <c r="G949" s="6" t="s">
        <v>2528</v>
      </c>
    </row>
    <row r="950" spans="1:7" ht="15.75" customHeight="1">
      <c r="A950" s="3">
        <v>199540857</v>
      </c>
      <c r="B950" s="4" t="s">
        <v>1585</v>
      </c>
      <c r="C950" s="3" t="s">
        <v>1586</v>
      </c>
      <c r="D950" s="3" t="s">
        <v>1587</v>
      </c>
      <c r="E950" s="3" t="s">
        <v>2530</v>
      </c>
      <c r="F950" s="4" t="s">
        <v>784</v>
      </c>
      <c r="G950" s="4" t="s">
        <v>880</v>
      </c>
    </row>
    <row r="951" spans="1:7" ht="15.75" customHeight="1">
      <c r="A951" s="5">
        <v>230293748</v>
      </c>
      <c r="B951" s="6" t="s">
        <v>2226</v>
      </c>
      <c r="C951" s="5" t="s">
        <v>2227</v>
      </c>
      <c r="D951" s="5" t="s">
        <v>2228</v>
      </c>
      <c r="E951" s="5" t="s">
        <v>2531</v>
      </c>
      <c r="F951" s="6" t="s">
        <v>2532</v>
      </c>
      <c r="G951" s="6" t="s">
        <v>2533</v>
      </c>
    </row>
    <row r="952" spans="1:7" ht="15.75" customHeight="1">
      <c r="A952" s="3">
        <v>212073210</v>
      </c>
      <c r="B952" s="4" t="s">
        <v>2392</v>
      </c>
      <c r="C952" s="3" t="s">
        <v>2393</v>
      </c>
      <c r="D952" s="3">
        <v>79138211306</v>
      </c>
      <c r="E952" s="3" t="s">
        <v>2534</v>
      </c>
      <c r="F952" s="4" t="s">
        <v>2527</v>
      </c>
      <c r="G952" s="4" t="s">
        <v>2528</v>
      </c>
    </row>
    <row r="953" spans="1:7" ht="15.75" customHeight="1">
      <c r="A953" s="5">
        <v>225647525</v>
      </c>
      <c r="B953" s="6" t="s">
        <v>2028</v>
      </c>
      <c r="C953" s="5" t="s">
        <v>2029</v>
      </c>
      <c r="D953" s="5">
        <v>79143160499</v>
      </c>
      <c r="E953" s="5" t="s">
        <v>2535</v>
      </c>
      <c r="F953" s="6" t="s">
        <v>55</v>
      </c>
      <c r="G953" s="6" t="s">
        <v>56</v>
      </c>
    </row>
    <row r="954" spans="1:7" ht="15.75" customHeight="1">
      <c r="A954" s="3">
        <v>175171016</v>
      </c>
      <c r="B954" s="4" t="s">
        <v>2536</v>
      </c>
      <c r="C954" s="3" t="s">
        <v>2537</v>
      </c>
      <c r="D954" s="3">
        <v>79637733373</v>
      </c>
      <c r="E954" s="3" t="s">
        <v>2538</v>
      </c>
      <c r="F954" s="4" t="s">
        <v>2539</v>
      </c>
      <c r="G954" s="4" t="s">
        <v>2540</v>
      </c>
    </row>
    <row r="955" spans="1:7" ht="15.75" customHeight="1">
      <c r="A955" s="5">
        <v>213701156</v>
      </c>
      <c r="B955" s="6" t="s">
        <v>2541</v>
      </c>
      <c r="C955" s="5" t="s">
        <v>2542</v>
      </c>
      <c r="D955" s="5" t="s">
        <v>2543</v>
      </c>
      <c r="E955" s="5" t="s">
        <v>2544</v>
      </c>
      <c r="F955" s="6" t="s">
        <v>813</v>
      </c>
      <c r="G955" s="6" t="s">
        <v>811</v>
      </c>
    </row>
    <row r="956" spans="1:7" ht="15.75" customHeight="1">
      <c r="A956" s="3">
        <v>206101163</v>
      </c>
      <c r="B956" s="4" t="s">
        <v>352</v>
      </c>
      <c r="C956" s="3" t="s">
        <v>2545</v>
      </c>
      <c r="D956" s="3" t="s">
        <v>354</v>
      </c>
      <c r="E956" s="3" t="s">
        <v>2546</v>
      </c>
      <c r="F956" s="4" t="s">
        <v>956</v>
      </c>
      <c r="G956" s="4" t="s">
        <v>901</v>
      </c>
    </row>
    <row r="957" spans="1:7" ht="15.75" customHeight="1">
      <c r="A957" s="5">
        <v>174004830</v>
      </c>
      <c r="B957" s="6" t="s">
        <v>2521</v>
      </c>
      <c r="C957" s="5" t="s">
        <v>2522</v>
      </c>
      <c r="D957" s="5" t="s">
        <v>2523</v>
      </c>
      <c r="E957" s="5" t="s">
        <v>2547</v>
      </c>
      <c r="F957" s="6" t="s">
        <v>2548</v>
      </c>
      <c r="G957" s="6" t="s">
        <v>205</v>
      </c>
    </row>
    <row r="958" spans="1:7" ht="15.75" customHeight="1">
      <c r="A958" s="3">
        <v>220755168</v>
      </c>
      <c r="B958" s="4" t="s">
        <v>1732</v>
      </c>
      <c r="C958" s="3" t="s">
        <v>1733</v>
      </c>
      <c r="D958" s="3" t="s">
        <v>1734</v>
      </c>
      <c r="E958" s="3" t="s">
        <v>2549</v>
      </c>
      <c r="F958" s="4" t="s">
        <v>2550</v>
      </c>
      <c r="G958" s="4" t="s">
        <v>56</v>
      </c>
    </row>
    <row r="959" spans="1:7" ht="15.75" customHeight="1">
      <c r="A959" s="5">
        <v>207574983</v>
      </c>
      <c r="B959" s="6" t="s">
        <v>1798</v>
      </c>
      <c r="C959" s="5" t="s">
        <v>1799</v>
      </c>
      <c r="D959" s="5" t="s">
        <v>1800</v>
      </c>
      <c r="E959" s="5" t="s">
        <v>2551</v>
      </c>
      <c r="F959" s="6" t="s">
        <v>784</v>
      </c>
      <c r="G959" s="6" t="s">
        <v>785</v>
      </c>
    </row>
    <row r="960" spans="1:7" ht="15.75" customHeight="1">
      <c r="A960" s="3">
        <v>174004830</v>
      </c>
      <c r="B960" s="4" t="s">
        <v>2521</v>
      </c>
      <c r="C960" s="3" t="s">
        <v>2522</v>
      </c>
      <c r="D960" s="3" t="s">
        <v>2523</v>
      </c>
      <c r="E960" s="3" t="s">
        <v>2552</v>
      </c>
      <c r="F960" s="4" t="s">
        <v>204</v>
      </c>
      <c r="G960" s="4" t="s">
        <v>205</v>
      </c>
    </row>
    <row r="961" spans="1:7" ht="15.75" customHeight="1">
      <c r="A961" s="5">
        <v>174004830</v>
      </c>
      <c r="B961" s="6" t="s">
        <v>2521</v>
      </c>
      <c r="C961" s="5" t="s">
        <v>2522</v>
      </c>
      <c r="D961" s="5" t="s">
        <v>2523</v>
      </c>
      <c r="E961" s="5" t="s">
        <v>2553</v>
      </c>
      <c r="F961" s="6" t="s">
        <v>55</v>
      </c>
      <c r="G961" s="6" t="s">
        <v>56</v>
      </c>
    </row>
    <row r="962" spans="1:7" ht="15.75" customHeight="1">
      <c r="A962" s="3">
        <v>210802772</v>
      </c>
      <c r="B962" s="4" t="s">
        <v>2554</v>
      </c>
      <c r="C962" s="3" t="s">
        <v>2555</v>
      </c>
      <c r="D962" s="3" t="s">
        <v>2556</v>
      </c>
      <c r="E962" s="3" t="s">
        <v>2557</v>
      </c>
      <c r="F962" s="4" t="s">
        <v>1345</v>
      </c>
      <c r="G962" s="4" t="s">
        <v>1346</v>
      </c>
    </row>
    <row r="963" spans="1:7" ht="15.75" customHeight="1">
      <c r="A963" s="5">
        <v>174004830</v>
      </c>
      <c r="B963" s="6" t="s">
        <v>2521</v>
      </c>
      <c r="C963" s="5" t="s">
        <v>2522</v>
      </c>
      <c r="D963" s="5" t="s">
        <v>2523</v>
      </c>
      <c r="E963" s="5" t="s">
        <v>2558</v>
      </c>
      <c r="F963" s="6" t="s">
        <v>767</v>
      </c>
      <c r="G963" s="6" t="s">
        <v>768</v>
      </c>
    </row>
    <row r="964" spans="1:7" ht="15.75" customHeight="1">
      <c r="A964" s="3">
        <v>205044601</v>
      </c>
      <c r="B964" s="4" t="s">
        <v>1782</v>
      </c>
      <c r="C964" s="3" t="s">
        <v>1783</v>
      </c>
      <c r="D964" s="3" t="s">
        <v>1784</v>
      </c>
      <c r="E964" s="3" t="s">
        <v>2559</v>
      </c>
      <c r="F964" s="4" t="s">
        <v>2560</v>
      </c>
      <c r="G964" s="4" t="s">
        <v>2561</v>
      </c>
    </row>
    <row r="965" spans="1:7" ht="15.75" customHeight="1">
      <c r="A965" s="5">
        <v>225583195</v>
      </c>
      <c r="B965" s="6" t="s">
        <v>2017</v>
      </c>
      <c r="C965" s="5" t="s">
        <v>2018</v>
      </c>
      <c r="D965" s="5" t="s">
        <v>2019</v>
      </c>
      <c r="E965" s="5" t="s">
        <v>2562</v>
      </c>
      <c r="F965" s="6" t="s">
        <v>2563</v>
      </c>
      <c r="G965" s="6" t="s">
        <v>56</v>
      </c>
    </row>
    <row r="966" spans="1:7" ht="15.75" customHeight="1">
      <c r="A966" s="3">
        <v>217230023</v>
      </c>
      <c r="B966" s="4" t="s">
        <v>1468</v>
      </c>
      <c r="C966" s="3" t="s">
        <v>1469</v>
      </c>
      <c r="D966" s="3" t="s">
        <v>1470</v>
      </c>
      <c r="E966" s="3" t="s">
        <v>2564</v>
      </c>
      <c r="F966" s="4" t="s">
        <v>55</v>
      </c>
      <c r="G966" s="4" t="s">
        <v>56</v>
      </c>
    </row>
    <row r="967" spans="1:7" ht="15.75" customHeight="1">
      <c r="A967" s="5">
        <v>188907523</v>
      </c>
      <c r="B967" s="6" t="s">
        <v>2565</v>
      </c>
      <c r="C967" s="5" t="s">
        <v>2566</v>
      </c>
      <c r="D967" s="5" t="s">
        <v>2567</v>
      </c>
      <c r="E967" s="5" t="s">
        <v>2568</v>
      </c>
      <c r="F967" s="6" t="s">
        <v>936</v>
      </c>
      <c r="G967" s="6" t="s">
        <v>937</v>
      </c>
    </row>
    <row r="968" spans="1:7" ht="15.75" customHeight="1">
      <c r="A968" s="3">
        <v>206898786</v>
      </c>
      <c r="B968" s="4" t="s">
        <v>2569</v>
      </c>
      <c r="C968" s="3" t="s">
        <v>2570</v>
      </c>
      <c r="D968" s="3">
        <v>79994707986</v>
      </c>
      <c r="E968" s="3" t="s">
        <v>2571</v>
      </c>
      <c r="F968" s="4" t="s">
        <v>936</v>
      </c>
      <c r="G968" s="4" t="s">
        <v>937</v>
      </c>
    </row>
    <row r="969" spans="1:7" ht="15.75" customHeight="1">
      <c r="A969" s="5">
        <v>212073210</v>
      </c>
      <c r="B969" s="6" t="s">
        <v>2392</v>
      </c>
      <c r="C969" s="5" t="s">
        <v>2393</v>
      </c>
      <c r="D969" s="5">
        <v>79138211306</v>
      </c>
      <c r="E969" s="5" t="s">
        <v>2572</v>
      </c>
      <c r="F969" s="6" t="s">
        <v>204</v>
      </c>
      <c r="G969" s="6" t="s">
        <v>205</v>
      </c>
    </row>
    <row r="970" spans="1:7" ht="15.75" customHeight="1">
      <c r="A970" s="3">
        <v>220755168</v>
      </c>
      <c r="B970" s="4" t="s">
        <v>1732</v>
      </c>
      <c r="C970" s="3" t="s">
        <v>1733</v>
      </c>
      <c r="D970" s="3" t="s">
        <v>1734</v>
      </c>
      <c r="E970" s="3" t="s">
        <v>2573</v>
      </c>
      <c r="F970" s="4" t="s">
        <v>939</v>
      </c>
      <c r="G970" s="4" t="s">
        <v>940</v>
      </c>
    </row>
    <row r="971" spans="1:7" ht="15.75" customHeight="1">
      <c r="A971" s="5">
        <v>225583195</v>
      </c>
      <c r="B971" s="6" t="s">
        <v>2017</v>
      </c>
      <c r="C971" s="5" t="s">
        <v>2018</v>
      </c>
      <c r="D971" s="5" t="s">
        <v>2019</v>
      </c>
      <c r="E971" s="5" t="s">
        <v>2574</v>
      </c>
      <c r="F971" s="6" t="s">
        <v>939</v>
      </c>
      <c r="G971" s="6" t="s">
        <v>940</v>
      </c>
    </row>
    <row r="972" spans="1:7" ht="15.75" customHeight="1">
      <c r="A972" s="3">
        <v>230293748</v>
      </c>
      <c r="B972" s="4" t="s">
        <v>2226</v>
      </c>
      <c r="C972" s="3" t="s">
        <v>2227</v>
      </c>
      <c r="D972" s="3" t="s">
        <v>2228</v>
      </c>
      <c r="E972" s="3" t="s">
        <v>2575</v>
      </c>
      <c r="F972" s="4" t="s">
        <v>956</v>
      </c>
      <c r="G972" s="4" t="s">
        <v>901</v>
      </c>
    </row>
    <row r="973" spans="1:7" ht="15.75" customHeight="1">
      <c r="A973" s="5">
        <v>223346041</v>
      </c>
      <c r="B973" s="6" t="s">
        <v>547</v>
      </c>
      <c r="C973" s="5" t="s">
        <v>1937</v>
      </c>
      <c r="D973" s="5" t="s">
        <v>549</v>
      </c>
      <c r="E973" s="5" t="s">
        <v>2576</v>
      </c>
      <c r="F973" s="6" t="s">
        <v>936</v>
      </c>
      <c r="G973" s="6" t="s">
        <v>937</v>
      </c>
    </row>
    <row r="974" spans="1:7" ht="15.75" customHeight="1">
      <c r="A974" s="3">
        <v>214424208</v>
      </c>
      <c r="B974" s="4" t="s">
        <v>1946</v>
      </c>
      <c r="C974" s="3" t="s">
        <v>1947</v>
      </c>
      <c r="D974" s="3" t="s">
        <v>1948</v>
      </c>
      <c r="E974" s="3" t="s">
        <v>2577</v>
      </c>
      <c r="F974" s="4" t="s">
        <v>949</v>
      </c>
      <c r="G974" s="4" t="s">
        <v>950</v>
      </c>
    </row>
    <row r="975" spans="1:7" ht="15.75" customHeight="1">
      <c r="A975" s="5">
        <v>214603233</v>
      </c>
      <c r="B975" s="6" t="s">
        <v>1708</v>
      </c>
      <c r="C975" s="5" t="s">
        <v>1709</v>
      </c>
      <c r="D975" s="5" t="s">
        <v>1710</v>
      </c>
      <c r="E975" s="5" t="s">
        <v>2578</v>
      </c>
      <c r="F975" s="6" t="s">
        <v>481</v>
      </c>
      <c r="G975" s="6" t="s">
        <v>482</v>
      </c>
    </row>
    <row r="976" spans="1:7" ht="15.75" customHeight="1">
      <c r="A976" s="3">
        <v>214603233</v>
      </c>
      <c r="B976" s="4" t="s">
        <v>1708</v>
      </c>
      <c r="C976" s="3" t="s">
        <v>1709</v>
      </c>
      <c r="D976" s="3" t="s">
        <v>1710</v>
      </c>
      <c r="E976" s="3" t="s">
        <v>2579</v>
      </c>
      <c r="F976" s="4" t="s">
        <v>484</v>
      </c>
      <c r="G976" s="4" t="s">
        <v>482</v>
      </c>
    </row>
    <row r="977" spans="1:7" ht="15.75" customHeight="1">
      <c r="A977" s="5">
        <v>205586828</v>
      </c>
      <c r="B977" s="6" t="s">
        <v>1630</v>
      </c>
      <c r="C977" s="5" t="s">
        <v>1631</v>
      </c>
      <c r="D977" s="5" t="s">
        <v>1632</v>
      </c>
      <c r="E977" s="5" t="s">
        <v>2580</v>
      </c>
      <c r="F977" s="6" t="s">
        <v>949</v>
      </c>
      <c r="G977" s="6" t="s">
        <v>950</v>
      </c>
    </row>
    <row r="978" spans="1:7" ht="15.75" customHeight="1">
      <c r="A978" s="3">
        <v>230452624</v>
      </c>
      <c r="B978" s="4" t="s">
        <v>2247</v>
      </c>
      <c r="C978" s="3" t="s">
        <v>2248</v>
      </c>
      <c r="D978" s="3" t="s">
        <v>2249</v>
      </c>
      <c r="E978" s="3" t="s">
        <v>2581</v>
      </c>
      <c r="F978" s="4" t="s">
        <v>960</v>
      </c>
      <c r="G978" s="4" t="s">
        <v>961</v>
      </c>
    </row>
    <row r="979" spans="1:7" ht="15.75" customHeight="1">
      <c r="A979" s="5">
        <v>186827458</v>
      </c>
      <c r="B979" s="6" t="s">
        <v>2582</v>
      </c>
      <c r="C979" s="5" t="s">
        <v>2583</v>
      </c>
      <c r="D979" s="5" t="s">
        <v>2584</v>
      </c>
      <c r="E979" s="5" t="s">
        <v>2585</v>
      </c>
      <c r="F979" s="6" t="s">
        <v>1047</v>
      </c>
      <c r="G979" s="6" t="s">
        <v>1048</v>
      </c>
    </row>
    <row r="980" spans="1:7" ht="15.75" customHeight="1">
      <c r="A980" s="3">
        <v>191530974</v>
      </c>
      <c r="B980" s="4" t="s">
        <v>1809</v>
      </c>
      <c r="C980" s="3" t="s">
        <v>1810</v>
      </c>
      <c r="D980" s="3" t="s">
        <v>1811</v>
      </c>
      <c r="E980" s="3" t="s">
        <v>2586</v>
      </c>
      <c r="F980" s="4" t="s">
        <v>55</v>
      </c>
      <c r="G980" s="4" t="s">
        <v>56</v>
      </c>
    </row>
    <row r="981" spans="1:7" ht="15.75" customHeight="1">
      <c r="A981" s="5">
        <v>227799287</v>
      </c>
      <c r="B981" s="6" t="s">
        <v>2097</v>
      </c>
      <c r="C981" s="5" t="s">
        <v>2098</v>
      </c>
      <c r="D981" s="5">
        <v>79257187951</v>
      </c>
      <c r="E981" s="5" t="s">
        <v>2587</v>
      </c>
      <c r="F981" s="6" t="s">
        <v>1124</v>
      </c>
      <c r="G981" s="6" t="s">
        <v>1048</v>
      </c>
    </row>
    <row r="982" spans="1:7" ht="15.75" customHeight="1">
      <c r="A982" s="3">
        <v>214451896</v>
      </c>
      <c r="B982" s="4" t="s">
        <v>2257</v>
      </c>
      <c r="C982" s="3" t="s">
        <v>2258</v>
      </c>
      <c r="D982" s="3" t="s">
        <v>2259</v>
      </c>
      <c r="E982" s="3" t="s">
        <v>2588</v>
      </c>
      <c r="F982" s="4" t="s">
        <v>2589</v>
      </c>
      <c r="G982" s="4" t="s">
        <v>2590</v>
      </c>
    </row>
    <row r="983" spans="1:7" ht="15.75" customHeight="1">
      <c r="A983" s="5">
        <v>202557120</v>
      </c>
      <c r="B983" s="6" t="s">
        <v>1728</v>
      </c>
      <c r="C983" s="5" t="s">
        <v>1729</v>
      </c>
      <c r="D983" s="5" t="s">
        <v>1730</v>
      </c>
      <c r="E983" s="5" t="s">
        <v>2591</v>
      </c>
      <c r="F983" s="6" t="s">
        <v>1124</v>
      </c>
      <c r="G983" s="6" t="s">
        <v>1048</v>
      </c>
    </row>
    <row r="984" spans="1:7" ht="15.75" customHeight="1">
      <c r="A984" s="3">
        <v>205586828</v>
      </c>
      <c r="B984" s="4" t="s">
        <v>1630</v>
      </c>
      <c r="C984" s="3" t="s">
        <v>1631</v>
      </c>
      <c r="D984" s="3" t="s">
        <v>1632</v>
      </c>
      <c r="E984" s="3" t="s">
        <v>2592</v>
      </c>
      <c r="F984" s="4" t="s">
        <v>1132</v>
      </c>
      <c r="G984" s="4" t="s">
        <v>1048</v>
      </c>
    </row>
    <row r="985" spans="1:7" ht="15.75" customHeight="1">
      <c r="A985" s="5">
        <v>207965590</v>
      </c>
      <c r="B985" s="6" t="s">
        <v>1852</v>
      </c>
      <c r="C985" s="5" t="s">
        <v>1853</v>
      </c>
      <c r="D985" s="5" t="s">
        <v>1854</v>
      </c>
      <c r="E985" s="5" t="s">
        <v>2593</v>
      </c>
      <c r="F985" s="6" t="s">
        <v>1207</v>
      </c>
      <c r="G985" s="6" t="s">
        <v>1208</v>
      </c>
    </row>
    <row r="986" spans="1:7" ht="15.75" customHeight="1">
      <c r="A986" s="3">
        <v>183188282</v>
      </c>
      <c r="B986" s="4" t="s">
        <v>2367</v>
      </c>
      <c r="C986" s="3" t="s">
        <v>2368</v>
      </c>
      <c r="D986" s="3">
        <v>79823069197</v>
      </c>
      <c r="E986" s="3" t="s">
        <v>2594</v>
      </c>
      <c r="F986" s="4" t="s">
        <v>2595</v>
      </c>
      <c r="G986" s="4" t="s">
        <v>2596</v>
      </c>
    </row>
    <row r="987" spans="1:7" ht="15.75" customHeight="1">
      <c r="A987" s="5">
        <v>183188282</v>
      </c>
      <c r="B987" s="6" t="s">
        <v>2367</v>
      </c>
      <c r="C987" s="5" t="s">
        <v>2368</v>
      </c>
      <c r="D987" s="5">
        <v>79823069197</v>
      </c>
      <c r="E987" s="5" t="s">
        <v>2597</v>
      </c>
      <c r="F987" s="6" t="s">
        <v>1150</v>
      </c>
      <c r="G987" s="6" t="s">
        <v>1048</v>
      </c>
    </row>
    <row r="988" spans="1:7" ht="15.75" customHeight="1">
      <c r="A988" s="3">
        <v>192852843</v>
      </c>
      <c r="B988" s="4" t="s">
        <v>2598</v>
      </c>
      <c r="C988" s="3" t="s">
        <v>2599</v>
      </c>
      <c r="D988" s="3" t="s">
        <v>2600</v>
      </c>
      <c r="E988" s="3" t="s">
        <v>2601</v>
      </c>
      <c r="F988" s="4" t="s">
        <v>1124</v>
      </c>
      <c r="G988" s="4" t="s">
        <v>1048</v>
      </c>
    </row>
    <row r="989" spans="1:7" ht="15.75" customHeight="1">
      <c r="A989" s="5">
        <v>174004830</v>
      </c>
      <c r="B989" s="6" t="s">
        <v>2521</v>
      </c>
      <c r="C989" s="5" t="s">
        <v>2522</v>
      </c>
      <c r="D989" s="5" t="s">
        <v>2523</v>
      </c>
      <c r="E989" s="5" t="s">
        <v>2602</v>
      </c>
      <c r="F989" s="6" t="s">
        <v>55</v>
      </c>
      <c r="G989" s="6" t="s">
        <v>56</v>
      </c>
    </row>
    <row r="990" spans="1:7" ht="15.75" customHeight="1">
      <c r="A990" s="3">
        <v>193968546</v>
      </c>
      <c r="B990" s="4" t="s">
        <v>2603</v>
      </c>
      <c r="C990" s="3" t="s">
        <v>2604</v>
      </c>
      <c r="D990" s="3" t="s">
        <v>2605</v>
      </c>
      <c r="E990" s="3" t="s">
        <v>2606</v>
      </c>
      <c r="F990" s="4" t="s">
        <v>1124</v>
      </c>
      <c r="G990" s="4" t="s">
        <v>1048</v>
      </c>
    </row>
    <row r="991" spans="1:7" ht="15.75" customHeight="1">
      <c r="A991" s="5">
        <v>225583195</v>
      </c>
      <c r="B991" s="6" t="s">
        <v>2017</v>
      </c>
      <c r="C991" s="5" t="s">
        <v>2018</v>
      </c>
      <c r="D991" s="5" t="s">
        <v>2019</v>
      </c>
      <c r="E991" s="5" t="s">
        <v>2607</v>
      </c>
      <c r="F991" s="6" t="s">
        <v>55</v>
      </c>
      <c r="G991" s="6" t="s">
        <v>56</v>
      </c>
    </row>
    <row r="992" spans="1:7" ht="15.75" customHeight="1">
      <c r="A992" s="3">
        <v>213701156</v>
      </c>
      <c r="B992" s="4" t="s">
        <v>2541</v>
      </c>
      <c r="C992" s="3" t="s">
        <v>2542</v>
      </c>
      <c r="D992" s="3" t="s">
        <v>2543</v>
      </c>
      <c r="E992" s="3" t="s">
        <v>2608</v>
      </c>
      <c r="F992" s="4" t="s">
        <v>1124</v>
      </c>
      <c r="G992" s="4" t="s">
        <v>1048</v>
      </c>
    </row>
    <row r="993" spans="1:7" ht="15.75" customHeight="1">
      <c r="A993" s="5">
        <v>199539760</v>
      </c>
      <c r="B993" s="6" t="s">
        <v>1685</v>
      </c>
      <c r="C993" s="5" t="s">
        <v>1686</v>
      </c>
      <c r="D993" s="5" t="s">
        <v>1687</v>
      </c>
      <c r="E993" s="5" t="s">
        <v>2609</v>
      </c>
      <c r="F993" s="6" t="s">
        <v>1132</v>
      </c>
      <c r="G993" s="6" t="s">
        <v>1048</v>
      </c>
    </row>
    <row r="994" spans="1:7" ht="15.75" customHeight="1">
      <c r="A994" s="3">
        <v>227799287</v>
      </c>
      <c r="B994" s="4" t="s">
        <v>2097</v>
      </c>
      <c r="C994" s="3" t="s">
        <v>2098</v>
      </c>
      <c r="D994" s="3">
        <v>79257187951</v>
      </c>
      <c r="E994" s="3" t="s">
        <v>2610</v>
      </c>
      <c r="F994" s="4" t="s">
        <v>444</v>
      </c>
      <c r="G994" s="4" t="s">
        <v>445</v>
      </c>
    </row>
    <row r="995" spans="1:7" ht="15.75" customHeight="1">
      <c r="A995" s="5">
        <v>166301189</v>
      </c>
      <c r="B995" s="6" t="s">
        <v>1116</v>
      </c>
      <c r="C995" s="5" t="s">
        <v>1117</v>
      </c>
      <c r="D995" s="5" t="s">
        <v>1118</v>
      </c>
      <c r="E995" s="5" t="s">
        <v>2611</v>
      </c>
      <c r="F995" s="6" t="s">
        <v>1166</v>
      </c>
      <c r="G995" s="6" t="s">
        <v>1167</v>
      </c>
    </row>
    <row r="996" spans="1:7" ht="15.75" customHeight="1">
      <c r="A996" s="3">
        <v>230964263</v>
      </c>
      <c r="B996" s="4" t="s">
        <v>2307</v>
      </c>
      <c r="C996" s="3" t="s">
        <v>2308</v>
      </c>
      <c r="D996" s="3">
        <v>79101491131</v>
      </c>
      <c r="E996" s="3" t="s">
        <v>2612</v>
      </c>
      <c r="F996" s="4" t="s">
        <v>1166</v>
      </c>
      <c r="G996" s="4" t="s">
        <v>1167</v>
      </c>
    </row>
    <row r="997" spans="1:7" ht="15.75" customHeight="1">
      <c r="A997" s="5">
        <v>217187784</v>
      </c>
      <c r="B997" s="6" t="s">
        <v>1460</v>
      </c>
      <c r="C997" s="5" t="s">
        <v>1461</v>
      </c>
      <c r="D997" s="5" t="s">
        <v>1462</v>
      </c>
      <c r="E997" s="5" t="s">
        <v>2613</v>
      </c>
      <c r="F997" s="6" t="s">
        <v>960</v>
      </c>
      <c r="G997" s="6" t="s">
        <v>961</v>
      </c>
    </row>
    <row r="998" spans="1:7" ht="15.75" customHeight="1">
      <c r="A998" s="3">
        <v>217230023</v>
      </c>
      <c r="B998" s="4" t="s">
        <v>1468</v>
      </c>
      <c r="C998" s="3" t="s">
        <v>1469</v>
      </c>
      <c r="D998" s="3" t="s">
        <v>1470</v>
      </c>
      <c r="E998" s="3" t="s">
        <v>2614</v>
      </c>
      <c r="F998" s="4" t="s">
        <v>1264</v>
      </c>
      <c r="G998" s="4" t="s">
        <v>1265</v>
      </c>
    </row>
    <row r="999" spans="1:7" ht="15.75" customHeight="1">
      <c r="A999" s="5">
        <v>179478947</v>
      </c>
      <c r="B999" s="6" t="s">
        <v>2615</v>
      </c>
      <c r="C999" s="5" t="s">
        <v>2616</v>
      </c>
      <c r="D999" s="5" t="s">
        <v>2617</v>
      </c>
      <c r="E999" s="5" t="s">
        <v>2618</v>
      </c>
      <c r="F999" s="6" t="s">
        <v>2619</v>
      </c>
      <c r="G999" s="6" t="s">
        <v>2620</v>
      </c>
    </row>
    <row r="1000" spans="1:7" ht="15.75" customHeight="1">
      <c r="A1000" s="3">
        <v>186667695</v>
      </c>
      <c r="B1000" s="4" t="s">
        <v>2621</v>
      </c>
      <c r="C1000" s="3" t="s">
        <v>2622</v>
      </c>
      <c r="D1000" s="3" t="s">
        <v>2623</v>
      </c>
      <c r="E1000" s="3" t="s">
        <v>2624</v>
      </c>
      <c r="F1000" s="4" t="s">
        <v>960</v>
      </c>
      <c r="G1000" s="4" t="s">
        <v>961</v>
      </c>
    </row>
    <row r="1001" spans="1:7" ht="15.75" customHeight="1">
      <c r="A1001" s="5">
        <v>193608902</v>
      </c>
      <c r="B1001" s="6" t="s">
        <v>2416</v>
      </c>
      <c r="C1001" s="5" t="s">
        <v>2417</v>
      </c>
      <c r="D1001" s="5" t="s">
        <v>2418</v>
      </c>
      <c r="E1001" s="5" t="s">
        <v>2625</v>
      </c>
      <c r="F1001" s="6" t="s">
        <v>960</v>
      </c>
      <c r="G1001" s="6" t="s">
        <v>961</v>
      </c>
    </row>
    <row r="1002" spans="1:7" ht="15.75" customHeight="1">
      <c r="A1002" s="3">
        <v>231541929</v>
      </c>
      <c r="B1002" s="4" t="s">
        <v>2626</v>
      </c>
      <c r="C1002" s="3" t="s">
        <v>2627</v>
      </c>
      <c r="D1002" s="3" t="s">
        <v>2628</v>
      </c>
      <c r="E1002" s="3" t="s">
        <v>2629</v>
      </c>
      <c r="F1002" s="4" t="s">
        <v>444</v>
      </c>
      <c r="G1002" s="4" t="s">
        <v>445</v>
      </c>
    </row>
    <row r="1003" spans="1:7" ht="15.75" customHeight="1">
      <c r="A1003" s="5">
        <v>231700347</v>
      </c>
      <c r="B1003" s="6" t="s">
        <v>2630</v>
      </c>
      <c r="C1003" s="5" t="s">
        <v>2631</v>
      </c>
      <c r="D1003" s="5"/>
      <c r="E1003" s="5" t="s">
        <v>2632</v>
      </c>
      <c r="F1003" s="6" t="s">
        <v>444</v>
      </c>
      <c r="G1003" s="6" t="s">
        <v>445</v>
      </c>
    </row>
    <row r="1004" spans="1:7" ht="15.75" customHeight="1">
      <c r="A1004" s="3">
        <v>231721594</v>
      </c>
      <c r="B1004" s="4" t="s">
        <v>2633</v>
      </c>
      <c r="C1004" s="3" t="s">
        <v>2634</v>
      </c>
      <c r="D1004" s="3" t="s">
        <v>2635</v>
      </c>
      <c r="E1004" s="3" t="s">
        <v>2636</v>
      </c>
      <c r="F1004" s="4" t="s">
        <v>570</v>
      </c>
      <c r="G1004" s="4" t="s">
        <v>571</v>
      </c>
    </row>
    <row r="1005" spans="1:7" ht="15.75" customHeight="1">
      <c r="A1005" s="5">
        <v>231821319</v>
      </c>
      <c r="B1005" s="6" t="s">
        <v>2637</v>
      </c>
      <c r="C1005" s="5" t="s">
        <v>2638</v>
      </c>
      <c r="D1005" s="5">
        <v>380679503151</v>
      </c>
      <c r="E1005" s="5" t="s">
        <v>2639</v>
      </c>
      <c r="F1005" s="6" t="s">
        <v>537</v>
      </c>
      <c r="G1005" s="6" t="s">
        <v>538</v>
      </c>
    </row>
    <row r="1006" spans="1:7" ht="15.75" customHeight="1">
      <c r="A1006" s="3">
        <v>231937134</v>
      </c>
      <c r="B1006" s="4" t="s">
        <v>2640</v>
      </c>
      <c r="C1006" s="3" t="s">
        <v>2641</v>
      </c>
      <c r="D1006" s="3" t="s">
        <v>2642</v>
      </c>
      <c r="E1006" s="3" t="s">
        <v>2643</v>
      </c>
      <c r="F1006" s="4" t="s">
        <v>570</v>
      </c>
      <c r="G1006" s="4" t="s">
        <v>571</v>
      </c>
    </row>
    <row r="1007" spans="1:7" ht="15.75" customHeight="1">
      <c r="A1007" s="5">
        <v>231983966</v>
      </c>
      <c r="B1007" s="6" t="s">
        <v>2644</v>
      </c>
      <c r="C1007" s="5" t="s">
        <v>2645</v>
      </c>
      <c r="D1007" s="5" t="s">
        <v>2646</v>
      </c>
      <c r="E1007" s="5" t="s">
        <v>2647</v>
      </c>
      <c r="F1007" s="6" t="s">
        <v>537</v>
      </c>
      <c r="G1007" s="6" t="s">
        <v>538</v>
      </c>
    </row>
    <row r="1008" spans="1:7" ht="15.75" customHeight="1">
      <c r="A1008" s="3">
        <v>232000755</v>
      </c>
      <c r="B1008" s="4" t="s">
        <v>2648</v>
      </c>
      <c r="C1008" s="3" t="s">
        <v>2649</v>
      </c>
      <c r="D1008" s="3"/>
      <c r="E1008" s="3" t="s">
        <v>2650</v>
      </c>
      <c r="F1008" s="4" t="s">
        <v>444</v>
      </c>
      <c r="G1008" s="4" t="s">
        <v>445</v>
      </c>
    </row>
    <row r="1009" spans="1:7" ht="15.75" customHeight="1">
      <c r="A1009" s="5">
        <v>232010413</v>
      </c>
      <c r="B1009" s="6" t="s">
        <v>2651</v>
      </c>
      <c r="C1009" s="5" t="s">
        <v>2652</v>
      </c>
      <c r="D1009" s="5" t="s">
        <v>2653</v>
      </c>
      <c r="E1009" s="5" t="s">
        <v>2654</v>
      </c>
      <c r="F1009" s="6" t="s">
        <v>570</v>
      </c>
      <c r="G1009" s="6" t="s">
        <v>571</v>
      </c>
    </row>
    <row r="1010" spans="1:7" ht="15.75" customHeight="1">
      <c r="A1010" s="3">
        <v>232049746</v>
      </c>
      <c r="B1010" s="4" t="s">
        <v>2655</v>
      </c>
      <c r="C1010" s="3" t="s">
        <v>2656</v>
      </c>
      <c r="D1010" s="3">
        <v>79852379972</v>
      </c>
      <c r="E1010" s="3" t="s">
        <v>2657</v>
      </c>
      <c r="F1010" s="4" t="s">
        <v>561</v>
      </c>
      <c r="G1010" s="4" t="s">
        <v>538</v>
      </c>
    </row>
    <row r="1011" spans="1:7" ht="15.75" customHeight="1">
      <c r="A1011" s="5">
        <v>232051331</v>
      </c>
      <c r="B1011" s="6" t="s">
        <v>2655</v>
      </c>
      <c r="C1011" s="5" t="s">
        <v>2658</v>
      </c>
      <c r="D1011" s="5">
        <v>79652826372</v>
      </c>
      <c r="E1011" s="5" t="s">
        <v>2659</v>
      </c>
      <c r="F1011" s="6" t="s">
        <v>2660</v>
      </c>
      <c r="G1011" s="6" t="s">
        <v>282</v>
      </c>
    </row>
    <row r="1012" spans="1:7" ht="15.75" customHeight="1">
      <c r="A1012" s="3">
        <v>232104534</v>
      </c>
      <c r="B1012" s="4" t="s">
        <v>2661</v>
      </c>
      <c r="C1012" s="3" t="s">
        <v>2662</v>
      </c>
      <c r="D1012" s="3" t="s">
        <v>2663</v>
      </c>
      <c r="E1012" s="3" t="s">
        <v>2664</v>
      </c>
      <c r="F1012" s="4" t="s">
        <v>570</v>
      </c>
      <c r="G1012" s="4" t="s">
        <v>571</v>
      </c>
    </row>
    <row r="1013" spans="1:7" ht="15.75" customHeight="1">
      <c r="A1013" s="5">
        <v>232240576</v>
      </c>
      <c r="B1013" s="6" t="s">
        <v>2665</v>
      </c>
      <c r="C1013" s="5" t="s">
        <v>2666</v>
      </c>
      <c r="D1013" s="5">
        <v>79283550861</v>
      </c>
      <c r="E1013" s="5" t="s">
        <v>2667</v>
      </c>
      <c r="F1013" s="6" t="s">
        <v>537</v>
      </c>
      <c r="G1013" s="6" t="s">
        <v>538</v>
      </c>
    </row>
    <row r="1014" spans="1:7" ht="15.75" customHeight="1">
      <c r="A1014" s="3">
        <v>232252610</v>
      </c>
      <c r="B1014" s="4" t="s">
        <v>2668</v>
      </c>
      <c r="C1014" s="3" t="s">
        <v>2669</v>
      </c>
      <c r="D1014" s="3">
        <v>79220748806</v>
      </c>
      <c r="E1014" s="3" t="s">
        <v>2670</v>
      </c>
      <c r="F1014" s="4" t="s">
        <v>561</v>
      </c>
      <c r="G1014" s="4" t="s">
        <v>538</v>
      </c>
    </row>
    <row r="1015" spans="1:7" ht="15.75" customHeight="1">
      <c r="A1015" s="5">
        <v>232258441</v>
      </c>
      <c r="B1015" s="6" t="s">
        <v>2671</v>
      </c>
      <c r="C1015" s="5" t="s">
        <v>2672</v>
      </c>
      <c r="D1015" s="5">
        <v>79042945702</v>
      </c>
      <c r="E1015" s="5" t="s">
        <v>2673</v>
      </c>
      <c r="F1015" s="6" t="s">
        <v>561</v>
      </c>
      <c r="G1015" s="6" t="s">
        <v>538</v>
      </c>
    </row>
    <row r="1016" spans="1:7" ht="15.75" customHeight="1">
      <c r="A1016" s="3">
        <v>232288289</v>
      </c>
      <c r="B1016" s="4" t="s">
        <v>2674</v>
      </c>
      <c r="C1016" s="3" t="s">
        <v>2675</v>
      </c>
      <c r="D1016" s="3" t="s">
        <v>2676</v>
      </c>
      <c r="E1016" s="3" t="s">
        <v>2677</v>
      </c>
      <c r="F1016" s="4" t="s">
        <v>70</v>
      </c>
      <c r="G1016" s="4" t="s">
        <v>71</v>
      </c>
    </row>
    <row r="1017" spans="1:7" ht="15.75" customHeight="1">
      <c r="A1017" s="5">
        <v>232288289</v>
      </c>
      <c r="B1017" s="6" t="s">
        <v>2674</v>
      </c>
      <c r="C1017" s="5" t="s">
        <v>2675</v>
      </c>
      <c r="D1017" s="5" t="s">
        <v>2676</v>
      </c>
      <c r="E1017" s="5" t="s">
        <v>2678</v>
      </c>
      <c r="F1017" s="6" t="s">
        <v>2660</v>
      </c>
      <c r="G1017" s="6" t="s">
        <v>282</v>
      </c>
    </row>
    <row r="1018" spans="1:7" ht="15.75" customHeight="1">
      <c r="A1018" s="3">
        <v>232336111</v>
      </c>
      <c r="B1018" s="4" t="s">
        <v>2679</v>
      </c>
      <c r="C1018" s="3" t="s">
        <v>2680</v>
      </c>
      <c r="D1018" s="3" t="s">
        <v>2681</v>
      </c>
      <c r="E1018" s="3" t="s">
        <v>2682</v>
      </c>
      <c r="F1018" s="4" t="s">
        <v>2660</v>
      </c>
      <c r="G1018" s="4" t="s">
        <v>282</v>
      </c>
    </row>
    <row r="1019" spans="1:7" ht="15.75" customHeight="1">
      <c r="A1019" s="5">
        <v>232370003</v>
      </c>
      <c r="B1019" s="6" t="s">
        <v>2683</v>
      </c>
      <c r="C1019" s="5" t="s">
        <v>2684</v>
      </c>
      <c r="D1019" s="5" t="s">
        <v>2685</v>
      </c>
      <c r="E1019" s="5" t="s">
        <v>2686</v>
      </c>
      <c r="F1019" s="6" t="s">
        <v>561</v>
      </c>
      <c r="G1019" s="6" t="s">
        <v>538</v>
      </c>
    </row>
    <row r="1020" spans="1:7" ht="15.75" customHeight="1">
      <c r="A1020" s="3">
        <v>232409866</v>
      </c>
      <c r="B1020" s="4" t="s">
        <v>2687</v>
      </c>
      <c r="C1020" s="3" t="s">
        <v>2688</v>
      </c>
      <c r="D1020" s="3">
        <v>79171321882</v>
      </c>
      <c r="E1020" s="3" t="s">
        <v>2689</v>
      </c>
      <c r="F1020" s="4" t="s">
        <v>936</v>
      </c>
      <c r="G1020" s="4" t="s">
        <v>937</v>
      </c>
    </row>
    <row r="1021" spans="1:7" ht="15.75" customHeight="1">
      <c r="A1021" s="5">
        <v>232430665</v>
      </c>
      <c r="B1021" s="6" t="s">
        <v>2690</v>
      </c>
      <c r="C1021" s="5" t="s">
        <v>2691</v>
      </c>
      <c r="D1021" s="5" t="s">
        <v>2692</v>
      </c>
      <c r="E1021" s="5" t="s">
        <v>2693</v>
      </c>
      <c r="F1021" s="6" t="s">
        <v>561</v>
      </c>
      <c r="G1021" s="6" t="s">
        <v>538</v>
      </c>
    </row>
    <row r="1022" spans="1:7" ht="15.75" customHeight="1">
      <c r="A1022" s="3">
        <v>232475376</v>
      </c>
      <c r="B1022" s="4" t="s">
        <v>1134</v>
      </c>
      <c r="C1022" s="3" t="s">
        <v>2694</v>
      </c>
      <c r="D1022" s="3">
        <v>79138390912</v>
      </c>
      <c r="E1022" s="3" t="s">
        <v>2695</v>
      </c>
      <c r="F1022" s="4" t="s">
        <v>537</v>
      </c>
      <c r="G1022" s="4" t="s">
        <v>538</v>
      </c>
    </row>
    <row r="1023" spans="1:7" ht="15.75" customHeight="1">
      <c r="A1023" s="5">
        <v>232516430</v>
      </c>
      <c r="B1023" s="6" t="s">
        <v>2696</v>
      </c>
      <c r="C1023" s="5" t="s">
        <v>2697</v>
      </c>
      <c r="D1023" s="5" t="s">
        <v>2698</v>
      </c>
      <c r="E1023" s="5" t="s">
        <v>2699</v>
      </c>
      <c r="F1023" s="6" t="s">
        <v>561</v>
      </c>
      <c r="G1023" s="6" t="s">
        <v>538</v>
      </c>
    </row>
    <row r="1024" spans="1:7" ht="15.75" customHeight="1">
      <c r="A1024" s="3">
        <v>232516430</v>
      </c>
      <c r="B1024" s="4" t="s">
        <v>2696</v>
      </c>
      <c r="C1024" s="3" t="s">
        <v>2697</v>
      </c>
      <c r="D1024" s="3" t="s">
        <v>2698</v>
      </c>
      <c r="E1024" s="3" t="s">
        <v>2700</v>
      </c>
      <c r="F1024" s="4" t="s">
        <v>537</v>
      </c>
      <c r="G1024" s="4" t="s">
        <v>538</v>
      </c>
    </row>
    <row r="1025" spans="1:7" ht="15.75" customHeight="1">
      <c r="A1025" s="5">
        <v>232518402</v>
      </c>
      <c r="B1025" s="6" t="s">
        <v>2701</v>
      </c>
      <c r="C1025" s="5" t="s">
        <v>2702</v>
      </c>
      <c r="D1025" s="5" t="s">
        <v>2703</v>
      </c>
      <c r="E1025" s="5" t="s">
        <v>2704</v>
      </c>
      <c r="F1025" s="6" t="s">
        <v>570</v>
      </c>
      <c r="G1025" s="6" t="s">
        <v>571</v>
      </c>
    </row>
    <row r="1026" spans="1:7" ht="15.75" customHeight="1">
      <c r="A1026" s="3">
        <v>232519105</v>
      </c>
      <c r="B1026" s="4" t="s">
        <v>2705</v>
      </c>
      <c r="C1026" s="3" t="s">
        <v>2706</v>
      </c>
      <c r="D1026" s="3" t="s">
        <v>2707</v>
      </c>
      <c r="E1026" s="3" t="s">
        <v>2708</v>
      </c>
      <c r="F1026" s="4" t="s">
        <v>561</v>
      </c>
      <c r="G1026" s="4" t="s">
        <v>538</v>
      </c>
    </row>
    <row r="1027" spans="1:7" ht="15.75" customHeight="1">
      <c r="A1027" s="5">
        <v>232544332</v>
      </c>
      <c r="B1027" s="6" t="s">
        <v>2709</v>
      </c>
      <c r="C1027" s="5" t="s">
        <v>2710</v>
      </c>
      <c r="D1027" s="5">
        <v>79136961098</v>
      </c>
      <c r="E1027" s="5" t="s">
        <v>2711</v>
      </c>
      <c r="F1027" s="6" t="s">
        <v>561</v>
      </c>
      <c r="G1027" s="6" t="s">
        <v>538</v>
      </c>
    </row>
    <row r="1028" spans="1:7" ht="15.75" customHeight="1">
      <c r="A1028" s="3">
        <v>232584199</v>
      </c>
      <c r="B1028" s="4" t="s">
        <v>2712</v>
      </c>
      <c r="C1028" s="3" t="s">
        <v>2713</v>
      </c>
      <c r="D1028" s="3">
        <v>79031736699</v>
      </c>
      <c r="E1028" s="3" t="s">
        <v>2714</v>
      </c>
      <c r="F1028" s="4" t="s">
        <v>281</v>
      </c>
      <c r="G1028" s="4" t="s">
        <v>282</v>
      </c>
    </row>
    <row r="1029" spans="1:7" ht="15.75" customHeight="1">
      <c r="A1029" s="5">
        <v>232589467</v>
      </c>
      <c r="B1029" s="6" t="s">
        <v>2715</v>
      </c>
      <c r="C1029" s="5" t="s">
        <v>2716</v>
      </c>
      <c r="D1029" s="5" t="s">
        <v>2717</v>
      </c>
      <c r="E1029" s="5" t="s">
        <v>2718</v>
      </c>
      <c r="F1029" s="6" t="s">
        <v>561</v>
      </c>
      <c r="G1029" s="6" t="s">
        <v>538</v>
      </c>
    </row>
    <row r="1030" spans="1:7" ht="15.75" customHeight="1">
      <c r="A1030" s="3">
        <v>232597543</v>
      </c>
      <c r="B1030" s="4" t="s">
        <v>2719</v>
      </c>
      <c r="C1030" s="3" t="s">
        <v>2720</v>
      </c>
      <c r="D1030" s="3" t="s">
        <v>2721</v>
      </c>
      <c r="E1030" s="3" t="s">
        <v>2722</v>
      </c>
      <c r="F1030" s="4" t="s">
        <v>561</v>
      </c>
      <c r="G1030" s="4" t="s">
        <v>538</v>
      </c>
    </row>
    <row r="1031" spans="1:7" ht="15.75" customHeight="1">
      <c r="A1031" s="5">
        <v>231541929</v>
      </c>
      <c r="B1031" s="6" t="s">
        <v>2626</v>
      </c>
      <c r="C1031" s="5" t="s">
        <v>2627</v>
      </c>
      <c r="D1031" s="5" t="s">
        <v>2628</v>
      </c>
      <c r="E1031" s="5" t="s">
        <v>2723</v>
      </c>
      <c r="F1031" s="6" t="s">
        <v>561</v>
      </c>
      <c r="G1031" s="6" t="s">
        <v>538</v>
      </c>
    </row>
    <row r="1032" spans="1:7" ht="15.75" customHeight="1">
      <c r="A1032" s="3">
        <v>232611471</v>
      </c>
      <c r="B1032" s="4" t="s">
        <v>2724</v>
      </c>
      <c r="C1032" s="3" t="s">
        <v>2725</v>
      </c>
      <c r="D1032" s="3">
        <v>79287080501</v>
      </c>
      <c r="E1032" s="3" t="s">
        <v>2726</v>
      </c>
      <c r="F1032" s="4" t="s">
        <v>570</v>
      </c>
      <c r="G1032" s="4" t="s">
        <v>571</v>
      </c>
    </row>
    <row r="1033" spans="1:7" ht="15.75" customHeight="1">
      <c r="A1033" s="5">
        <v>232616568</v>
      </c>
      <c r="B1033" s="6" t="s">
        <v>2727</v>
      </c>
      <c r="C1033" s="5" t="s">
        <v>2728</v>
      </c>
      <c r="D1033" s="5" t="s">
        <v>2729</v>
      </c>
      <c r="E1033" s="5" t="s">
        <v>2730</v>
      </c>
      <c r="F1033" s="6" t="s">
        <v>70</v>
      </c>
      <c r="G1033" s="6" t="s">
        <v>71</v>
      </c>
    </row>
    <row r="1034" spans="1:7" ht="15.75" customHeight="1">
      <c r="A1034" s="3">
        <v>232625535</v>
      </c>
      <c r="B1034" s="4" t="s">
        <v>2731</v>
      </c>
      <c r="C1034" s="3" t="s">
        <v>2732</v>
      </c>
      <c r="D1034" s="3">
        <v>79831021798</v>
      </c>
      <c r="E1034" s="3" t="s">
        <v>2733</v>
      </c>
      <c r="F1034" s="4" t="s">
        <v>561</v>
      </c>
      <c r="G1034" s="4" t="s">
        <v>538</v>
      </c>
    </row>
    <row r="1035" spans="1:7" ht="15.75" customHeight="1">
      <c r="A1035" s="5">
        <v>232628018</v>
      </c>
      <c r="B1035" s="6" t="s">
        <v>2734</v>
      </c>
      <c r="C1035" s="5" t="s">
        <v>2735</v>
      </c>
      <c r="D1035" s="5">
        <v>79227538501</v>
      </c>
      <c r="E1035" s="5" t="s">
        <v>2736</v>
      </c>
      <c r="F1035" s="6" t="s">
        <v>561</v>
      </c>
      <c r="G1035" s="6" t="s">
        <v>538</v>
      </c>
    </row>
    <row r="1036" spans="1:7" ht="15.75" customHeight="1">
      <c r="A1036" s="3">
        <v>232628459</v>
      </c>
      <c r="B1036" s="4" t="s">
        <v>2737</v>
      </c>
      <c r="C1036" s="3" t="s">
        <v>2738</v>
      </c>
      <c r="D1036" s="3" t="s">
        <v>2739</v>
      </c>
      <c r="E1036" s="3" t="s">
        <v>2740</v>
      </c>
      <c r="F1036" s="4" t="s">
        <v>570</v>
      </c>
      <c r="G1036" s="4" t="s">
        <v>571</v>
      </c>
    </row>
    <row r="1037" spans="1:7" ht="15.75" customHeight="1">
      <c r="A1037" s="5">
        <v>232667073</v>
      </c>
      <c r="B1037" s="6" t="s">
        <v>2741</v>
      </c>
      <c r="C1037" s="5" t="s">
        <v>2742</v>
      </c>
      <c r="D1037" s="5" t="s">
        <v>2743</v>
      </c>
      <c r="E1037" s="5" t="s">
        <v>2744</v>
      </c>
      <c r="F1037" s="6" t="s">
        <v>570</v>
      </c>
      <c r="G1037" s="6" t="s">
        <v>571</v>
      </c>
    </row>
    <row r="1038" spans="1:7" ht="15.75" customHeight="1">
      <c r="A1038" s="3">
        <v>232669880</v>
      </c>
      <c r="B1038" s="4" t="s">
        <v>2745</v>
      </c>
      <c r="C1038" s="3" t="s">
        <v>2746</v>
      </c>
      <c r="D1038" s="3">
        <v>79183062038</v>
      </c>
      <c r="E1038" s="3" t="s">
        <v>2747</v>
      </c>
      <c r="F1038" s="4" t="s">
        <v>561</v>
      </c>
      <c r="G1038" s="4" t="s">
        <v>538</v>
      </c>
    </row>
    <row r="1039" spans="1:7" ht="15.75" customHeight="1">
      <c r="A1039" s="5">
        <v>232679664</v>
      </c>
      <c r="B1039" s="6" t="s">
        <v>2748</v>
      </c>
      <c r="C1039" s="5" t="s">
        <v>2749</v>
      </c>
      <c r="D1039" s="5" t="s">
        <v>2750</v>
      </c>
      <c r="E1039" s="5" t="s">
        <v>2751</v>
      </c>
      <c r="F1039" s="6" t="s">
        <v>561</v>
      </c>
      <c r="G1039" s="6" t="s">
        <v>538</v>
      </c>
    </row>
    <row r="1040" spans="1:7" ht="15.75" customHeight="1">
      <c r="A1040" s="3">
        <v>232695941</v>
      </c>
      <c r="B1040" s="4" t="s">
        <v>2752</v>
      </c>
      <c r="C1040" s="3" t="s">
        <v>2753</v>
      </c>
      <c r="D1040" s="3">
        <v>79150254525</v>
      </c>
      <c r="E1040" s="3" t="s">
        <v>2754</v>
      </c>
      <c r="F1040" s="4" t="s">
        <v>561</v>
      </c>
      <c r="G1040" s="4" t="s">
        <v>538</v>
      </c>
    </row>
    <row r="1041" spans="1:7" ht="15.75" customHeight="1">
      <c r="A1041" s="5">
        <v>232702587</v>
      </c>
      <c r="B1041" s="6" t="s">
        <v>2755</v>
      </c>
      <c r="C1041" s="5" t="s">
        <v>2756</v>
      </c>
      <c r="D1041" s="5" t="s">
        <v>2757</v>
      </c>
      <c r="E1041" s="5" t="s">
        <v>2758</v>
      </c>
      <c r="F1041" s="6" t="s">
        <v>537</v>
      </c>
      <c r="G1041" s="6" t="s">
        <v>538</v>
      </c>
    </row>
    <row r="1042" spans="1:7" ht="15.75" customHeight="1">
      <c r="A1042" s="3">
        <v>232709308</v>
      </c>
      <c r="B1042" s="4" t="s">
        <v>2759</v>
      </c>
      <c r="C1042" s="3" t="s">
        <v>2760</v>
      </c>
      <c r="D1042" s="3" t="s">
        <v>2761</v>
      </c>
      <c r="E1042" s="3" t="s">
        <v>2762</v>
      </c>
      <c r="F1042" s="4" t="s">
        <v>537</v>
      </c>
      <c r="G1042" s="4" t="s">
        <v>538</v>
      </c>
    </row>
    <row r="1043" spans="1:7" ht="15.75" customHeight="1">
      <c r="A1043" s="5">
        <v>232714812</v>
      </c>
      <c r="B1043" s="6" t="s">
        <v>2763</v>
      </c>
      <c r="C1043" s="5" t="s">
        <v>2764</v>
      </c>
      <c r="D1043" s="5">
        <v>79220060333</v>
      </c>
      <c r="E1043" s="5" t="s">
        <v>2765</v>
      </c>
      <c r="F1043" s="6" t="s">
        <v>561</v>
      </c>
      <c r="G1043" s="6" t="s">
        <v>538</v>
      </c>
    </row>
    <row r="1044" spans="1:7" ht="15.75" customHeight="1">
      <c r="A1044" s="3">
        <v>232726922</v>
      </c>
      <c r="B1044" s="4" t="s">
        <v>2766</v>
      </c>
      <c r="C1044" s="3" t="s">
        <v>2767</v>
      </c>
      <c r="D1044" s="3" t="s">
        <v>2768</v>
      </c>
      <c r="E1044" s="3" t="s">
        <v>2769</v>
      </c>
      <c r="F1044" s="4" t="s">
        <v>561</v>
      </c>
      <c r="G1044" s="4" t="s">
        <v>538</v>
      </c>
    </row>
    <row r="1045" spans="1:7" ht="15.75" customHeight="1">
      <c r="A1045" s="5">
        <v>232734706</v>
      </c>
      <c r="B1045" s="6" t="s">
        <v>2770</v>
      </c>
      <c r="C1045" s="5" t="s">
        <v>2771</v>
      </c>
      <c r="D1045" s="5" t="s">
        <v>2772</v>
      </c>
      <c r="E1045" s="5" t="s">
        <v>2773</v>
      </c>
      <c r="F1045" s="6" t="s">
        <v>537</v>
      </c>
      <c r="G1045" s="6" t="s">
        <v>538</v>
      </c>
    </row>
    <row r="1046" spans="1:7" ht="15.75" customHeight="1">
      <c r="A1046" s="3">
        <v>232790087</v>
      </c>
      <c r="B1046" s="4" t="s">
        <v>2774</v>
      </c>
      <c r="C1046" s="3" t="s">
        <v>2775</v>
      </c>
      <c r="D1046" s="3" t="s">
        <v>2776</v>
      </c>
      <c r="E1046" s="3" t="s">
        <v>2777</v>
      </c>
      <c r="F1046" s="4" t="s">
        <v>561</v>
      </c>
      <c r="G1046" s="4" t="s">
        <v>538</v>
      </c>
    </row>
    <row r="1047" spans="1:7" ht="15.75" customHeight="1">
      <c r="A1047" s="5">
        <v>232799651</v>
      </c>
      <c r="B1047" s="6" t="s">
        <v>2778</v>
      </c>
      <c r="C1047" s="5" t="s">
        <v>2779</v>
      </c>
      <c r="D1047" s="5" t="s">
        <v>2780</v>
      </c>
      <c r="E1047" s="5" t="s">
        <v>2781</v>
      </c>
      <c r="F1047" s="6" t="s">
        <v>537</v>
      </c>
      <c r="G1047" s="6" t="s">
        <v>538</v>
      </c>
    </row>
    <row r="1048" spans="1:7" ht="15.75" customHeight="1">
      <c r="A1048" s="3">
        <v>232813759</v>
      </c>
      <c r="B1048" s="4" t="s">
        <v>2782</v>
      </c>
      <c r="C1048" s="3" t="s">
        <v>2783</v>
      </c>
      <c r="D1048" s="3" t="s">
        <v>2784</v>
      </c>
      <c r="E1048" s="3" t="s">
        <v>2785</v>
      </c>
      <c r="F1048" s="4" t="s">
        <v>537</v>
      </c>
      <c r="G1048" s="4" t="s">
        <v>538</v>
      </c>
    </row>
    <row r="1049" spans="1:7" ht="15.75" customHeight="1">
      <c r="A1049" s="5">
        <v>232819161</v>
      </c>
      <c r="B1049" s="6" t="s">
        <v>2786</v>
      </c>
      <c r="C1049" s="5" t="s">
        <v>2787</v>
      </c>
      <c r="D1049" s="5" t="s">
        <v>2788</v>
      </c>
      <c r="E1049" s="5" t="s">
        <v>2789</v>
      </c>
      <c r="F1049" s="6" t="s">
        <v>561</v>
      </c>
      <c r="G1049" s="6" t="s">
        <v>538</v>
      </c>
    </row>
    <row r="1050" spans="1:7" ht="15.75" customHeight="1">
      <c r="A1050" s="3">
        <v>232821797</v>
      </c>
      <c r="B1050" s="4" t="s">
        <v>2790</v>
      </c>
      <c r="C1050" s="3" t="s">
        <v>2791</v>
      </c>
      <c r="D1050" s="3">
        <v>79897443977</v>
      </c>
      <c r="E1050" s="3" t="s">
        <v>2792</v>
      </c>
      <c r="F1050" s="4" t="s">
        <v>561</v>
      </c>
      <c r="G1050" s="4" t="s">
        <v>538</v>
      </c>
    </row>
    <row r="1051" spans="1:7" ht="15.75" customHeight="1">
      <c r="A1051" s="5">
        <v>232835858</v>
      </c>
      <c r="B1051" s="6" t="s">
        <v>2793</v>
      </c>
      <c r="C1051" s="5" t="s">
        <v>2794</v>
      </c>
      <c r="D1051" s="5" t="s">
        <v>2795</v>
      </c>
      <c r="E1051" s="5" t="s">
        <v>2796</v>
      </c>
      <c r="F1051" s="6" t="s">
        <v>537</v>
      </c>
      <c r="G1051" s="6" t="s">
        <v>538</v>
      </c>
    </row>
    <row r="1052" spans="1:7" ht="15.75" customHeight="1">
      <c r="A1052" s="3">
        <v>232837929</v>
      </c>
      <c r="B1052" s="4" t="s">
        <v>2797</v>
      </c>
      <c r="C1052" s="3" t="s">
        <v>2798</v>
      </c>
      <c r="D1052" s="3" t="s">
        <v>2799</v>
      </c>
      <c r="E1052" s="3" t="s">
        <v>2800</v>
      </c>
      <c r="F1052" s="4" t="s">
        <v>537</v>
      </c>
      <c r="G1052" s="4" t="s">
        <v>538</v>
      </c>
    </row>
    <row r="1053" spans="1:7" ht="15.75" customHeight="1">
      <c r="A1053" s="5">
        <v>232848139</v>
      </c>
      <c r="B1053" s="6" t="s">
        <v>2801</v>
      </c>
      <c r="C1053" s="5" t="s">
        <v>2802</v>
      </c>
      <c r="D1053" s="5" t="s">
        <v>2803</v>
      </c>
      <c r="E1053" s="5" t="s">
        <v>2804</v>
      </c>
      <c r="F1053" s="6" t="s">
        <v>561</v>
      </c>
      <c r="G1053" s="6" t="s">
        <v>538</v>
      </c>
    </row>
    <row r="1054" spans="1:7" ht="15.75" customHeight="1">
      <c r="A1054" s="3">
        <v>232848271</v>
      </c>
      <c r="B1054" s="4" t="s">
        <v>2805</v>
      </c>
      <c r="C1054" s="3" t="s">
        <v>2806</v>
      </c>
      <c r="D1054" s="3">
        <v>868253103</v>
      </c>
      <c r="E1054" s="3" t="s">
        <v>2807</v>
      </c>
      <c r="F1054" s="4" t="s">
        <v>537</v>
      </c>
      <c r="G1054" s="4" t="s">
        <v>538</v>
      </c>
    </row>
    <row r="1055" spans="1:7" ht="15.75" customHeight="1">
      <c r="A1055" s="5">
        <v>232849214</v>
      </c>
      <c r="B1055" s="6" t="s">
        <v>2808</v>
      </c>
      <c r="C1055" s="5" t="s">
        <v>2809</v>
      </c>
      <c r="D1055" s="5">
        <v>860446105</v>
      </c>
      <c r="E1055" s="5" t="s">
        <v>2810</v>
      </c>
      <c r="F1055" s="6" t="s">
        <v>537</v>
      </c>
      <c r="G1055" s="6" t="s">
        <v>538</v>
      </c>
    </row>
    <row r="1056" spans="1:7" ht="15.75" customHeight="1">
      <c r="A1056" s="3">
        <v>232853323</v>
      </c>
      <c r="B1056" s="4" t="s">
        <v>2811</v>
      </c>
      <c r="C1056" s="3" t="s">
        <v>2812</v>
      </c>
      <c r="D1056" s="3" t="s">
        <v>2813</v>
      </c>
      <c r="E1056" s="3" t="s">
        <v>2814</v>
      </c>
      <c r="F1056" s="4" t="s">
        <v>537</v>
      </c>
      <c r="G1056" s="4" t="s">
        <v>538</v>
      </c>
    </row>
    <row r="1057" spans="1:7" ht="15.75" customHeight="1">
      <c r="A1057" s="5">
        <v>232856107</v>
      </c>
      <c r="B1057" s="6" t="s">
        <v>2815</v>
      </c>
      <c r="C1057" s="5" t="s">
        <v>2816</v>
      </c>
      <c r="D1057" s="5">
        <v>79051306006</v>
      </c>
      <c r="E1057" s="5" t="s">
        <v>2817</v>
      </c>
      <c r="F1057" s="6" t="s">
        <v>537</v>
      </c>
      <c r="G1057" s="6" t="s">
        <v>538</v>
      </c>
    </row>
    <row r="1058" spans="1:7" ht="15.75" customHeight="1">
      <c r="A1058" s="3">
        <v>232862909</v>
      </c>
      <c r="B1058" s="4" t="s">
        <v>2818</v>
      </c>
      <c r="C1058" s="3" t="s">
        <v>2819</v>
      </c>
      <c r="D1058" s="3" t="s">
        <v>2820</v>
      </c>
      <c r="E1058" s="3" t="s">
        <v>2821</v>
      </c>
      <c r="F1058" s="4" t="s">
        <v>537</v>
      </c>
      <c r="G1058" s="4" t="s">
        <v>538</v>
      </c>
    </row>
    <row r="1059" spans="1:7" ht="15.75" customHeight="1">
      <c r="A1059" s="5">
        <v>232864579</v>
      </c>
      <c r="B1059" s="6" t="s">
        <v>2822</v>
      </c>
      <c r="C1059" s="5" t="s">
        <v>2823</v>
      </c>
      <c r="D1059" s="5" t="s">
        <v>2824</v>
      </c>
      <c r="E1059" s="5" t="s">
        <v>2825</v>
      </c>
      <c r="F1059" s="6" t="s">
        <v>561</v>
      </c>
      <c r="G1059" s="6" t="s">
        <v>538</v>
      </c>
    </row>
    <row r="1060" spans="1:7" ht="15.75" customHeight="1">
      <c r="A1060" s="3">
        <v>232868557</v>
      </c>
      <c r="B1060" s="4" t="s">
        <v>2826</v>
      </c>
      <c r="C1060" s="3" t="s">
        <v>2827</v>
      </c>
      <c r="D1060" s="3" t="s">
        <v>2828</v>
      </c>
      <c r="E1060" s="3" t="s">
        <v>2829</v>
      </c>
      <c r="F1060" s="4" t="s">
        <v>537</v>
      </c>
      <c r="G1060" s="4" t="s">
        <v>538</v>
      </c>
    </row>
    <row r="1061" spans="1:7" ht="15.75" customHeight="1">
      <c r="A1061" s="5">
        <v>232882414</v>
      </c>
      <c r="B1061" s="6" t="s">
        <v>2830</v>
      </c>
      <c r="C1061" s="5" t="s">
        <v>2831</v>
      </c>
      <c r="D1061" s="5" t="s">
        <v>2832</v>
      </c>
      <c r="E1061" s="5" t="s">
        <v>2833</v>
      </c>
      <c r="F1061" s="6" t="s">
        <v>537</v>
      </c>
      <c r="G1061" s="6" t="s">
        <v>538</v>
      </c>
    </row>
    <row r="1062" spans="1:7" ht="15.75" customHeight="1">
      <c r="A1062" s="3">
        <v>232896631</v>
      </c>
      <c r="B1062" s="4" t="s">
        <v>2834</v>
      </c>
      <c r="C1062" s="3" t="s">
        <v>2835</v>
      </c>
      <c r="D1062" s="3" t="s">
        <v>2836</v>
      </c>
      <c r="E1062" s="3" t="s">
        <v>2837</v>
      </c>
      <c r="F1062" s="4" t="s">
        <v>537</v>
      </c>
      <c r="G1062" s="4" t="s">
        <v>538</v>
      </c>
    </row>
    <row r="1063" spans="1:7" ht="15.75" customHeight="1">
      <c r="A1063" s="5">
        <v>232897468</v>
      </c>
      <c r="B1063" s="6" t="s">
        <v>2838</v>
      </c>
      <c r="C1063" s="5" t="s">
        <v>2839</v>
      </c>
      <c r="D1063" s="5" t="s">
        <v>2840</v>
      </c>
      <c r="E1063" s="5" t="s">
        <v>2841</v>
      </c>
      <c r="F1063" s="6" t="s">
        <v>561</v>
      </c>
      <c r="G1063" s="6" t="s">
        <v>538</v>
      </c>
    </row>
    <row r="1064" spans="1:7" ht="15.75" customHeight="1">
      <c r="A1064" s="3">
        <v>232898046</v>
      </c>
      <c r="B1064" s="4" t="s">
        <v>2842</v>
      </c>
      <c r="C1064" s="3" t="s">
        <v>2843</v>
      </c>
      <c r="D1064" s="3">
        <v>380933357778</v>
      </c>
      <c r="E1064" s="3" t="s">
        <v>2844</v>
      </c>
      <c r="F1064" s="4" t="s">
        <v>561</v>
      </c>
      <c r="G1064" s="4" t="s">
        <v>538</v>
      </c>
    </row>
    <row r="1065" spans="1:7" ht="15.75" customHeight="1">
      <c r="A1065" s="5">
        <v>232902569</v>
      </c>
      <c r="B1065" s="6" t="s">
        <v>2845</v>
      </c>
      <c r="C1065" s="5" t="s">
        <v>2846</v>
      </c>
      <c r="D1065" s="5" t="s">
        <v>2847</v>
      </c>
      <c r="E1065" s="5" t="s">
        <v>2848</v>
      </c>
      <c r="F1065" s="6" t="s">
        <v>561</v>
      </c>
      <c r="G1065" s="6" t="s">
        <v>538</v>
      </c>
    </row>
    <row r="1066" spans="1:7" ht="15.75" customHeight="1">
      <c r="A1066" s="3">
        <v>232923572</v>
      </c>
      <c r="B1066" s="4" t="s">
        <v>2849</v>
      </c>
      <c r="C1066" s="3" t="s">
        <v>2850</v>
      </c>
      <c r="D1066" s="3" t="s">
        <v>2851</v>
      </c>
      <c r="E1066" s="3" t="s">
        <v>2852</v>
      </c>
      <c r="F1066" s="4" t="s">
        <v>561</v>
      </c>
      <c r="G1066" s="4" t="s">
        <v>538</v>
      </c>
    </row>
    <row r="1067" spans="1:7" ht="15.75" customHeight="1">
      <c r="A1067" s="5">
        <v>232923912</v>
      </c>
      <c r="B1067" s="6" t="s">
        <v>2853</v>
      </c>
      <c r="C1067" s="5" t="s">
        <v>2854</v>
      </c>
      <c r="D1067" s="5" t="s">
        <v>2855</v>
      </c>
      <c r="E1067" s="5" t="s">
        <v>2856</v>
      </c>
      <c r="F1067" s="6" t="s">
        <v>561</v>
      </c>
      <c r="G1067" s="6" t="s">
        <v>538</v>
      </c>
    </row>
    <row r="1068" spans="1:7" ht="15.75" customHeight="1">
      <c r="A1068" s="3">
        <v>232925182</v>
      </c>
      <c r="B1068" s="4" t="s">
        <v>2857</v>
      </c>
      <c r="C1068" s="3" t="s">
        <v>2858</v>
      </c>
      <c r="D1068" s="3" t="s">
        <v>2859</v>
      </c>
      <c r="E1068" s="3" t="s">
        <v>2860</v>
      </c>
      <c r="F1068" s="4" t="s">
        <v>537</v>
      </c>
      <c r="G1068" s="4" t="s">
        <v>538</v>
      </c>
    </row>
    <row r="1069" spans="1:7" ht="15.75" customHeight="1">
      <c r="A1069" s="5">
        <v>232953827</v>
      </c>
      <c r="B1069" s="6" t="s">
        <v>1724</v>
      </c>
      <c r="C1069" s="5" t="s">
        <v>2861</v>
      </c>
      <c r="D1069" s="5">
        <v>79151154097</v>
      </c>
      <c r="E1069" s="5" t="s">
        <v>2862</v>
      </c>
      <c r="F1069" s="6" t="s">
        <v>561</v>
      </c>
      <c r="G1069" s="6" t="s">
        <v>538</v>
      </c>
    </row>
    <row r="1070" spans="1:7" ht="15.75" customHeight="1">
      <c r="A1070" s="3">
        <v>232954260</v>
      </c>
      <c r="B1070" s="4" t="s">
        <v>2863</v>
      </c>
      <c r="C1070" s="3" t="s">
        <v>2864</v>
      </c>
      <c r="D1070" s="3" t="s">
        <v>2865</v>
      </c>
      <c r="E1070" s="3" t="s">
        <v>2866</v>
      </c>
      <c r="F1070" s="4" t="s">
        <v>537</v>
      </c>
      <c r="G1070" s="4" t="s">
        <v>538</v>
      </c>
    </row>
    <row r="1071" spans="1:7" ht="15.75" customHeight="1">
      <c r="A1071" s="5">
        <v>232959610</v>
      </c>
      <c r="B1071" s="6" t="s">
        <v>2867</v>
      </c>
      <c r="C1071" s="5" t="s">
        <v>2868</v>
      </c>
      <c r="D1071" s="5" t="s">
        <v>2869</v>
      </c>
      <c r="E1071" s="5" t="s">
        <v>2870</v>
      </c>
      <c r="F1071" s="6" t="s">
        <v>2871</v>
      </c>
      <c r="G1071" s="6" t="s">
        <v>2872</v>
      </c>
    </row>
    <row r="1072" spans="1:7" ht="15.75" customHeight="1">
      <c r="A1072" s="3">
        <v>232868557</v>
      </c>
      <c r="B1072" s="4" t="s">
        <v>2826</v>
      </c>
      <c r="C1072" s="3" t="s">
        <v>2827</v>
      </c>
      <c r="D1072" s="3" t="s">
        <v>2828</v>
      </c>
      <c r="E1072" s="3" t="s">
        <v>2873</v>
      </c>
      <c r="F1072" s="4" t="s">
        <v>561</v>
      </c>
      <c r="G1072" s="4" t="s">
        <v>538</v>
      </c>
    </row>
    <row r="1073" spans="1:7" ht="15.75" customHeight="1">
      <c r="A1073" s="5">
        <v>233016718</v>
      </c>
      <c r="B1073" s="6" t="s">
        <v>2874</v>
      </c>
      <c r="C1073" s="5" t="s">
        <v>2875</v>
      </c>
      <c r="D1073" s="5" t="s">
        <v>2876</v>
      </c>
      <c r="E1073" s="5" t="s">
        <v>2877</v>
      </c>
      <c r="F1073" s="6" t="s">
        <v>561</v>
      </c>
      <c r="G1073" s="6" t="s">
        <v>538</v>
      </c>
    </row>
    <row r="1074" spans="1:7" ht="15.75" customHeight="1">
      <c r="A1074" s="3">
        <v>233022682</v>
      </c>
      <c r="B1074" s="4" t="s">
        <v>2878</v>
      </c>
      <c r="C1074" s="3" t="s">
        <v>2879</v>
      </c>
      <c r="D1074" s="3" t="s">
        <v>2880</v>
      </c>
      <c r="E1074" s="3" t="s">
        <v>2881</v>
      </c>
      <c r="F1074" s="4" t="s">
        <v>561</v>
      </c>
      <c r="G1074" s="4" t="s">
        <v>538</v>
      </c>
    </row>
    <row r="1075" spans="1:7" ht="15.75" customHeight="1">
      <c r="A1075" s="5">
        <v>233023935</v>
      </c>
      <c r="B1075" s="6" t="s">
        <v>2882</v>
      </c>
      <c r="C1075" s="5" t="s">
        <v>2883</v>
      </c>
      <c r="D1075" s="5" t="s">
        <v>2884</v>
      </c>
      <c r="E1075" s="5" t="s">
        <v>2885</v>
      </c>
      <c r="F1075" s="6" t="s">
        <v>537</v>
      </c>
      <c r="G1075" s="6" t="s">
        <v>538</v>
      </c>
    </row>
    <row r="1076" spans="1:7" ht="15.75" customHeight="1">
      <c r="A1076" s="3">
        <v>233040497</v>
      </c>
      <c r="B1076" s="4" t="s">
        <v>2886</v>
      </c>
      <c r="C1076" s="3" t="s">
        <v>2887</v>
      </c>
      <c r="D1076" s="3">
        <v>79119613492</v>
      </c>
      <c r="E1076" s="3" t="s">
        <v>2888</v>
      </c>
      <c r="F1076" s="4" t="s">
        <v>561</v>
      </c>
      <c r="G1076" s="4" t="s">
        <v>538</v>
      </c>
    </row>
    <row r="1077" spans="1:7" ht="15.75" customHeight="1">
      <c r="A1077" s="5">
        <v>233047304</v>
      </c>
      <c r="B1077" s="6" t="s">
        <v>2889</v>
      </c>
      <c r="C1077" s="5" t="s">
        <v>2890</v>
      </c>
      <c r="D1077" s="5" t="s">
        <v>2891</v>
      </c>
      <c r="E1077" s="5" t="s">
        <v>2892</v>
      </c>
      <c r="F1077" s="6" t="s">
        <v>561</v>
      </c>
      <c r="G1077" s="6" t="s">
        <v>538</v>
      </c>
    </row>
    <row r="1078" spans="1:7" ht="15.75" customHeight="1">
      <c r="A1078" s="3">
        <v>233051333</v>
      </c>
      <c r="B1078" s="4" t="s">
        <v>2893</v>
      </c>
      <c r="C1078" s="3" t="s">
        <v>2894</v>
      </c>
      <c r="D1078" s="3">
        <v>79226667754</v>
      </c>
      <c r="E1078" s="3" t="s">
        <v>2895</v>
      </c>
      <c r="F1078" s="4" t="s">
        <v>561</v>
      </c>
      <c r="G1078" s="4" t="s">
        <v>538</v>
      </c>
    </row>
    <row r="1079" spans="1:7" ht="15.75" customHeight="1">
      <c r="A1079" s="5">
        <v>233023935</v>
      </c>
      <c r="B1079" s="6" t="s">
        <v>2882</v>
      </c>
      <c r="C1079" s="5" t="s">
        <v>2883</v>
      </c>
      <c r="D1079" s="5" t="s">
        <v>2884</v>
      </c>
      <c r="E1079" s="5" t="s">
        <v>2896</v>
      </c>
      <c r="F1079" s="6" t="s">
        <v>561</v>
      </c>
      <c r="G1079" s="6" t="s">
        <v>538</v>
      </c>
    </row>
    <row r="1080" spans="1:7" ht="15.75" customHeight="1">
      <c r="A1080" s="3">
        <v>233073391</v>
      </c>
      <c r="B1080" s="4" t="s">
        <v>2897</v>
      </c>
      <c r="C1080" s="3" t="s">
        <v>2898</v>
      </c>
      <c r="D1080" s="3" t="s">
        <v>2899</v>
      </c>
      <c r="E1080" s="3" t="s">
        <v>2900</v>
      </c>
      <c r="F1080" s="4" t="s">
        <v>561</v>
      </c>
      <c r="G1080" s="4" t="s">
        <v>538</v>
      </c>
    </row>
    <row r="1081" spans="1:7" ht="15.75" customHeight="1">
      <c r="A1081" s="5">
        <v>233075916</v>
      </c>
      <c r="B1081" s="6" t="s">
        <v>2901</v>
      </c>
      <c r="C1081" s="5" t="s">
        <v>2902</v>
      </c>
      <c r="D1081" s="5">
        <v>79534152514</v>
      </c>
      <c r="E1081" s="5" t="s">
        <v>2903</v>
      </c>
      <c r="F1081" s="6" t="s">
        <v>561</v>
      </c>
      <c r="G1081" s="6" t="s">
        <v>538</v>
      </c>
    </row>
    <row r="1082" spans="1:7" ht="15.75" customHeight="1">
      <c r="A1082" s="3">
        <v>233078949</v>
      </c>
      <c r="B1082" s="4" t="s">
        <v>2904</v>
      </c>
      <c r="C1082" s="3" t="s">
        <v>2905</v>
      </c>
      <c r="D1082" s="3" t="s">
        <v>2906</v>
      </c>
      <c r="E1082" s="3" t="s">
        <v>2907</v>
      </c>
      <c r="F1082" s="4" t="s">
        <v>854</v>
      </c>
      <c r="G1082" s="4" t="s">
        <v>855</v>
      </c>
    </row>
    <row r="1083" spans="1:7" ht="15.75" customHeight="1">
      <c r="A1083" s="5">
        <v>233087870</v>
      </c>
      <c r="B1083" s="6" t="s">
        <v>2908</v>
      </c>
      <c r="C1083" s="5" t="s">
        <v>2909</v>
      </c>
      <c r="D1083" s="5" t="s">
        <v>2910</v>
      </c>
      <c r="E1083" s="5" t="s">
        <v>2911</v>
      </c>
      <c r="F1083" s="6" t="s">
        <v>537</v>
      </c>
      <c r="G1083" s="6" t="s">
        <v>538</v>
      </c>
    </row>
    <row r="1084" spans="1:7" ht="15.75" customHeight="1">
      <c r="A1084" s="3">
        <v>233113481</v>
      </c>
      <c r="B1084" s="4" t="s">
        <v>2912</v>
      </c>
      <c r="C1084" s="3" t="s">
        <v>2913</v>
      </c>
      <c r="D1084" s="3" t="s">
        <v>2914</v>
      </c>
      <c r="E1084" s="3" t="s">
        <v>2915</v>
      </c>
      <c r="F1084" s="4" t="s">
        <v>561</v>
      </c>
      <c r="G1084" s="4" t="s">
        <v>538</v>
      </c>
    </row>
    <row r="1085" spans="1:7" ht="15.75" customHeight="1">
      <c r="A1085" s="5">
        <v>233120141</v>
      </c>
      <c r="B1085" s="6" t="s">
        <v>2916</v>
      </c>
      <c r="C1085" s="5" t="s">
        <v>2917</v>
      </c>
      <c r="D1085" s="5">
        <v>79121164370</v>
      </c>
      <c r="E1085" s="5" t="s">
        <v>2918</v>
      </c>
      <c r="F1085" s="6" t="s">
        <v>561</v>
      </c>
      <c r="G1085" s="6" t="s">
        <v>538</v>
      </c>
    </row>
    <row r="1086" spans="1:7" ht="15.75" customHeight="1">
      <c r="A1086" s="3">
        <v>232856107</v>
      </c>
      <c r="B1086" s="4" t="s">
        <v>2815</v>
      </c>
      <c r="C1086" s="3" t="s">
        <v>2816</v>
      </c>
      <c r="D1086" s="3">
        <v>79051306006</v>
      </c>
      <c r="E1086" s="3" t="s">
        <v>2919</v>
      </c>
      <c r="F1086" s="4" t="s">
        <v>561</v>
      </c>
      <c r="G1086" s="4" t="s">
        <v>538</v>
      </c>
    </row>
    <row r="1087" spans="1:7" ht="15.75" customHeight="1">
      <c r="A1087" s="5">
        <v>233129191</v>
      </c>
      <c r="B1087" s="6" t="s">
        <v>2920</v>
      </c>
      <c r="C1087" s="5" t="s">
        <v>2921</v>
      </c>
      <c r="D1087" s="5">
        <v>79193102777</v>
      </c>
      <c r="E1087" s="5" t="s">
        <v>2922</v>
      </c>
      <c r="F1087" s="6" t="s">
        <v>561</v>
      </c>
      <c r="G1087" s="6" t="s">
        <v>538</v>
      </c>
    </row>
    <row r="1088" spans="1:7" ht="15.75" customHeight="1">
      <c r="A1088" s="3">
        <v>233130148</v>
      </c>
      <c r="B1088" s="4" t="s">
        <v>2923</v>
      </c>
      <c r="C1088" s="3" t="s">
        <v>2924</v>
      </c>
      <c r="D1088" s="3" t="s">
        <v>2925</v>
      </c>
      <c r="E1088" s="3" t="s">
        <v>2926</v>
      </c>
      <c r="F1088" s="4" t="s">
        <v>561</v>
      </c>
      <c r="G1088" s="4" t="s">
        <v>538</v>
      </c>
    </row>
    <row r="1089" spans="1:7" ht="15.75" customHeight="1">
      <c r="A1089" s="5">
        <v>233130803</v>
      </c>
      <c r="B1089" s="6" t="s">
        <v>2927</v>
      </c>
      <c r="C1089" s="5" t="s">
        <v>2928</v>
      </c>
      <c r="D1089" s="5">
        <v>79887666448</v>
      </c>
      <c r="E1089" s="5" t="s">
        <v>2929</v>
      </c>
      <c r="F1089" s="6" t="s">
        <v>561</v>
      </c>
      <c r="G1089" s="6" t="s">
        <v>538</v>
      </c>
    </row>
    <row r="1090" spans="1:7" ht="15.75" customHeight="1">
      <c r="A1090" s="3">
        <v>233138735</v>
      </c>
      <c r="B1090" s="4" t="s">
        <v>2930</v>
      </c>
      <c r="C1090" s="3" t="s">
        <v>2931</v>
      </c>
      <c r="D1090" s="3" t="s">
        <v>2932</v>
      </c>
      <c r="E1090" s="3" t="s">
        <v>2933</v>
      </c>
      <c r="F1090" s="4" t="s">
        <v>561</v>
      </c>
      <c r="G1090" s="4" t="s">
        <v>538</v>
      </c>
    </row>
    <row r="1091" spans="1:7" ht="15.75" customHeight="1">
      <c r="A1091" s="5">
        <v>233144532</v>
      </c>
      <c r="B1091" s="6" t="s">
        <v>2934</v>
      </c>
      <c r="C1091" s="5" t="s">
        <v>2935</v>
      </c>
      <c r="D1091" s="5" t="s">
        <v>2936</v>
      </c>
      <c r="E1091" s="5" t="s">
        <v>2937</v>
      </c>
      <c r="F1091" s="6" t="s">
        <v>537</v>
      </c>
      <c r="G1091" s="6" t="s">
        <v>538</v>
      </c>
    </row>
    <row r="1092" spans="1:7" ht="15.75" customHeight="1">
      <c r="A1092" s="3">
        <v>232519105</v>
      </c>
      <c r="B1092" s="4" t="s">
        <v>2705</v>
      </c>
      <c r="C1092" s="3" t="s">
        <v>2706</v>
      </c>
      <c r="D1092" s="3" t="s">
        <v>2707</v>
      </c>
      <c r="E1092" s="3" t="s">
        <v>2938</v>
      </c>
      <c r="F1092" s="4" t="s">
        <v>617</v>
      </c>
      <c r="G1092" s="4" t="s">
        <v>568</v>
      </c>
    </row>
    <row r="1093" spans="1:7" ht="15.75" customHeight="1">
      <c r="A1093" s="5">
        <v>233227508</v>
      </c>
      <c r="B1093" s="6" t="s">
        <v>2939</v>
      </c>
      <c r="C1093" s="5" t="s">
        <v>2940</v>
      </c>
      <c r="D1093" s="5" t="s">
        <v>2941</v>
      </c>
      <c r="E1093" s="5" t="s">
        <v>2942</v>
      </c>
      <c r="F1093" s="6" t="s">
        <v>2943</v>
      </c>
      <c r="G1093" s="6" t="s">
        <v>2463</v>
      </c>
    </row>
    <row r="1094" spans="1:7" ht="15.75" customHeight="1">
      <c r="A1094" s="3">
        <v>233231487</v>
      </c>
      <c r="B1094" s="4" t="s">
        <v>2944</v>
      </c>
      <c r="C1094" s="3" t="s">
        <v>2945</v>
      </c>
      <c r="D1094" s="3" t="s">
        <v>2946</v>
      </c>
      <c r="E1094" s="3" t="s">
        <v>2947</v>
      </c>
      <c r="F1094" s="4" t="s">
        <v>537</v>
      </c>
      <c r="G1094" s="4" t="s">
        <v>538</v>
      </c>
    </row>
    <row r="1095" spans="1:7" ht="15.75" customHeight="1">
      <c r="A1095" s="5">
        <v>233231487</v>
      </c>
      <c r="B1095" s="6" t="s">
        <v>2944</v>
      </c>
      <c r="C1095" s="5" t="s">
        <v>2945</v>
      </c>
      <c r="D1095" s="5" t="s">
        <v>2946</v>
      </c>
      <c r="E1095" s="5" t="s">
        <v>2948</v>
      </c>
      <c r="F1095" s="6" t="s">
        <v>1345</v>
      </c>
      <c r="G1095" s="6" t="s">
        <v>1346</v>
      </c>
    </row>
    <row r="1096" spans="1:7" ht="15.75" customHeight="1">
      <c r="A1096" s="3">
        <v>233234488</v>
      </c>
      <c r="B1096" s="4" t="s">
        <v>2949</v>
      </c>
      <c r="C1096" s="3" t="s">
        <v>2950</v>
      </c>
      <c r="D1096" s="3" t="s">
        <v>2951</v>
      </c>
      <c r="E1096" s="3" t="s">
        <v>2952</v>
      </c>
      <c r="F1096" s="4" t="s">
        <v>617</v>
      </c>
      <c r="G1096" s="4" t="s">
        <v>568</v>
      </c>
    </row>
    <row r="1097" spans="1:7" ht="15.75" customHeight="1">
      <c r="A1097" s="5">
        <v>233345943</v>
      </c>
      <c r="B1097" s="6" t="s">
        <v>2953</v>
      </c>
      <c r="C1097" s="5" t="s">
        <v>2954</v>
      </c>
      <c r="D1097" s="5">
        <v>79375348929</v>
      </c>
      <c r="E1097" s="5" t="s">
        <v>2955</v>
      </c>
      <c r="F1097" s="6" t="s">
        <v>70</v>
      </c>
      <c r="G1097" s="6" t="s">
        <v>71</v>
      </c>
    </row>
    <row r="1098" spans="1:7" ht="15.75" customHeight="1">
      <c r="A1098" s="3">
        <v>233073391</v>
      </c>
      <c r="B1098" s="4" t="s">
        <v>2897</v>
      </c>
      <c r="C1098" s="3" t="s">
        <v>2898</v>
      </c>
      <c r="D1098" s="3" t="s">
        <v>2899</v>
      </c>
      <c r="E1098" s="3" t="s">
        <v>2956</v>
      </c>
      <c r="F1098" s="4" t="s">
        <v>537</v>
      </c>
      <c r="G1098" s="4" t="s">
        <v>538</v>
      </c>
    </row>
    <row r="1099" spans="1:7" ht="15.75" customHeight="1">
      <c r="A1099" s="5">
        <v>233469636</v>
      </c>
      <c r="B1099" s="6" t="s">
        <v>2957</v>
      </c>
      <c r="C1099" s="5" t="s">
        <v>2958</v>
      </c>
      <c r="D1099" s="5" t="s">
        <v>2959</v>
      </c>
      <c r="E1099" s="5" t="s">
        <v>2960</v>
      </c>
      <c r="F1099" s="6" t="s">
        <v>617</v>
      </c>
      <c r="G1099" s="6" t="s">
        <v>568</v>
      </c>
    </row>
    <row r="1100" spans="1:7" ht="15.75" customHeight="1">
      <c r="A1100" s="3">
        <v>233490337</v>
      </c>
      <c r="B1100" s="4" t="s">
        <v>2961</v>
      </c>
      <c r="C1100" s="3" t="s">
        <v>2962</v>
      </c>
      <c r="D1100" s="3"/>
      <c r="E1100" s="3" t="s">
        <v>2963</v>
      </c>
      <c r="F1100" s="4" t="s">
        <v>444</v>
      </c>
      <c r="G1100" s="4" t="s">
        <v>445</v>
      </c>
    </row>
    <row r="1101" spans="1:7" ht="15.75" customHeight="1">
      <c r="A1101" s="5">
        <v>233545721</v>
      </c>
      <c r="B1101" s="6" t="s">
        <v>2964</v>
      </c>
      <c r="C1101" s="5" t="s">
        <v>2965</v>
      </c>
      <c r="D1101" s="5" t="s">
        <v>2966</v>
      </c>
      <c r="E1101" s="5" t="s">
        <v>2967</v>
      </c>
      <c r="F1101" s="6" t="s">
        <v>561</v>
      </c>
      <c r="G1101" s="6" t="s">
        <v>538</v>
      </c>
    </row>
    <row r="1102" spans="1:7" ht="15.75" customHeight="1">
      <c r="A1102" s="3">
        <v>233572646</v>
      </c>
      <c r="B1102" s="4" t="s">
        <v>2968</v>
      </c>
      <c r="C1102" s="3" t="s">
        <v>2969</v>
      </c>
      <c r="D1102" s="3" t="s">
        <v>2970</v>
      </c>
      <c r="E1102" s="3" t="s">
        <v>2971</v>
      </c>
      <c r="F1102" s="4" t="s">
        <v>537</v>
      </c>
      <c r="G1102" s="4" t="s">
        <v>538</v>
      </c>
    </row>
    <row r="1103" spans="1:7" ht="15.75" customHeight="1">
      <c r="A1103" s="5">
        <v>233637925</v>
      </c>
      <c r="B1103" s="6" t="s">
        <v>2972</v>
      </c>
      <c r="C1103" s="5" t="s">
        <v>2973</v>
      </c>
      <c r="D1103" s="5" t="s">
        <v>2974</v>
      </c>
      <c r="E1103" s="5" t="s">
        <v>2975</v>
      </c>
      <c r="F1103" s="6" t="s">
        <v>281</v>
      </c>
      <c r="G1103" s="6" t="s">
        <v>282</v>
      </c>
    </row>
    <row r="1104" spans="1:7" ht="15.75" customHeight="1">
      <c r="A1104" s="3">
        <v>233644078</v>
      </c>
      <c r="B1104" s="4" t="s">
        <v>2976</v>
      </c>
      <c r="C1104" s="3" t="s">
        <v>2977</v>
      </c>
      <c r="D1104" s="3" t="s">
        <v>2978</v>
      </c>
      <c r="E1104" s="3" t="s">
        <v>2979</v>
      </c>
      <c r="F1104" s="4" t="s">
        <v>635</v>
      </c>
      <c r="G1104" s="4" t="s">
        <v>636</v>
      </c>
    </row>
    <row r="1105" spans="1:7" ht="15.75" customHeight="1">
      <c r="A1105" s="5">
        <v>233667645</v>
      </c>
      <c r="B1105" s="6" t="s">
        <v>2980</v>
      </c>
      <c r="C1105" s="5" t="s">
        <v>2981</v>
      </c>
      <c r="D1105" s="5"/>
      <c r="E1105" s="5" t="s">
        <v>2982</v>
      </c>
      <c r="F1105" s="6" t="s">
        <v>709</v>
      </c>
      <c r="G1105" s="6" t="s">
        <v>710</v>
      </c>
    </row>
    <row r="1106" spans="1:7" ht="15.75" customHeight="1">
      <c r="A1106" s="3">
        <v>233668282</v>
      </c>
      <c r="B1106" s="4" t="s">
        <v>2983</v>
      </c>
      <c r="C1106" s="3" t="s">
        <v>2984</v>
      </c>
      <c r="D1106" s="3"/>
      <c r="E1106" s="3" t="s">
        <v>2985</v>
      </c>
      <c r="F1106" s="4" t="s">
        <v>709</v>
      </c>
      <c r="G1106" s="4" t="s">
        <v>710</v>
      </c>
    </row>
    <row r="1107" spans="1:7" ht="15.75" customHeight="1">
      <c r="A1107" s="5">
        <v>233668450</v>
      </c>
      <c r="B1107" s="6" t="s">
        <v>2986</v>
      </c>
      <c r="C1107" s="5" t="s">
        <v>2987</v>
      </c>
      <c r="D1107" s="5">
        <v>79516412681</v>
      </c>
      <c r="E1107" s="5" t="s">
        <v>2988</v>
      </c>
      <c r="F1107" s="6" t="s">
        <v>709</v>
      </c>
      <c r="G1107" s="6" t="s">
        <v>710</v>
      </c>
    </row>
    <row r="1108" spans="1:7" ht="15.75" customHeight="1">
      <c r="A1108" s="3">
        <v>233668282</v>
      </c>
      <c r="B1108" s="4" t="s">
        <v>2983</v>
      </c>
      <c r="C1108" s="3" t="s">
        <v>2984</v>
      </c>
      <c r="D1108" s="3"/>
      <c r="E1108" s="3" t="s">
        <v>2989</v>
      </c>
      <c r="F1108" s="4" t="s">
        <v>709</v>
      </c>
      <c r="G1108" s="4" t="s">
        <v>710</v>
      </c>
    </row>
    <row r="1109" spans="1:7" ht="15.75" customHeight="1">
      <c r="A1109" s="5">
        <v>233668562</v>
      </c>
      <c r="B1109" s="6" t="s">
        <v>2990</v>
      </c>
      <c r="C1109" s="5" t="s">
        <v>2991</v>
      </c>
      <c r="D1109" s="5" t="s">
        <v>2992</v>
      </c>
      <c r="E1109" s="5" t="s">
        <v>2993</v>
      </c>
      <c r="F1109" s="6" t="s">
        <v>709</v>
      </c>
      <c r="G1109" s="6" t="s">
        <v>710</v>
      </c>
    </row>
    <row r="1110" spans="1:7" ht="15.75" customHeight="1">
      <c r="A1110" s="3">
        <v>233668714</v>
      </c>
      <c r="B1110" s="4" t="s">
        <v>2994</v>
      </c>
      <c r="C1110" s="3" t="s">
        <v>2995</v>
      </c>
      <c r="D1110" s="3" t="s">
        <v>2996</v>
      </c>
      <c r="E1110" s="3" t="s">
        <v>2997</v>
      </c>
      <c r="F1110" s="4" t="s">
        <v>709</v>
      </c>
      <c r="G1110" s="4" t="s">
        <v>710</v>
      </c>
    </row>
    <row r="1111" spans="1:7" ht="15.75" customHeight="1">
      <c r="A1111" s="5">
        <v>233669183</v>
      </c>
      <c r="B1111" s="6" t="s">
        <v>2998</v>
      </c>
      <c r="C1111" s="5" t="s">
        <v>2999</v>
      </c>
      <c r="D1111" s="5" t="s">
        <v>3000</v>
      </c>
      <c r="E1111" s="5" t="s">
        <v>3001</v>
      </c>
      <c r="F1111" s="6" t="s">
        <v>709</v>
      </c>
      <c r="G1111" s="6" t="s">
        <v>710</v>
      </c>
    </row>
    <row r="1112" spans="1:7" ht="15.75" customHeight="1">
      <c r="A1112" s="3">
        <v>233670046</v>
      </c>
      <c r="B1112" s="4" t="s">
        <v>3002</v>
      </c>
      <c r="C1112" s="3" t="s">
        <v>3003</v>
      </c>
      <c r="D1112" s="3">
        <v>79850813339</v>
      </c>
      <c r="E1112" s="3" t="s">
        <v>3004</v>
      </c>
      <c r="F1112" s="4" t="s">
        <v>709</v>
      </c>
      <c r="G1112" s="4" t="s">
        <v>710</v>
      </c>
    </row>
    <row r="1113" spans="1:7" ht="15.75" customHeight="1">
      <c r="A1113" s="5">
        <v>233670784</v>
      </c>
      <c r="B1113" s="6" t="s">
        <v>3005</v>
      </c>
      <c r="C1113" s="5" t="s">
        <v>3006</v>
      </c>
      <c r="D1113" s="5"/>
      <c r="E1113" s="5" t="s">
        <v>3007</v>
      </c>
      <c r="F1113" s="6" t="s">
        <v>709</v>
      </c>
      <c r="G1113" s="6" t="s">
        <v>710</v>
      </c>
    </row>
    <row r="1114" spans="1:7" ht="15.75" customHeight="1">
      <c r="A1114" s="3">
        <v>233670890</v>
      </c>
      <c r="B1114" s="4" t="s">
        <v>3008</v>
      </c>
      <c r="C1114" s="3" t="s">
        <v>3009</v>
      </c>
      <c r="D1114" s="3"/>
      <c r="E1114" s="3" t="s">
        <v>3010</v>
      </c>
      <c r="F1114" s="4" t="s">
        <v>709</v>
      </c>
      <c r="G1114" s="4" t="s">
        <v>710</v>
      </c>
    </row>
    <row r="1115" spans="1:7" ht="15.75" customHeight="1">
      <c r="A1115" s="5">
        <v>233671311</v>
      </c>
      <c r="B1115" s="6" t="s">
        <v>3011</v>
      </c>
      <c r="C1115" s="5" t="s">
        <v>3012</v>
      </c>
      <c r="D1115" s="5"/>
      <c r="E1115" s="5" t="s">
        <v>3013</v>
      </c>
      <c r="F1115" s="6" t="s">
        <v>709</v>
      </c>
      <c r="G1115" s="6" t="s">
        <v>710</v>
      </c>
    </row>
    <row r="1116" spans="1:7" ht="15.75" customHeight="1">
      <c r="A1116" s="3">
        <v>233671413</v>
      </c>
      <c r="B1116" s="4" t="s">
        <v>3014</v>
      </c>
      <c r="C1116" s="3" t="s">
        <v>3015</v>
      </c>
      <c r="D1116" s="3"/>
      <c r="E1116" s="3" t="s">
        <v>3016</v>
      </c>
      <c r="F1116" s="4" t="s">
        <v>709</v>
      </c>
      <c r="G1116" s="4" t="s">
        <v>710</v>
      </c>
    </row>
    <row r="1117" spans="1:7" ht="15.75" customHeight="1">
      <c r="A1117" s="5">
        <v>233677042</v>
      </c>
      <c r="B1117" s="6" t="s">
        <v>3017</v>
      </c>
      <c r="C1117" s="5" t="s">
        <v>3018</v>
      </c>
      <c r="D1117" s="5"/>
      <c r="E1117" s="5" t="s">
        <v>3019</v>
      </c>
      <c r="F1117" s="6" t="s">
        <v>709</v>
      </c>
      <c r="G1117" s="6" t="s">
        <v>710</v>
      </c>
    </row>
    <row r="1118" spans="1:7" ht="15.75" customHeight="1">
      <c r="A1118" s="3">
        <v>233679985</v>
      </c>
      <c r="B1118" s="4" t="s">
        <v>3020</v>
      </c>
      <c r="C1118" s="3" t="s">
        <v>3021</v>
      </c>
      <c r="D1118" s="3"/>
      <c r="E1118" s="3" t="s">
        <v>3022</v>
      </c>
      <c r="F1118" s="4" t="s">
        <v>709</v>
      </c>
      <c r="G1118" s="4" t="s">
        <v>710</v>
      </c>
    </row>
    <row r="1119" spans="1:7" ht="15.75" customHeight="1">
      <c r="A1119" s="5">
        <v>233683429</v>
      </c>
      <c r="B1119" s="6" t="s">
        <v>3023</v>
      </c>
      <c r="C1119" s="5" t="s">
        <v>3024</v>
      </c>
      <c r="D1119" s="5"/>
      <c r="E1119" s="5" t="s">
        <v>3025</v>
      </c>
      <c r="F1119" s="6" t="s">
        <v>709</v>
      </c>
      <c r="G1119" s="6" t="s">
        <v>710</v>
      </c>
    </row>
    <row r="1120" spans="1:7" ht="15.75" customHeight="1">
      <c r="A1120" s="3">
        <v>233685181</v>
      </c>
      <c r="B1120" s="4" t="s">
        <v>3026</v>
      </c>
      <c r="C1120" s="3" t="s">
        <v>3027</v>
      </c>
      <c r="D1120" s="3"/>
      <c r="E1120" s="3" t="s">
        <v>3028</v>
      </c>
      <c r="F1120" s="4" t="s">
        <v>709</v>
      </c>
      <c r="G1120" s="4" t="s">
        <v>710</v>
      </c>
    </row>
    <row r="1121" spans="1:7" ht="15.75" customHeight="1">
      <c r="A1121" s="5">
        <v>233693948</v>
      </c>
      <c r="B1121" s="6" t="s">
        <v>3029</v>
      </c>
      <c r="C1121" s="5" t="s">
        <v>3030</v>
      </c>
      <c r="D1121" s="5" t="s">
        <v>3031</v>
      </c>
      <c r="E1121" s="5" t="s">
        <v>3032</v>
      </c>
      <c r="F1121" s="6" t="s">
        <v>635</v>
      </c>
      <c r="G1121" s="6" t="s">
        <v>636</v>
      </c>
    </row>
    <row r="1122" spans="1:7" ht="15.75" customHeight="1">
      <c r="A1122" s="3">
        <v>233699873</v>
      </c>
      <c r="B1122" s="4" t="s">
        <v>3033</v>
      </c>
      <c r="C1122" s="3" t="s">
        <v>3034</v>
      </c>
      <c r="D1122" s="3" t="s">
        <v>3035</v>
      </c>
      <c r="E1122" s="3" t="s">
        <v>3036</v>
      </c>
      <c r="F1122" s="4" t="s">
        <v>709</v>
      </c>
      <c r="G1122" s="4" t="s">
        <v>710</v>
      </c>
    </row>
    <row r="1123" spans="1:7" ht="15.75" customHeight="1">
      <c r="A1123" s="5">
        <v>233670046</v>
      </c>
      <c r="B1123" s="6" t="s">
        <v>3002</v>
      </c>
      <c r="C1123" s="5" t="s">
        <v>3003</v>
      </c>
      <c r="D1123" s="5">
        <v>79850813339</v>
      </c>
      <c r="E1123" s="5" t="s">
        <v>3037</v>
      </c>
      <c r="F1123" s="6" t="s">
        <v>709</v>
      </c>
      <c r="G1123" s="6" t="s">
        <v>710</v>
      </c>
    </row>
    <row r="1124" spans="1:7" ht="15.75" customHeight="1">
      <c r="A1124" s="3">
        <v>232897468</v>
      </c>
      <c r="B1124" s="4" t="s">
        <v>2838</v>
      </c>
      <c r="C1124" s="3" t="s">
        <v>2839</v>
      </c>
      <c r="D1124" s="3" t="s">
        <v>2840</v>
      </c>
      <c r="E1124" s="3" t="s">
        <v>3038</v>
      </c>
      <c r="F1124" s="4" t="s">
        <v>709</v>
      </c>
      <c r="G1124" s="4" t="s">
        <v>710</v>
      </c>
    </row>
    <row r="1125" spans="1:7" ht="15.75" customHeight="1">
      <c r="A1125" s="5">
        <v>233741451</v>
      </c>
      <c r="B1125" s="6" t="s">
        <v>3039</v>
      </c>
      <c r="C1125" s="5" t="s">
        <v>3040</v>
      </c>
      <c r="D1125" s="5"/>
      <c r="E1125" s="5" t="s">
        <v>3041</v>
      </c>
      <c r="F1125" s="6" t="s">
        <v>709</v>
      </c>
      <c r="G1125" s="6" t="s">
        <v>710</v>
      </c>
    </row>
    <row r="1126" spans="1:7" ht="15.75" customHeight="1">
      <c r="A1126" s="3">
        <v>233745373</v>
      </c>
      <c r="B1126" s="4" t="s">
        <v>3042</v>
      </c>
      <c r="C1126" s="3" t="s">
        <v>3043</v>
      </c>
      <c r="D1126" s="3">
        <v>79818530288</v>
      </c>
      <c r="E1126" s="3" t="s">
        <v>3044</v>
      </c>
      <c r="F1126" s="4" t="s">
        <v>709</v>
      </c>
      <c r="G1126" s="4" t="s">
        <v>710</v>
      </c>
    </row>
    <row r="1127" spans="1:7" ht="15.75" customHeight="1">
      <c r="A1127" s="5">
        <v>233844419</v>
      </c>
      <c r="B1127" s="6" t="s">
        <v>3045</v>
      </c>
      <c r="C1127" s="5" t="s">
        <v>3046</v>
      </c>
      <c r="D1127" s="5" t="s">
        <v>3047</v>
      </c>
      <c r="E1127" s="5" t="s">
        <v>3048</v>
      </c>
      <c r="F1127" s="6" t="s">
        <v>617</v>
      </c>
      <c r="G1127" s="6" t="s">
        <v>568</v>
      </c>
    </row>
    <row r="1128" spans="1:7" ht="15.75" customHeight="1">
      <c r="A1128" s="3">
        <v>232897468</v>
      </c>
      <c r="B1128" s="4" t="s">
        <v>2838</v>
      </c>
      <c r="C1128" s="3" t="s">
        <v>2839</v>
      </c>
      <c r="D1128" s="3" t="s">
        <v>2840</v>
      </c>
      <c r="E1128" s="3" t="s">
        <v>3049</v>
      </c>
      <c r="F1128" s="4" t="s">
        <v>709</v>
      </c>
      <c r="G1128" s="4" t="s">
        <v>710</v>
      </c>
    </row>
    <row r="1129" spans="1:7" ht="15.75" customHeight="1">
      <c r="A1129" s="5">
        <v>233866127</v>
      </c>
      <c r="B1129" s="6" t="s">
        <v>3050</v>
      </c>
      <c r="C1129" s="5" t="s">
        <v>3051</v>
      </c>
      <c r="D1129" s="5"/>
      <c r="E1129" s="5" t="s">
        <v>3052</v>
      </c>
      <c r="F1129" s="6" t="s">
        <v>709</v>
      </c>
      <c r="G1129" s="6" t="s">
        <v>710</v>
      </c>
    </row>
    <row r="1130" spans="1:7" ht="15.75" customHeight="1">
      <c r="A1130" s="3">
        <v>233904760</v>
      </c>
      <c r="B1130" s="4" t="s">
        <v>3053</v>
      </c>
      <c r="C1130" s="3" t="s">
        <v>3054</v>
      </c>
      <c r="D1130" s="3" t="s">
        <v>3055</v>
      </c>
      <c r="E1130" s="3" t="s">
        <v>3056</v>
      </c>
      <c r="F1130" s="4" t="s">
        <v>617</v>
      </c>
      <c r="G1130" s="4" t="s">
        <v>568</v>
      </c>
    </row>
    <row r="1131" spans="1:7" ht="15.75" customHeight="1">
      <c r="A1131" s="5">
        <v>233918964</v>
      </c>
      <c r="B1131" s="6" t="s">
        <v>3057</v>
      </c>
      <c r="C1131" s="5" t="s">
        <v>3058</v>
      </c>
      <c r="D1131" s="5" t="s">
        <v>3059</v>
      </c>
      <c r="E1131" s="5" t="s">
        <v>3060</v>
      </c>
      <c r="F1131" s="6" t="s">
        <v>2425</v>
      </c>
      <c r="G1131" s="6" t="s">
        <v>497</v>
      </c>
    </row>
    <row r="1132" spans="1:7" ht="15.75" customHeight="1">
      <c r="A1132" s="3">
        <v>233921265</v>
      </c>
      <c r="B1132" s="4" t="s">
        <v>3061</v>
      </c>
      <c r="C1132" s="3" t="s">
        <v>3062</v>
      </c>
      <c r="D1132" s="3"/>
      <c r="E1132" s="3" t="s">
        <v>3063</v>
      </c>
      <c r="F1132" s="4" t="s">
        <v>590</v>
      </c>
      <c r="G1132" s="4" t="s">
        <v>591</v>
      </c>
    </row>
    <row r="1133" spans="1:7" ht="15.75" customHeight="1">
      <c r="A1133" s="5">
        <v>233955133</v>
      </c>
      <c r="B1133" s="6" t="s">
        <v>3064</v>
      </c>
      <c r="C1133" s="5" t="s">
        <v>3065</v>
      </c>
      <c r="D1133" s="5"/>
      <c r="E1133" s="5" t="s">
        <v>3066</v>
      </c>
      <c r="F1133" s="6" t="s">
        <v>709</v>
      </c>
      <c r="G1133" s="6" t="s">
        <v>710</v>
      </c>
    </row>
    <row r="1134" spans="1:7" ht="15.75" customHeight="1">
      <c r="A1134" s="3">
        <v>233955392</v>
      </c>
      <c r="B1134" s="4" t="s">
        <v>3067</v>
      </c>
      <c r="C1134" s="3" t="s">
        <v>3068</v>
      </c>
      <c r="D1134" s="3" t="s">
        <v>3069</v>
      </c>
      <c r="E1134" s="3" t="s">
        <v>3070</v>
      </c>
      <c r="F1134" s="4" t="s">
        <v>709</v>
      </c>
      <c r="G1134" s="4" t="s">
        <v>710</v>
      </c>
    </row>
    <row r="1135" spans="1:7" ht="15.75" customHeight="1">
      <c r="A1135" s="5">
        <v>233974151</v>
      </c>
      <c r="B1135" s="6" t="s">
        <v>3071</v>
      </c>
      <c r="C1135" s="5" t="s">
        <v>3072</v>
      </c>
      <c r="D1135" s="5" t="s">
        <v>3073</v>
      </c>
      <c r="E1135" s="5" t="s">
        <v>3074</v>
      </c>
      <c r="F1135" s="6" t="s">
        <v>709</v>
      </c>
      <c r="G1135" s="6" t="s">
        <v>710</v>
      </c>
    </row>
    <row r="1136" spans="1:7" ht="15.75" customHeight="1">
      <c r="A1136" s="3">
        <v>233975039</v>
      </c>
      <c r="B1136" s="4" t="s">
        <v>3075</v>
      </c>
      <c r="C1136" s="3" t="s">
        <v>3076</v>
      </c>
      <c r="D1136" s="3" t="s">
        <v>3077</v>
      </c>
      <c r="E1136" s="3" t="s">
        <v>3078</v>
      </c>
      <c r="F1136" s="4" t="s">
        <v>709</v>
      </c>
      <c r="G1136" s="4" t="s">
        <v>710</v>
      </c>
    </row>
    <row r="1137" spans="1:7" ht="15.75" customHeight="1">
      <c r="A1137" s="5">
        <v>233991573</v>
      </c>
      <c r="B1137" s="6" t="s">
        <v>3079</v>
      </c>
      <c r="C1137" s="5" t="s">
        <v>3080</v>
      </c>
      <c r="D1137" s="5">
        <v>79823581182</v>
      </c>
      <c r="E1137" s="5" t="s">
        <v>3081</v>
      </c>
      <c r="F1137" s="6" t="s">
        <v>709</v>
      </c>
      <c r="G1137" s="6" t="s">
        <v>710</v>
      </c>
    </row>
    <row r="1138" spans="1:7" ht="15.75" customHeight="1">
      <c r="A1138" s="3">
        <v>233998853</v>
      </c>
      <c r="B1138" s="4" t="s">
        <v>3082</v>
      </c>
      <c r="C1138" s="3" t="s">
        <v>3083</v>
      </c>
      <c r="D1138" s="3" t="s">
        <v>3084</v>
      </c>
      <c r="E1138" s="3" t="s">
        <v>3085</v>
      </c>
      <c r="F1138" s="4" t="s">
        <v>623</v>
      </c>
      <c r="G1138" s="4" t="s">
        <v>624</v>
      </c>
    </row>
    <row r="1139" spans="1:7" ht="15.75" customHeight="1">
      <c r="A1139" s="5">
        <v>234002163</v>
      </c>
      <c r="B1139" s="6" t="s">
        <v>3086</v>
      </c>
      <c r="C1139" s="5" t="s">
        <v>3087</v>
      </c>
      <c r="D1139" s="5"/>
      <c r="E1139" s="5" t="s">
        <v>3088</v>
      </c>
      <c r="F1139" s="6" t="s">
        <v>709</v>
      </c>
      <c r="G1139" s="6" t="s">
        <v>710</v>
      </c>
    </row>
    <row r="1140" spans="1:7" ht="15.75" customHeight="1">
      <c r="A1140" s="3">
        <v>234008427</v>
      </c>
      <c r="B1140" s="4" t="s">
        <v>3089</v>
      </c>
      <c r="C1140" s="3" t="s">
        <v>3090</v>
      </c>
      <c r="D1140" s="3"/>
      <c r="E1140" s="3" t="s">
        <v>3091</v>
      </c>
      <c r="F1140" s="4" t="s">
        <v>709</v>
      </c>
      <c r="G1140" s="4" t="s">
        <v>710</v>
      </c>
    </row>
    <row r="1141" spans="1:7" ht="15.75" customHeight="1">
      <c r="A1141" s="5">
        <v>234030284</v>
      </c>
      <c r="B1141" s="6" t="s">
        <v>3092</v>
      </c>
      <c r="C1141" s="5" t="s">
        <v>3093</v>
      </c>
      <c r="D1141" s="5">
        <v>26646856</v>
      </c>
      <c r="E1141" s="5" t="s">
        <v>3094</v>
      </c>
      <c r="F1141" s="6" t="s">
        <v>2232</v>
      </c>
      <c r="G1141" s="6" t="s">
        <v>2233</v>
      </c>
    </row>
    <row r="1142" spans="1:7" ht="15.75" customHeight="1">
      <c r="A1142" s="3">
        <v>234055980</v>
      </c>
      <c r="B1142" s="4" t="s">
        <v>3095</v>
      </c>
      <c r="C1142" s="3" t="s">
        <v>3096</v>
      </c>
      <c r="D1142" s="3">
        <v>79501273168</v>
      </c>
      <c r="E1142" s="3" t="s">
        <v>3097</v>
      </c>
      <c r="F1142" s="4" t="s">
        <v>617</v>
      </c>
      <c r="G1142" s="4" t="s">
        <v>568</v>
      </c>
    </row>
    <row r="1143" spans="1:7" ht="15.75" customHeight="1">
      <c r="A1143" s="5">
        <v>234065474</v>
      </c>
      <c r="B1143" s="6" t="s">
        <v>3098</v>
      </c>
      <c r="C1143" s="5" t="s">
        <v>3099</v>
      </c>
      <c r="D1143" s="5" t="s">
        <v>3100</v>
      </c>
      <c r="E1143" s="5" t="s">
        <v>3101</v>
      </c>
      <c r="F1143" s="6" t="s">
        <v>617</v>
      </c>
      <c r="G1143" s="6" t="s">
        <v>568</v>
      </c>
    </row>
    <row r="1144" spans="1:7" ht="15.75" customHeight="1">
      <c r="A1144" s="3">
        <v>234069530</v>
      </c>
      <c r="B1144" s="4" t="s">
        <v>3102</v>
      </c>
      <c r="C1144" s="3" t="s">
        <v>3103</v>
      </c>
      <c r="D1144" s="3">
        <v>79841682372</v>
      </c>
      <c r="E1144" s="3" t="s">
        <v>3104</v>
      </c>
      <c r="F1144" s="4" t="s">
        <v>590</v>
      </c>
      <c r="G1144" s="4" t="s">
        <v>591</v>
      </c>
    </row>
    <row r="1145" spans="1:7" ht="15.75" customHeight="1">
      <c r="A1145" s="5">
        <v>234070586</v>
      </c>
      <c r="B1145" s="6" t="s">
        <v>3105</v>
      </c>
      <c r="C1145" s="5" t="s">
        <v>3106</v>
      </c>
      <c r="D1145" s="5" t="s">
        <v>3107</v>
      </c>
      <c r="E1145" s="5" t="s">
        <v>3108</v>
      </c>
      <c r="F1145" s="6" t="s">
        <v>444</v>
      </c>
      <c r="G1145" s="6" t="s">
        <v>445</v>
      </c>
    </row>
    <row r="1146" spans="1:7" ht="15.75" customHeight="1">
      <c r="A1146" s="3">
        <v>234184237</v>
      </c>
      <c r="B1146" s="4" t="s">
        <v>3109</v>
      </c>
      <c r="C1146" s="3" t="s">
        <v>3110</v>
      </c>
      <c r="D1146" s="3"/>
      <c r="E1146" s="3" t="s">
        <v>3111</v>
      </c>
      <c r="F1146" s="4" t="s">
        <v>709</v>
      </c>
      <c r="G1146" s="4" t="s">
        <v>710</v>
      </c>
    </row>
    <row r="1147" spans="1:7" ht="15.75" customHeight="1">
      <c r="A1147" s="5">
        <v>234265590</v>
      </c>
      <c r="B1147" s="6" t="s">
        <v>3112</v>
      </c>
      <c r="C1147" s="5" t="s">
        <v>3113</v>
      </c>
      <c r="D1147" s="5" t="s">
        <v>3114</v>
      </c>
      <c r="E1147" s="5" t="s">
        <v>3115</v>
      </c>
      <c r="F1147" s="6" t="s">
        <v>444</v>
      </c>
      <c r="G1147" s="6" t="s">
        <v>445</v>
      </c>
    </row>
    <row r="1148" spans="1:7" ht="15.75" customHeight="1">
      <c r="A1148" s="3">
        <v>233047304</v>
      </c>
      <c r="B1148" s="4" t="s">
        <v>2889</v>
      </c>
      <c r="C1148" s="3" t="s">
        <v>2890</v>
      </c>
      <c r="D1148" s="3" t="s">
        <v>2891</v>
      </c>
      <c r="E1148" s="3" t="s">
        <v>3116</v>
      </c>
      <c r="F1148" s="4" t="s">
        <v>2448</v>
      </c>
      <c r="G1148" s="4" t="s">
        <v>2449</v>
      </c>
    </row>
    <row r="1149" spans="1:7" ht="15.75" customHeight="1">
      <c r="A1149" s="5">
        <v>234271214</v>
      </c>
      <c r="B1149" s="6" t="s">
        <v>3117</v>
      </c>
      <c r="C1149" s="5" t="s">
        <v>3118</v>
      </c>
      <c r="D1149" s="5" t="s">
        <v>3119</v>
      </c>
      <c r="E1149" s="5" t="s">
        <v>3120</v>
      </c>
      <c r="F1149" s="6" t="s">
        <v>2448</v>
      </c>
      <c r="G1149" s="6" t="s">
        <v>2449</v>
      </c>
    </row>
    <row r="1150" spans="1:7" ht="15.75" customHeight="1">
      <c r="A1150" s="3">
        <v>233129191</v>
      </c>
      <c r="B1150" s="4" t="s">
        <v>2920</v>
      </c>
      <c r="C1150" s="3" t="s">
        <v>2921</v>
      </c>
      <c r="D1150" s="3">
        <v>79193102777</v>
      </c>
      <c r="E1150" s="3" t="s">
        <v>3121</v>
      </c>
      <c r="F1150" s="4" t="s">
        <v>2448</v>
      </c>
      <c r="G1150" s="4" t="s">
        <v>2449</v>
      </c>
    </row>
    <row r="1151" spans="1:7" ht="15.75" customHeight="1">
      <c r="A1151" s="5">
        <v>233129191</v>
      </c>
      <c r="B1151" s="6" t="s">
        <v>2920</v>
      </c>
      <c r="C1151" s="5" t="s">
        <v>2921</v>
      </c>
      <c r="D1151" s="5">
        <v>79193102777</v>
      </c>
      <c r="E1151" s="5" t="s">
        <v>3122</v>
      </c>
      <c r="F1151" s="6" t="s">
        <v>2456</v>
      </c>
      <c r="G1151" s="6" t="s">
        <v>2457</v>
      </c>
    </row>
    <row r="1152" spans="1:7" ht="15.75" customHeight="1">
      <c r="A1152" s="3">
        <v>233693948</v>
      </c>
      <c r="B1152" s="4" t="s">
        <v>3029</v>
      </c>
      <c r="C1152" s="3" t="s">
        <v>3030</v>
      </c>
      <c r="D1152" s="3" t="s">
        <v>3031</v>
      </c>
      <c r="E1152" s="3" t="s">
        <v>3123</v>
      </c>
      <c r="F1152" s="4" t="s">
        <v>281</v>
      </c>
      <c r="G1152" s="4" t="s">
        <v>282</v>
      </c>
    </row>
    <row r="1153" spans="1:7" ht="15.75" customHeight="1">
      <c r="A1153" s="5">
        <v>234289671</v>
      </c>
      <c r="B1153" s="6" t="s">
        <v>3124</v>
      </c>
      <c r="C1153" s="5" t="s">
        <v>3125</v>
      </c>
      <c r="D1153" s="5">
        <v>29439885</v>
      </c>
      <c r="E1153" s="5" t="s">
        <v>3126</v>
      </c>
      <c r="F1153" s="6" t="s">
        <v>709</v>
      </c>
      <c r="G1153" s="6"/>
    </row>
    <row r="1154" spans="1:7" ht="15.75" customHeight="1">
      <c r="A1154" s="3">
        <v>234289671</v>
      </c>
      <c r="B1154" s="4" t="s">
        <v>3124</v>
      </c>
      <c r="C1154" s="3" t="s">
        <v>3125</v>
      </c>
      <c r="D1154" s="3">
        <v>29439885</v>
      </c>
      <c r="E1154" s="3" t="s">
        <v>3127</v>
      </c>
      <c r="F1154" s="4" t="s">
        <v>709</v>
      </c>
      <c r="G1154" s="4" t="s">
        <v>710</v>
      </c>
    </row>
    <row r="1155" spans="1:7" ht="15.75" customHeight="1">
      <c r="A1155" s="5">
        <v>234298201</v>
      </c>
      <c r="B1155" s="6" t="s">
        <v>3128</v>
      </c>
      <c r="C1155" s="5" t="s">
        <v>3129</v>
      </c>
      <c r="D1155" s="5" t="s">
        <v>3130</v>
      </c>
      <c r="E1155" s="5" t="s">
        <v>3131</v>
      </c>
      <c r="F1155" s="6" t="s">
        <v>2448</v>
      </c>
      <c r="G1155" s="6" t="s">
        <v>2449</v>
      </c>
    </row>
    <row r="1156" spans="1:7" ht="15.75" customHeight="1">
      <c r="A1156" s="3">
        <v>234298284</v>
      </c>
      <c r="B1156" s="4" t="s">
        <v>3132</v>
      </c>
      <c r="C1156" s="3" t="s">
        <v>3133</v>
      </c>
      <c r="D1156" s="3" t="s">
        <v>3134</v>
      </c>
      <c r="E1156" s="3" t="s">
        <v>3135</v>
      </c>
      <c r="F1156" s="4" t="s">
        <v>2448</v>
      </c>
      <c r="G1156" s="4" t="s">
        <v>2449</v>
      </c>
    </row>
    <row r="1157" spans="1:7" ht="15.75" customHeight="1">
      <c r="A1157" s="5">
        <v>234302291</v>
      </c>
      <c r="B1157" s="6" t="s">
        <v>3136</v>
      </c>
      <c r="C1157" s="5" t="s">
        <v>3137</v>
      </c>
      <c r="D1157" s="5" t="s">
        <v>3138</v>
      </c>
      <c r="E1157" s="5" t="s">
        <v>3139</v>
      </c>
      <c r="F1157" s="6" t="s">
        <v>2448</v>
      </c>
      <c r="G1157" s="6" t="s">
        <v>2449</v>
      </c>
    </row>
    <row r="1158" spans="1:7" ht="15.75" customHeight="1">
      <c r="A1158" s="3">
        <v>234302291</v>
      </c>
      <c r="B1158" s="4" t="s">
        <v>3136</v>
      </c>
      <c r="C1158" s="3" t="s">
        <v>3137</v>
      </c>
      <c r="D1158" s="3" t="s">
        <v>3138</v>
      </c>
      <c r="E1158" s="3" t="s">
        <v>3140</v>
      </c>
      <c r="F1158" s="4" t="s">
        <v>2456</v>
      </c>
      <c r="G1158" s="4" t="s">
        <v>2457</v>
      </c>
    </row>
    <row r="1159" spans="1:7" ht="15.75" customHeight="1">
      <c r="A1159" s="5">
        <v>234305064</v>
      </c>
      <c r="B1159" s="6" t="s">
        <v>3141</v>
      </c>
      <c r="C1159" s="5" t="s">
        <v>3142</v>
      </c>
      <c r="D1159" s="5">
        <v>79514340132</v>
      </c>
      <c r="E1159" s="5" t="s">
        <v>3143</v>
      </c>
      <c r="F1159" s="6" t="s">
        <v>2448</v>
      </c>
      <c r="G1159" s="6" t="s">
        <v>2449</v>
      </c>
    </row>
    <row r="1160" spans="1:7" ht="15.75" customHeight="1">
      <c r="A1160" s="3">
        <v>234314223</v>
      </c>
      <c r="B1160" s="4" t="s">
        <v>3144</v>
      </c>
      <c r="C1160" s="3" t="s">
        <v>3145</v>
      </c>
      <c r="D1160" s="3"/>
      <c r="E1160" s="3" t="s">
        <v>3146</v>
      </c>
      <c r="F1160" s="4" t="s">
        <v>2448</v>
      </c>
      <c r="G1160" s="4" t="s">
        <v>2449</v>
      </c>
    </row>
    <row r="1161" spans="1:7" ht="15.75" customHeight="1">
      <c r="A1161" s="5">
        <v>234322752</v>
      </c>
      <c r="B1161" s="6" t="s">
        <v>3147</v>
      </c>
      <c r="C1161" s="5" t="s">
        <v>3148</v>
      </c>
      <c r="D1161" s="5"/>
      <c r="E1161" s="5" t="s">
        <v>3149</v>
      </c>
      <c r="F1161" s="6" t="s">
        <v>709</v>
      </c>
      <c r="G1161" s="6" t="s">
        <v>710</v>
      </c>
    </row>
    <row r="1162" spans="1:7" ht="15.75" customHeight="1">
      <c r="A1162" s="3">
        <v>234377625</v>
      </c>
      <c r="B1162" s="4" t="s">
        <v>3150</v>
      </c>
      <c r="C1162" s="3" t="s">
        <v>3151</v>
      </c>
      <c r="D1162" s="3"/>
      <c r="E1162" s="3" t="s">
        <v>3152</v>
      </c>
      <c r="F1162" s="4" t="s">
        <v>590</v>
      </c>
      <c r="G1162" s="4" t="s">
        <v>591</v>
      </c>
    </row>
    <row r="1163" spans="1:7" ht="15.75" customHeight="1">
      <c r="A1163" s="5">
        <v>234386044</v>
      </c>
      <c r="B1163" s="6" t="s">
        <v>3153</v>
      </c>
      <c r="C1163" s="5" t="s">
        <v>3154</v>
      </c>
      <c r="D1163" s="5"/>
      <c r="E1163" s="5" t="s">
        <v>3155</v>
      </c>
      <c r="F1163" s="6" t="s">
        <v>590</v>
      </c>
      <c r="G1163" s="6" t="s">
        <v>591</v>
      </c>
    </row>
    <row r="1164" spans="1:7" ht="15.75" customHeight="1">
      <c r="A1164" s="3">
        <v>234395671</v>
      </c>
      <c r="B1164" s="4" t="s">
        <v>3156</v>
      </c>
      <c r="C1164" s="3" t="s">
        <v>3157</v>
      </c>
      <c r="D1164" s="3"/>
      <c r="E1164" s="3" t="s">
        <v>3158</v>
      </c>
      <c r="F1164" s="4" t="s">
        <v>590</v>
      </c>
      <c r="G1164" s="4" t="s">
        <v>591</v>
      </c>
    </row>
    <row r="1165" spans="1:7" ht="15.75" customHeight="1">
      <c r="A1165" s="5">
        <v>234396538</v>
      </c>
      <c r="B1165" s="6" t="s">
        <v>3159</v>
      </c>
      <c r="C1165" s="5" t="s">
        <v>3160</v>
      </c>
      <c r="D1165" s="5"/>
      <c r="E1165" s="5" t="s">
        <v>3161</v>
      </c>
      <c r="F1165" s="6" t="s">
        <v>709</v>
      </c>
      <c r="G1165" s="6" t="s">
        <v>710</v>
      </c>
    </row>
    <row r="1166" spans="1:7" ht="15.75" customHeight="1">
      <c r="A1166" s="3">
        <v>234396732</v>
      </c>
      <c r="B1166" s="4" t="s">
        <v>3162</v>
      </c>
      <c r="C1166" s="3" t="s">
        <v>3163</v>
      </c>
      <c r="D1166" s="3">
        <v>4083904563</v>
      </c>
      <c r="E1166" s="3" t="s">
        <v>3164</v>
      </c>
      <c r="F1166" s="4" t="s">
        <v>590</v>
      </c>
      <c r="G1166" s="4" t="s">
        <v>591</v>
      </c>
    </row>
    <row r="1167" spans="1:7" ht="15.75" customHeight="1">
      <c r="A1167" s="5">
        <v>234400310</v>
      </c>
      <c r="B1167" s="6" t="s">
        <v>3165</v>
      </c>
      <c r="C1167" s="5" t="s">
        <v>3166</v>
      </c>
      <c r="D1167" s="5"/>
      <c r="E1167" s="5" t="s">
        <v>3167</v>
      </c>
      <c r="F1167" s="6" t="s">
        <v>590</v>
      </c>
      <c r="G1167" s="6" t="s">
        <v>591</v>
      </c>
    </row>
    <row r="1168" spans="1:7" ht="15.75" customHeight="1">
      <c r="A1168" s="3">
        <v>234408481</v>
      </c>
      <c r="B1168" s="4" t="s">
        <v>3168</v>
      </c>
      <c r="C1168" s="3" t="s">
        <v>3169</v>
      </c>
      <c r="D1168" s="3"/>
      <c r="E1168" s="3" t="s">
        <v>3170</v>
      </c>
      <c r="F1168" s="4" t="s">
        <v>590</v>
      </c>
      <c r="G1168" s="4" t="s">
        <v>591</v>
      </c>
    </row>
    <row r="1169" spans="1:7" ht="15.75" customHeight="1">
      <c r="A1169" s="5">
        <v>234412970</v>
      </c>
      <c r="B1169" s="6" t="s">
        <v>3171</v>
      </c>
      <c r="C1169" s="5" t="s">
        <v>3172</v>
      </c>
      <c r="D1169" s="5"/>
      <c r="E1169" s="5" t="s">
        <v>3173</v>
      </c>
      <c r="F1169" s="6" t="s">
        <v>590</v>
      </c>
      <c r="G1169" s="6" t="s">
        <v>591</v>
      </c>
    </row>
    <row r="1170" spans="1:7" ht="15.75" customHeight="1">
      <c r="A1170" s="3">
        <v>234416081</v>
      </c>
      <c r="B1170" s="4" t="s">
        <v>3174</v>
      </c>
      <c r="C1170" s="3" t="s">
        <v>3175</v>
      </c>
      <c r="D1170" s="3"/>
      <c r="E1170" s="3" t="s">
        <v>3176</v>
      </c>
      <c r="F1170" s="4" t="s">
        <v>590</v>
      </c>
      <c r="G1170" s="4" t="s">
        <v>591</v>
      </c>
    </row>
    <row r="1171" spans="1:7" ht="15.75" customHeight="1">
      <c r="A1171" s="5">
        <v>234416481</v>
      </c>
      <c r="B1171" s="6" t="s">
        <v>3177</v>
      </c>
      <c r="C1171" s="5" t="s">
        <v>3178</v>
      </c>
      <c r="D1171" s="5" t="s">
        <v>3179</v>
      </c>
      <c r="E1171" s="5" t="s">
        <v>3180</v>
      </c>
      <c r="F1171" s="6" t="s">
        <v>724</v>
      </c>
      <c r="G1171" s="6" t="s">
        <v>725</v>
      </c>
    </row>
    <row r="1172" spans="1:7" ht="15.75" customHeight="1">
      <c r="A1172" s="3">
        <v>234419861</v>
      </c>
      <c r="B1172" s="4" t="s">
        <v>3181</v>
      </c>
      <c r="C1172" s="3" t="s">
        <v>3182</v>
      </c>
      <c r="D1172" s="3" t="s">
        <v>3183</v>
      </c>
      <c r="E1172" s="3" t="s">
        <v>3184</v>
      </c>
      <c r="F1172" s="4" t="s">
        <v>727</v>
      </c>
      <c r="G1172" s="4" t="s">
        <v>728</v>
      </c>
    </row>
    <row r="1173" spans="1:7" ht="15.75" customHeight="1">
      <c r="A1173" s="5">
        <v>234493992</v>
      </c>
      <c r="B1173" s="6" t="s">
        <v>3185</v>
      </c>
      <c r="C1173" s="5" t="s">
        <v>3186</v>
      </c>
      <c r="D1173" s="5" t="s">
        <v>3187</v>
      </c>
      <c r="E1173" s="5" t="s">
        <v>3188</v>
      </c>
      <c r="F1173" s="6" t="s">
        <v>727</v>
      </c>
      <c r="G1173" s="6" t="s">
        <v>728</v>
      </c>
    </row>
    <row r="1174" spans="1:7" ht="15.75" customHeight="1">
      <c r="A1174" s="3">
        <v>234503214</v>
      </c>
      <c r="B1174" s="4" t="s">
        <v>3189</v>
      </c>
      <c r="C1174" s="3" t="s">
        <v>3190</v>
      </c>
      <c r="D1174" s="3"/>
      <c r="E1174" s="3" t="s">
        <v>3191</v>
      </c>
      <c r="F1174" s="4" t="s">
        <v>590</v>
      </c>
      <c r="G1174" s="4" t="s">
        <v>591</v>
      </c>
    </row>
    <row r="1175" spans="1:7" ht="15.75" customHeight="1">
      <c r="A1175" s="5">
        <v>234510076</v>
      </c>
      <c r="B1175" s="6" t="s">
        <v>3192</v>
      </c>
      <c r="C1175" s="5" t="s">
        <v>3193</v>
      </c>
      <c r="D1175" s="5" t="s">
        <v>3194</v>
      </c>
      <c r="E1175" s="5" t="s">
        <v>3195</v>
      </c>
      <c r="F1175" s="6" t="s">
        <v>727</v>
      </c>
      <c r="G1175" s="6" t="s">
        <v>728</v>
      </c>
    </row>
    <row r="1176" spans="1:7" ht="15.75" customHeight="1">
      <c r="A1176" s="3">
        <v>234512445</v>
      </c>
      <c r="B1176" s="4" t="s">
        <v>3196</v>
      </c>
      <c r="C1176" s="3" t="s">
        <v>3197</v>
      </c>
      <c r="D1176" s="3">
        <v>79220319160</v>
      </c>
      <c r="E1176" s="3" t="s">
        <v>3198</v>
      </c>
      <c r="F1176" s="4" t="s">
        <v>724</v>
      </c>
      <c r="G1176" s="4" t="s">
        <v>725</v>
      </c>
    </row>
    <row r="1177" spans="1:7" ht="15.75" customHeight="1">
      <c r="A1177" s="5">
        <v>234510076</v>
      </c>
      <c r="B1177" s="6" t="s">
        <v>3192</v>
      </c>
      <c r="C1177" s="5" t="s">
        <v>3193</v>
      </c>
      <c r="D1177" s="5" t="s">
        <v>3194</v>
      </c>
      <c r="E1177" s="5" t="s">
        <v>3199</v>
      </c>
      <c r="F1177" s="6" t="s">
        <v>727</v>
      </c>
      <c r="G1177" s="6" t="s">
        <v>728</v>
      </c>
    </row>
    <row r="1178" spans="1:7" ht="15.75" customHeight="1">
      <c r="A1178" s="3">
        <v>234602864</v>
      </c>
      <c r="B1178" s="4" t="s">
        <v>3200</v>
      </c>
      <c r="C1178" s="3" t="s">
        <v>3201</v>
      </c>
      <c r="D1178" s="3"/>
      <c r="E1178" s="3" t="s">
        <v>3202</v>
      </c>
      <c r="F1178" s="4" t="s">
        <v>590</v>
      </c>
      <c r="G1178" s="4" t="s">
        <v>591</v>
      </c>
    </row>
    <row r="1179" spans="1:7" ht="15.75" customHeight="1">
      <c r="A1179" s="5">
        <v>234606277</v>
      </c>
      <c r="B1179" s="6" t="s">
        <v>3203</v>
      </c>
      <c r="C1179" s="5" t="s">
        <v>3204</v>
      </c>
      <c r="D1179" s="5"/>
      <c r="E1179" s="5" t="s">
        <v>3205</v>
      </c>
      <c r="F1179" s="6" t="s">
        <v>590</v>
      </c>
      <c r="G1179" s="6" t="s">
        <v>591</v>
      </c>
    </row>
    <row r="1180" spans="1:7" ht="15.75" customHeight="1">
      <c r="A1180" s="3">
        <v>234607146</v>
      </c>
      <c r="B1180" s="4" t="s">
        <v>3206</v>
      </c>
      <c r="C1180" s="3" t="s">
        <v>3207</v>
      </c>
      <c r="D1180" s="3"/>
      <c r="E1180" s="3" t="s">
        <v>3208</v>
      </c>
      <c r="F1180" s="4" t="s">
        <v>590</v>
      </c>
      <c r="G1180" s="4" t="s">
        <v>591</v>
      </c>
    </row>
    <row r="1181" spans="1:7" ht="15.75" customHeight="1">
      <c r="A1181" s="5">
        <v>234635409</v>
      </c>
      <c r="B1181" s="6" t="s">
        <v>3209</v>
      </c>
      <c r="C1181" s="5" t="s">
        <v>3210</v>
      </c>
      <c r="D1181" s="5">
        <v>79165248412</v>
      </c>
      <c r="E1181" s="5" t="s">
        <v>3211</v>
      </c>
      <c r="F1181" s="6" t="s">
        <v>590</v>
      </c>
      <c r="G1181" s="6" t="s">
        <v>591</v>
      </c>
    </row>
    <row r="1182" spans="1:7" ht="15.75" customHeight="1">
      <c r="A1182" s="3">
        <v>234643265</v>
      </c>
      <c r="B1182" s="4" t="s">
        <v>3212</v>
      </c>
      <c r="C1182" s="3" t="s">
        <v>3213</v>
      </c>
      <c r="D1182" s="3" t="s">
        <v>3214</v>
      </c>
      <c r="E1182" s="3" t="s">
        <v>3215</v>
      </c>
      <c r="F1182" s="4" t="s">
        <v>617</v>
      </c>
      <c r="G1182" s="4" t="s">
        <v>568</v>
      </c>
    </row>
    <row r="1183" spans="1:7" ht="15.75" customHeight="1">
      <c r="A1183" s="5">
        <v>234647447</v>
      </c>
      <c r="B1183" s="6" t="s">
        <v>3216</v>
      </c>
      <c r="C1183" s="5" t="s">
        <v>3217</v>
      </c>
      <c r="D1183" s="5"/>
      <c r="E1183" s="5" t="s">
        <v>3218</v>
      </c>
      <c r="F1183" s="6" t="s">
        <v>590</v>
      </c>
      <c r="G1183" s="6" t="s">
        <v>591</v>
      </c>
    </row>
    <row r="1184" spans="1:7" ht="15.75" customHeight="1">
      <c r="A1184" s="3">
        <v>234652278</v>
      </c>
      <c r="B1184" s="4" t="s">
        <v>3219</v>
      </c>
      <c r="C1184" s="3" t="s">
        <v>3220</v>
      </c>
      <c r="D1184" s="3"/>
      <c r="E1184" s="3" t="s">
        <v>3221</v>
      </c>
      <c r="F1184" s="4" t="s">
        <v>590</v>
      </c>
      <c r="G1184" s="4" t="s">
        <v>591</v>
      </c>
    </row>
    <row r="1185" spans="1:7" ht="15.75" customHeight="1">
      <c r="A1185" s="5">
        <v>234671086</v>
      </c>
      <c r="B1185" s="6" t="s">
        <v>3222</v>
      </c>
      <c r="C1185" s="5" t="s">
        <v>3223</v>
      </c>
      <c r="D1185" s="5" t="s">
        <v>3224</v>
      </c>
      <c r="E1185" s="5" t="s">
        <v>3225</v>
      </c>
      <c r="F1185" s="6" t="s">
        <v>590</v>
      </c>
      <c r="G1185" s="6" t="s">
        <v>591</v>
      </c>
    </row>
    <row r="1186" spans="1:7" ht="15.75" customHeight="1">
      <c r="A1186" s="3">
        <v>234677533</v>
      </c>
      <c r="B1186" s="4" t="s">
        <v>3226</v>
      </c>
      <c r="C1186" s="3" t="s">
        <v>3227</v>
      </c>
      <c r="D1186" s="3">
        <v>79517899501</v>
      </c>
      <c r="E1186" s="3" t="s">
        <v>3228</v>
      </c>
      <c r="F1186" s="4" t="s">
        <v>590</v>
      </c>
      <c r="G1186" s="4" t="s">
        <v>591</v>
      </c>
    </row>
    <row r="1187" spans="1:7" ht="15.75" customHeight="1">
      <c r="A1187" s="5">
        <v>233231487</v>
      </c>
      <c r="B1187" s="6" t="s">
        <v>2944</v>
      </c>
      <c r="C1187" s="5" t="s">
        <v>2945</v>
      </c>
      <c r="D1187" s="5" t="s">
        <v>2946</v>
      </c>
      <c r="E1187" s="5" t="s">
        <v>3229</v>
      </c>
      <c r="F1187" s="6" t="s">
        <v>281</v>
      </c>
      <c r="G1187" s="6" t="s">
        <v>282</v>
      </c>
    </row>
    <row r="1188" spans="1:7" ht="15.75" customHeight="1">
      <c r="A1188" s="3">
        <v>234680188</v>
      </c>
      <c r="B1188" s="4" t="s">
        <v>3230</v>
      </c>
      <c r="C1188" s="3" t="s">
        <v>3231</v>
      </c>
      <c r="D1188" s="3" t="s">
        <v>3232</v>
      </c>
      <c r="E1188" s="3" t="s">
        <v>3233</v>
      </c>
      <c r="F1188" s="4" t="s">
        <v>281</v>
      </c>
      <c r="G1188" s="4" t="s">
        <v>282</v>
      </c>
    </row>
    <row r="1189" spans="1:7" ht="15.75" customHeight="1">
      <c r="A1189" s="5">
        <v>232714812</v>
      </c>
      <c r="B1189" s="6" t="s">
        <v>2763</v>
      </c>
      <c r="C1189" s="5" t="s">
        <v>2764</v>
      </c>
      <c r="D1189" s="5">
        <v>79220060333</v>
      </c>
      <c r="E1189" s="5" t="s">
        <v>3234</v>
      </c>
      <c r="F1189" s="6" t="s">
        <v>2425</v>
      </c>
      <c r="G1189" s="6" t="s">
        <v>497</v>
      </c>
    </row>
    <row r="1190" spans="1:7" ht="15.75" customHeight="1">
      <c r="A1190" s="3">
        <v>234708010</v>
      </c>
      <c r="B1190" s="4" t="s">
        <v>3235</v>
      </c>
      <c r="C1190" s="3" t="s">
        <v>3236</v>
      </c>
      <c r="D1190" s="3"/>
      <c r="E1190" s="3" t="s">
        <v>3237</v>
      </c>
      <c r="F1190" s="4" t="s">
        <v>590</v>
      </c>
      <c r="G1190" s="4" t="s">
        <v>591</v>
      </c>
    </row>
    <row r="1191" spans="1:7" ht="15.75" customHeight="1">
      <c r="A1191" s="5">
        <v>234726827</v>
      </c>
      <c r="B1191" s="6" t="s">
        <v>3238</v>
      </c>
      <c r="C1191" s="5" t="s">
        <v>3239</v>
      </c>
      <c r="D1191" s="5" t="s">
        <v>3240</v>
      </c>
      <c r="E1191" s="5" t="s">
        <v>3241</v>
      </c>
      <c r="F1191" s="6" t="s">
        <v>2462</v>
      </c>
      <c r="G1191" s="6" t="s">
        <v>2463</v>
      </c>
    </row>
    <row r="1192" spans="1:7" ht="15.75" customHeight="1">
      <c r="A1192" s="3">
        <v>233231487</v>
      </c>
      <c r="B1192" s="4" t="s">
        <v>2944</v>
      </c>
      <c r="C1192" s="3" t="s">
        <v>2945</v>
      </c>
      <c r="D1192" s="3" t="s">
        <v>2946</v>
      </c>
      <c r="E1192" s="3" t="s">
        <v>3242</v>
      </c>
      <c r="F1192" s="4" t="s">
        <v>2462</v>
      </c>
      <c r="G1192" s="4" t="s">
        <v>2463</v>
      </c>
    </row>
    <row r="1193" spans="1:7" ht="15.75" customHeight="1">
      <c r="A1193" s="5">
        <v>234746325</v>
      </c>
      <c r="B1193" s="6" t="s">
        <v>3243</v>
      </c>
      <c r="C1193" s="5" t="s">
        <v>3244</v>
      </c>
      <c r="D1193" s="5" t="s">
        <v>3245</v>
      </c>
      <c r="E1193" s="5" t="s">
        <v>3246</v>
      </c>
      <c r="F1193" s="6" t="s">
        <v>709</v>
      </c>
      <c r="G1193" s="6" t="s">
        <v>710</v>
      </c>
    </row>
    <row r="1194" spans="1:7" ht="15.75" customHeight="1">
      <c r="A1194" s="3">
        <v>234643265</v>
      </c>
      <c r="B1194" s="4" t="s">
        <v>3212</v>
      </c>
      <c r="C1194" s="3" t="s">
        <v>3213</v>
      </c>
      <c r="D1194" s="3" t="s">
        <v>3214</v>
      </c>
      <c r="E1194" s="3" t="s">
        <v>3247</v>
      </c>
      <c r="F1194" s="4" t="s">
        <v>3248</v>
      </c>
      <c r="G1194" s="4" t="s">
        <v>3249</v>
      </c>
    </row>
    <row r="1195" spans="1:7" ht="15.75" customHeight="1">
      <c r="A1195" s="5">
        <v>233991573</v>
      </c>
      <c r="B1195" s="6" t="s">
        <v>3079</v>
      </c>
      <c r="C1195" s="5" t="s">
        <v>3080</v>
      </c>
      <c r="D1195" s="5">
        <v>79823581182</v>
      </c>
      <c r="E1195" s="5" t="s">
        <v>3250</v>
      </c>
      <c r="F1195" s="6" t="s">
        <v>2462</v>
      </c>
      <c r="G1195" s="6" t="s">
        <v>2463</v>
      </c>
    </row>
    <row r="1196" spans="1:7" ht="15.75" customHeight="1">
      <c r="A1196" s="3">
        <v>234775619</v>
      </c>
      <c r="B1196" s="4" t="s">
        <v>3251</v>
      </c>
      <c r="C1196" s="3" t="s">
        <v>3252</v>
      </c>
      <c r="D1196" s="3">
        <v>79655482822</v>
      </c>
      <c r="E1196" s="3" t="s">
        <v>3253</v>
      </c>
      <c r="F1196" s="4" t="s">
        <v>727</v>
      </c>
      <c r="G1196" s="4" t="s">
        <v>728</v>
      </c>
    </row>
    <row r="1197" spans="1:7" ht="15.75" customHeight="1">
      <c r="A1197" s="5">
        <v>234815554</v>
      </c>
      <c r="B1197" s="6" t="s">
        <v>3254</v>
      </c>
      <c r="C1197" s="5" t="s">
        <v>3255</v>
      </c>
      <c r="D1197" s="5">
        <v>79514440327</v>
      </c>
      <c r="E1197" s="5" t="s">
        <v>3256</v>
      </c>
      <c r="F1197" s="6" t="s">
        <v>2456</v>
      </c>
      <c r="G1197" s="6" t="s">
        <v>2457</v>
      </c>
    </row>
    <row r="1198" spans="1:7" ht="15.75" customHeight="1">
      <c r="A1198" s="3">
        <v>232628459</v>
      </c>
      <c r="B1198" s="4" t="s">
        <v>2737</v>
      </c>
      <c r="C1198" s="3" t="s">
        <v>2738</v>
      </c>
      <c r="D1198" s="3" t="s">
        <v>2739</v>
      </c>
      <c r="E1198" s="3" t="s">
        <v>3257</v>
      </c>
      <c r="F1198" s="4" t="s">
        <v>746</v>
      </c>
      <c r="G1198" s="4" t="s">
        <v>369</v>
      </c>
    </row>
    <row r="1199" spans="1:7" ht="15.75" customHeight="1">
      <c r="A1199" s="5">
        <v>234850902</v>
      </c>
      <c r="B1199" s="6" t="s">
        <v>3258</v>
      </c>
      <c r="C1199" s="5" t="s">
        <v>3259</v>
      </c>
      <c r="D1199" s="5" t="s">
        <v>3260</v>
      </c>
      <c r="E1199" s="5" t="s">
        <v>3261</v>
      </c>
      <c r="F1199" s="6" t="s">
        <v>623</v>
      </c>
      <c r="G1199" s="6" t="s">
        <v>624</v>
      </c>
    </row>
    <row r="1200" spans="1:7" ht="15.75" customHeight="1">
      <c r="A1200" s="3">
        <v>234852354</v>
      </c>
      <c r="B1200" s="4" t="s">
        <v>3262</v>
      </c>
      <c r="C1200" s="3" t="s">
        <v>3263</v>
      </c>
      <c r="D1200" s="3"/>
      <c r="E1200" s="3" t="s">
        <v>3264</v>
      </c>
      <c r="F1200" s="4" t="s">
        <v>590</v>
      </c>
      <c r="G1200" s="4" t="s">
        <v>591</v>
      </c>
    </row>
    <row r="1201" spans="1:7" ht="15.75" customHeight="1">
      <c r="A1201" s="5">
        <v>234865677</v>
      </c>
      <c r="B1201" s="6" t="s">
        <v>3265</v>
      </c>
      <c r="C1201" s="5" t="s">
        <v>3266</v>
      </c>
      <c r="D1201" s="5"/>
      <c r="E1201" s="5" t="s">
        <v>3267</v>
      </c>
      <c r="F1201" s="6" t="s">
        <v>709</v>
      </c>
      <c r="G1201" s="6" t="s">
        <v>710</v>
      </c>
    </row>
    <row r="1202" spans="1:7" ht="15.75" customHeight="1">
      <c r="A1202" s="3">
        <v>234871534</v>
      </c>
      <c r="B1202" s="4" t="s">
        <v>3268</v>
      </c>
      <c r="C1202" s="3" t="s">
        <v>3269</v>
      </c>
      <c r="D1202" s="3"/>
      <c r="E1202" s="3" t="s">
        <v>3270</v>
      </c>
      <c r="F1202" s="4" t="s">
        <v>590</v>
      </c>
      <c r="G1202" s="4" t="s">
        <v>591</v>
      </c>
    </row>
    <row r="1203" spans="1:7" ht="15.75" customHeight="1">
      <c r="A1203" s="5">
        <v>234885794</v>
      </c>
      <c r="B1203" s="6" t="s">
        <v>3271</v>
      </c>
      <c r="C1203" s="5" t="s">
        <v>3272</v>
      </c>
      <c r="D1203" s="5"/>
      <c r="E1203" s="5" t="s">
        <v>3273</v>
      </c>
      <c r="F1203" s="6" t="s">
        <v>590</v>
      </c>
      <c r="G1203" s="6" t="s">
        <v>591</v>
      </c>
    </row>
    <row r="1204" spans="1:7" ht="15.75" customHeight="1">
      <c r="A1204" s="3">
        <v>234065474</v>
      </c>
      <c r="B1204" s="4" t="s">
        <v>3098</v>
      </c>
      <c r="C1204" s="3" t="s">
        <v>3099</v>
      </c>
      <c r="D1204" s="3" t="s">
        <v>3100</v>
      </c>
      <c r="E1204" s="3" t="s">
        <v>3274</v>
      </c>
      <c r="F1204" s="4" t="s">
        <v>3248</v>
      </c>
      <c r="G1204" s="4" t="s">
        <v>3249</v>
      </c>
    </row>
    <row r="1205" spans="1:7" ht="15.75" customHeight="1">
      <c r="A1205" s="5">
        <v>234888621</v>
      </c>
      <c r="B1205" s="6" t="s">
        <v>3275</v>
      </c>
      <c r="C1205" s="5" t="s">
        <v>3276</v>
      </c>
      <c r="D1205" s="5">
        <v>79142173349</v>
      </c>
      <c r="E1205" s="5" t="s">
        <v>3277</v>
      </c>
      <c r="F1205" s="6" t="s">
        <v>617</v>
      </c>
      <c r="G1205" s="6" t="s">
        <v>568</v>
      </c>
    </row>
    <row r="1206" spans="1:7" ht="15.75" customHeight="1">
      <c r="A1206" s="3">
        <v>233745373</v>
      </c>
      <c r="B1206" s="4" t="s">
        <v>3042</v>
      </c>
      <c r="C1206" s="3" t="s">
        <v>3043</v>
      </c>
      <c r="D1206" s="3">
        <v>79818530288</v>
      </c>
      <c r="E1206" s="3" t="s">
        <v>3278</v>
      </c>
      <c r="F1206" s="4" t="s">
        <v>2462</v>
      </c>
      <c r="G1206" s="4" t="s">
        <v>2463</v>
      </c>
    </row>
    <row r="1207" spans="1:7" ht="15.75" customHeight="1">
      <c r="A1207" s="5">
        <v>234893376</v>
      </c>
      <c r="B1207" s="6" t="s">
        <v>3279</v>
      </c>
      <c r="C1207" s="5" t="s">
        <v>3280</v>
      </c>
      <c r="D1207" s="5"/>
      <c r="E1207" s="5" t="s">
        <v>3281</v>
      </c>
      <c r="F1207" s="6" t="s">
        <v>590</v>
      </c>
      <c r="G1207" s="6" t="s">
        <v>591</v>
      </c>
    </row>
    <row r="1208" spans="1:7" ht="15.75" customHeight="1">
      <c r="A1208" s="3">
        <v>234897315</v>
      </c>
      <c r="B1208" s="4" t="s">
        <v>3282</v>
      </c>
      <c r="C1208" s="3" t="s">
        <v>3283</v>
      </c>
      <c r="D1208" s="3">
        <v>79320172184</v>
      </c>
      <c r="E1208" s="3" t="s">
        <v>3284</v>
      </c>
      <c r="F1208" s="4" t="s">
        <v>2448</v>
      </c>
      <c r="G1208" s="4" t="s">
        <v>2449</v>
      </c>
    </row>
    <row r="1209" spans="1:7" ht="15.75" customHeight="1">
      <c r="A1209" s="5">
        <v>234908082</v>
      </c>
      <c r="B1209" s="6" t="s">
        <v>3285</v>
      </c>
      <c r="C1209" s="5" t="s">
        <v>3286</v>
      </c>
      <c r="D1209" s="5"/>
      <c r="E1209" s="5" t="s">
        <v>3287</v>
      </c>
      <c r="F1209" s="6" t="s">
        <v>590</v>
      </c>
      <c r="G1209" s="6" t="s">
        <v>591</v>
      </c>
    </row>
    <row r="1210" spans="1:7" ht="15.75" customHeight="1">
      <c r="A1210" s="3">
        <v>233904760</v>
      </c>
      <c r="B1210" s="4" t="s">
        <v>3053</v>
      </c>
      <c r="C1210" s="3" t="s">
        <v>3054</v>
      </c>
      <c r="D1210" s="3" t="s">
        <v>3055</v>
      </c>
      <c r="E1210" s="3" t="s">
        <v>3288</v>
      </c>
      <c r="F1210" s="4" t="s">
        <v>3248</v>
      </c>
      <c r="G1210" s="4" t="s">
        <v>3249</v>
      </c>
    </row>
    <row r="1211" spans="1:7" ht="15.75" customHeight="1">
      <c r="A1211" s="5">
        <v>234925372</v>
      </c>
      <c r="B1211" s="6" t="s">
        <v>3289</v>
      </c>
      <c r="C1211" s="5" t="s">
        <v>3290</v>
      </c>
      <c r="D1211" s="5"/>
      <c r="E1211" s="5" t="s">
        <v>3291</v>
      </c>
      <c r="F1211" s="6" t="s">
        <v>2462</v>
      </c>
      <c r="G1211" s="6" t="s">
        <v>2463</v>
      </c>
    </row>
    <row r="1212" spans="1:7" ht="15.75" customHeight="1">
      <c r="A1212" s="3">
        <v>233234488</v>
      </c>
      <c r="B1212" s="4" t="s">
        <v>2949</v>
      </c>
      <c r="C1212" s="3" t="s">
        <v>2950</v>
      </c>
      <c r="D1212" s="3" t="s">
        <v>2951</v>
      </c>
      <c r="E1212" s="3" t="s">
        <v>3292</v>
      </c>
      <c r="F1212" s="4" t="s">
        <v>3248</v>
      </c>
      <c r="G1212" s="4" t="s">
        <v>3249</v>
      </c>
    </row>
    <row r="1213" spans="1:7" ht="15.75" customHeight="1">
      <c r="A1213" s="5">
        <v>232519105</v>
      </c>
      <c r="B1213" s="6" t="s">
        <v>2705</v>
      </c>
      <c r="C1213" s="5" t="s">
        <v>2706</v>
      </c>
      <c r="D1213" s="5" t="s">
        <v>2707</v>
      </c>
      <c r="E1213" s="5" t="s">
        <v>3293</v>
      </c>
      <c r="F1213" s="6" t="s">
        <v>3248</v>
      </c>
      <c r="G1213" s="6" t="s">
        <v>3249</v>
      </c>
    </row>
    <row r="1214" spans="1:7" ht="15.75" customHeight="1">
      <c r="A1214" s="3">
        <v>234944225</v>
      </c>
      <c r="B1214" s="4" t="s">
        <v>3294</v>
      </c>
      <c r="C1214" s="3" t="s">
        <v>3295</v>
      </c>
      <c r="D1214" s="3">
        <v>79144126464</v>
      </c>
      <c r="E1214" s="3" t="s">
        <v>3296</v>
      </c>
      <c r="F1214" s="4" t="s">
        <v>3248</v>
      </c>
      <c r="G1214" s="4" t="s">
        <v>3249</v>
      </c>
    </row>
    <row r="1215" spans="1:7" ht="15.75" customHeight="1">
      <c r="A1215" s="5">
        <v>232848271</v>
      </c>
      <c r="B1215" s="6" t="s">
        <v>2805</v>
      </c>
      <c r="C1215" s="5" t="s">
        <v>2806</v>
      </c>
      <c r="D1215" s="5">
        <v>868253103</v>
      </c>
      <c r="E1215" s="5" t="s">
        <v>3297</v>
      </c>
      <c r="F1215" s="6" t="s">
        <v>790</v>
      </c>
      <c r="G1215" s="6" t="s">
        <v>791</v>
      </c>
    </row>
    <row r="1216" spans="1:7" ht="15.75" customHeight="1">
      <c r="A1216" s="3">
        <v>234289671</v>
      </c>
      <c r="B1216" s="4" t="s">
        <v>3124</v>
      </c>
      <c r="C1216" s="3" t="s">
        <v>3125</v>
      </c>
      <c r="D1216" s="3">
        <v>29439885</v>
      </c>
      <c r="E1216" s="3" t="s">
        <v>3298</v>
      </c>
      <c r="F1216" s="4" t="s">
        <v>2462</v>
      </c>
      <c r="G1216" s="4" t="s">
        <v>2463</v>
      </c>
    </row>
    <row r="1217" spans="1:7" ht="15.75" customHeight="1">
      <c r="A1217" s="5">
        <v>234289671</v>
      </c>
      <c r="B1217" s="6" t="s">
        <v>3124</v>
      </c>
      <c r="C1217" s="5" t="s">
        <v>3125</v>
      </c>
      <c r="D1217" s="5">
        <v>29439885</v>
      </c>
      <c r="E1217" s="5" t="s">
        <v>3298</v>
      </c>
      <c r="F1217" s="6" t="s">
        <v>2462</v>
      </c>
      <c r="G1217" s="6" t="s">
        <v>2463</v>
      </c>
    </row>
    <row r="1218" spans="1:7" ht="15.75" customHeight="1">
      <c r="A1218" s="3">
        <v>233974151</v>
      </c>
      <c r="B1218" s="4" t="s">
        <v>3071</v>
      </c>
      <c r="C1218" s="3" t="s">
        <v>3072</v>
      </c>
      <c r="D1218" s="3" t="s">
        <v>3073</v>
      </c>
      <c r="E1218" s="3" t="s">
        <v>3299</v>
      </c>
      <c r="F1218" s="4" t="s">
        <v>2462</v>
      </c>
      <c r="G1218" s="4" t="s">
        <v>2463</v>
      </c>
    </row>
    <row r="1219" spans="1:7" ht="15.75" customHeight="1">
      <c r="A1219" s="5">
        <v>233955392</v>
      </c>
      <c r="B1219" s="6" t="s">
        <v>3067</v>
      </c>
      <c r="C1219" s="5" t="s">
        <v>3068</v>
      </c>
      <c r="D1219" s="5" t="s">
        <v>3069</v>
      </c>
      <c r="E1219" s="5" t="s">
        <v>3300</v>
      </c>
      <c r="F1219" s="6" t="s">
        <v>2462</v>
      </c>
      <c r="G1219" s="6" t="s">
        <v>2463</v>
      </c>
    </row>
    <row r="1220" spans="1:7" ht="15.75" customHeight="1">
      <c r="A1220" s="3">
        <v>232897468</v>
      </c>
      <c r="B1220" s="4" t="s">
        <v>2838</v>
      </c>
      <c r="C1220" s="3" t="s">
        <v>2839</v>
      </c>
      <c r="D1220" s="3" t="s">
        <v>2840</v>
      </c>
      <c r="E1220" s="3" t="s">
        <v>3301</v>
      </c>
      <c r="F1220" s="4" t="s">
        <v>2462</v>
      </c>
      <c r="G1220" s="4" t="s">
        <v>2463</v>
      </c>
    </row>
    <row r="1221" spans="1:7" ht="15.75" customHeight="1">
      <c r="A1221" s="5">
        <v>234998334</v>
      </c>
      <c r="B1221" s="6" t="s">
        <v>3302</v>
      </c>
      <c r="C1221" s="5" t="s">
        <v>3303</v>
      </c>
      <c r="D1221" s="5"/>
      <c r="E1221" s="5" t="s">
        <v>3304</v>
      </c>
      <c r="F1221" s="6" t="s">
        <v>590</v>
      </c>
      <c r="G1221" s="6" t="s">
        <v>591</v>
      </c>
    </row>
    <row r="1222" spans="1:7" ht="15.75" customHeight="1">
      <c r="A1222" s="3">
        <v>235030694</v>
      </c>
      <c r="B1222" s="4" t="s">
        <v>3305</v>
      </c>
      <c r="C1222" s="3" t="s">
        <v>3306</v>
      </c>
      <c r="D1222" s="3" t="s">
        <v>3307</v>
      </c>
      <c r="E1222" s="3" t="s">
        <v>3308</v>
      </c>
      <c r="F1222" s="4" t="s">
        <v>3309</v>
      </c>
      <c r="G1222" s="4" t="s">
        <v>2202</v>
      </c>
    </row>
    <row r="1223" spans="1:7" ht="15.75" customHeight="1">
      <c r="A1223" s="5">
        <v>235030962</v>
      </c>
      <c r="B1223" s="6" t="s">
        <v>3310</v>
      </c>
      <c r="C1223" s="5" t="s">
        <v>3311</v>
      </c>
      <c r="D1223" s="5" t="s">
        <v>3312</v>
      </c>
      <c r="E1223" s="5" t="s">
        <v>3313</v>
      </c>
      <c r="F1223" s="6" t="s">
        <v>3309</v>
      </c>
      <c r="G1223" s="6" t="s">
        <v>2202</v>
      </c>
    </row>
    <row r="1224" spans="1:7" ht="15.75" customHeight="1">
      <c r="A1224" s="3">
        <v>235081820</v>
      </c>
      <c r="B1224" s="4" t="s">
        <v>3314</v>
      </c>
      <c r="C1224" s="3" t="s">
        <v>3315</v>
      </c>
      <c r="D1224" s="3"/>
      <c r="E1224" s="3" t="s">
        <v>3316</v>
      </c>
      <c r="F1224" s="4" t="s">
        <v>590</v>
      </c>
      <c r="G1224" s="4" t="s">
        <v>591</v>
      </c>
    </row>
    <row r="1225" spans="1:7" ht="15.75" customHeight="1">
      <c r="A1225" s="5">
        <v>235087003</v>
      </c>
      <c r="B1225" s="6" t="s">
        <v>3317</v>
      </c>
      <c r="C1225" s="5" t="s">
        <v>3318</v>
      </c>
      <c r="D1225" s="5" t="s">
        <v>3319</v>
      </c>
      <c r="E1225" s="5" t="s">
        <v>3320</v>
      </c>
      <c r="F1225" s="6" t="s">
        <v>3309</v>
      </c>
      <c r="G1225" s="6" t="s">
        <v>2202</v>
      </c>
    </row>
    <row r="1226" spans="1:7" ht="15.75" customHeight="1">
      <c r="A1226" s="3">
        <v>235105057</v>
      </c>
      <c r="B1226" s="4" t="s">
        <v>3321</v>
      </c>
      <c r="C1226" s="3" t="s">
        <v>3322</v>
      </c>
      <c r="D1226" s="3"/>
      <c r="E1226" s="3" t="s">
        <v>3323</v>
      </c>
      <c r="F1226" s="4" t="s">
        <v>590</v>
      </c>
      <c r="G1226" s="4" t="s">
        <v>591</v>
      </c>
    </row>
    <row r="1227" spans="1:7" ht="15.75" customHeight="1">
      <c r="A1227" s="5">
        <v>235141327</v>
      </c>
      <c r="B1227" s="6" t="s">
        <v>3324</v>
      </c>
      <c r="C1227" s="5" t="s">
        <v>3325</v>
      </c>
      <c r="D1227" s="5">
        <v>79052320935</v>
      </c>
      <c r="E1227" s="5" t="s">
        <v>3326</v>
      </c>
      <c r="F1227" s="6" t="s">
        <v>709</v>
      </c>
      <c r="G1227" s="6" t="s">
        <v>710</v>
      </c>
    </row>
    <row r="1228" spans="1:7" ht="15.75" customHeight="1">
      <c r="A1228" s="3">
        <v>235171656</v>
      </c>
      <c r="B1228" s="4" t="s">
        <v>3327</v>
      </c>
      <c r="C1228" s="3" t="s">
        <v>3328</v>
      </c>
      <c r="D1228" s="3"/>
      <c r="E1228" s="3" t="s">
        <v>3329</v>
      </c>
      <c r="F1228" s="4" t="s">
        <v>709</v>
      </c>
      <c r="G1228" s="4" t="s">
        <v>710</v>
      </c>
    </row>
    <row r="1229" spans="1:7" ht="15.75" customHeight="1">
      <c r="A1229" s="5">
        <v>235172756</v>
      </c>
      <c r="B1229" s="6" t="s">
        <v>3330</v>
      </c>
      <c r="C1229" s="5" t="s">
        <v>3331</v>
      </c>
      <c r="D1229" s="5"/>
      <c r="E1229" s="5" t="s">
        <v>3332</v>
      </c>
      <c r="F1229" s="6" t="s">
        <v>709</v>
      </c>
      <c r="G1229" s="6" t="s">
        <v>710</v>
      </c>
    </row>
    <row r="1230" spans="1:7" ht="15.75" customHeight="1">
      <c r="A1230" s="3">
        <v>235190847</v>
      </c>
      <c r="B1230" s="4" t="s">
        <v>3333</v>
      </c>
      <c r="C1230" s="3" t="s">
        <v>3334</v>
      </c>
      <c r="D1230" s="3" t="s">
        <v>3335</v>
      </c>
      <c r="E1230" s="3" t="s">
        <v>3336</v>
      </c>
      <c r="F1230" s="4" t="s">
        <v>2462</v>
      </c>
      <c r="G1230" s="4" t="s">
        <v>2463</v>
      </c>
    </row>
    <row r="1231" spans="1:7" ht="15.75" customHeight="1">
      <c r="A1231" s="5">
        <v>235193919</v>
      </c>
      <c r="B1231" s="6" t="s">
        <v>3337</v>
      </c>
      <c r="C1231" s="5" t="s">
        <v>3338</v>
      </c>
      <c r="D1231" s="5"/>
      <c r="E1231" s="5" t="s">
        <v>3339</v>
      </c>
      <c r="F1231" s="6" t="s">
        <v>590</v>
      </c>
      <c r="G1231" s="6" t="s">
        <v>591</v>
      </c>
    </row>
    <row r="1232" spans="1:7" ht="15.75" customHeight="1">
      <c r="A1232" s="3">
        <v>235197675</v>
      </c>
      <c r="B1232" s="4" t="s">
        <v>3340</v>
      </c>
      <c r="C1232" s="3" t="s">
        <v>3341</v>
      </c>
      <c r="D1232" s="3" t="s">
        <v>3342</v>
      </c>
      <c r="E1232" s="3" t="s">
        <v>3343</v>
      </c>
      <c r="F1232" s="4" t="s">
        <v>2462</v>
      </c>
      <c r="G1232" s="4" t="s">
        <v>3344</v>
      </c>
    </row>
    <row r="1233" spans="1:7" ht="15.75" customHeight="1">
      <c r="A1233" s="5">
        <v>235265377</v>
      </c>
      <c r="B1233" s="6" t="s">
        <v>3345</v>
      </c>
      <c r="C1233" s="5" t="s">
        <v>3346</v>
      </c>
      <c r="D1233" s="5" t="s">
        <v>3347</v>
      </c>
      <c r="E1233" s="5" t="s">
        <v>3348</v>
      </c>
      <c r="F1233" s="6" t="s">
        <v>2462</v>
      </c>
      <c r="G1233" s="6" t="s">
        <v>2463</v>
      </c>
    </row>
    <row r="1234" spans="1:7" ht="15.75" customHeight="1">
      <c r="A1234" s="3">
        <v>233668450</v>
      </c>
      <c r="B1234" s="4" t="s">
        <v>2986</v>
      </c>
      <c r="C1234" s="3" t="s">
        <v>2987</v>
      </c>
      <c r="D1234" s="3">
        <v>79516412681</v>
      </c>
      <c r="E1234" s="3" t="s">
        <v>3349</v>
      </c>
      <c r="F1234" s="4" t="s">
        <v>2462</v>
      </c>
      <c r="G1234" s="4" t="s">
        <v>2463</v>
      </c>
    </row>
    <row r="1235" spans="1:7" ht="15.75" customHeight="1">
      <c r="A1235" s="5">
        <v>233668714</v>
      </c>
      <c r="B1235" s="6" t="s">
        <v>2994</v>
      </c>
      <c r="C1235" s="5" t="s">
        <v>2995</v>
      </c>
      <c r="D1235" s="5" t="s">
        <v>2996</v>
      </c>
      <c r="E1235" s="5" t="s">
        <v>3350</v>
      </c>
      <c r="F1235" s="6" t="s">
        <v>2462</v>
      </c>
      <c r="G1235" s="6" t="s">
        <v>2463</v>
      </c>
    </row>
    <row r="1236" spans="1:7" ht="15.75" customHeight="1">
      <c r="A1236" s="3">
        <v>235314244</v>
      </c>
      <c r="B1236" s="4" t="s">
        <v>3351</v>
      </c>
      <c r="C1236" s="3" t="s">
        <v>3352</v>
      </c>
      <c r="D1236" s="3" t="s">
        <v>3353</v>
      </c>
      <c r="E1236" s="3" t="s">
        <v>3354</v>
      </c>
      <c r="F1236" s="4" t="s">
        <v>2462</v>
      </c>
      <c r="G1236" s="4" t="s">
        <v>2463</v>
      </c>
    </row>
    <row r="1237" spans="1:7" ht="15.75" customHeight="1">
      <c r="A1237" s="5">
        <v>235320048</v>
      </c>
      <c r="B1237" s="6" t="s">
        <v>3355</v>
      </c>
      <c r="C1237" s="5" t="s">
        <v>3356</v>
      </c>
      <c r="D1237" s="5">
        <v>255470691</v>
      </c>
      <c r="E1237" s="5" t="s">
        <v>3357</v>
      </c>
      <c r="F1237" s="6" t="s">
        <v>3309</v>
      </c>
      <c r="G1237" s="6" t="s">
        <v>2202</v>
      </c>
    </row>
    <row r="1238" spans="1:7" ht="15.75" customHeight="1">
      <c r="A1238" s="3">
        <v>235339626</v>
      </c>
      <c r="B1238" s="4" t="s">
        <v>3358</v>
      </c>
      <c r="C1238" s="3" t="s">
        <v>3359</v>
      </c>
      <c r="D1238" s="3"/>
      <c r="E1238" s="3" t="s">
        <v>3360</v>
      </c>
      <c r="F1238" s="4" t="s">
        <v>590</v>
      </c>
      <c r="G1238" s="4" t="s">
        <v>591</v>
      </c>
    </row>
    <row r="1239" spans="1:7" ht="15.75" customHeight="1">
      <c r="A1239" s="5">
        <v>234302291</v>
      </c>
      <c r="B1239" s="6" t="s">
        <v>3136</v>
      </c>
      <c r="C1239" s="5" t="s">
        <v>3137</v>
      </c>
      <c r="D1239" s="5" t="s">
        <v>3138</v>
      </c>
      <c r="E1239" s="5" t="s">
        <v>3361</v>
      </c>
      <c r="F1239" s="6" t="s">
        <v>281</v>
      </c>
      <c r="G1239" s="6" t="s">
        <v>282</v>
      </c>
    </row>
    <row r="1240" spans="1:7" ht="15.75" customHeight="1">
      <c r="A1240" s="3">
        <v>235382046</v>
      </c>
      <c r="B1240" s="4" t="s">
        <v>3362</v>
      </c>
      <c r="C1240" s="3" t="s">
        <v>3363</v>
      </c>
      <c r="D1240" s="3" t="s">
        <v>3364</v>
      </c>
      <c r="E1240" s="3" t="s">
        <v>3365</v>
      </c>
      <c r="F1240" s="4" t="s">
        <v>623</v>
      </c>
      <c r="G1240" s="4" t="s">
        <v>624</v>
      </c>
    </row>
    <row r="1241" spans="1:7" ht="15.75" customHeight="1">
      <c r="A1241" s="5">
        <v>233129191</v>
      </c>
      <c r="B1241" s="6" t="s">
        <v>2920</v>
      </c>
      <c r="C1241" s="5" t="s">
        <v>2921</v>
      </c>
      <c r="D1241" s="5">
        <v>79193102777</v>
      </c>
      <c r="E1241" s="5" t="s">
        <v>3366</v>
      </c>
      <c r="F1241" s="6" t="s">
        <v>281</v>
      </c>
      <c r="G1241" s="6" t="s">
        <v>282</v>
      </c>
    </row>
    <row r="1242" spans="1:7" ht="15.75" customHeight="1">
      <c r="A1242" s="3">
        <v>235490238</v>
      </c>
      <c r="B1242" s="4" t="s">
        <v>3367</v>
      </c>
      <c r="C1242" s="3" t="s">
        <v>3368</v>
      </c>
      <c r="D1242" s="3" t="s">
        <v>3369</v>
      </c>
      <c r="E1242" s="3" t="s">
        <v>3370</v>
      </c>
      <c r="F1242" s="4" t="s">
        <v>281</v>
      </c>
      <c r="G1242" s="4" t="s">
        <v>282</v>
      </c>
    </row>
    <row r="1243" spans="1:7" ht="15.75" customHeight="1">
      <c r="A1243" s="5">
        <v>235493680</v>
      </c>
      <c r="B1243" s="6" t="s">
        <v>3371</v>
      </c>
      <c r="C1243" s="5" t="s">
        <v>3372</v>
      </c>
      <c r="D1243" s="5" t="s">
        <v>3373</v>
      </c>
      <c r="E1243" s="5" t="s">
        <v>3374</v>
      </c>
      <c r="F1243" s="6" t="s">
        <v>281</v>
      </c>
      <c r="G1243" s="6" t="s">
        <v>282</v>
      </c>
    </row>
    <row r="1244" spans="1:7" ht="15.75" customHeight="1">
      <c r="A1244" s="3">
        <v>235663443</v>
      </c>
      <c r="B1244" s="4" t="s">
        <v>3375</v>
      </c>
      <c r="C1244" s="3" t="s">
        <v>3376</v>
      </c>
      <c r="D1244" s="3">
        <v>79081041387</v>
      </c>
      <c r="E1244" s="3" t="s">
        <v>3377</v>
      </c>
      <c r="F1244" s="4" t="s">
        <v>3378</v>
      </c>
      <c r="G1244" s="4" t="s">
        <v>3379</v>
      </c>
    </row>
    <row r="1245" spans="1:7" ht="15.75" customHeight="1">
      <c r="A1245" s="5">
        <v>235773458</v>
      </c>
      <c r="B1245" s="6" t="s">
        <v>3380</v>
      </c>
      <c r="C1245" s="5" t="s">
        <v>3381</v>
      </c>
      <c r="D1245" s="5">
        <v>14246534044</v>
      </c>
      <c r="E1245" s="5" t="s">
        <v>3382</v>
      </c>
      <c r="F1245" s="6" t="s">
        <v>590</v>
      </c>
      <c r="G1245" s="6" t="s">
        <v>591</v>
      </c>
    </row>
    <row r="1246" spans="1:7" ht="15.75" customHeight="1">
      <c r="A1246" s="3">
        <v>235775715</v>
      </c>
      <c r="B1246" s="4" t="s">
        <v>3383</v>
      </c>
      <c r="C1246" s="3" t="s">
        <v>3384</v>
      </c>
      <c r="D1246" s="3"/>
      <c r="E1246" s="3" t="s">
        <v>3385</v>
      </c>
      <c r="F1246" s="4" t="s">
        <v>590</v>
      </c>
      <c r="G1246" s="4" t="s">
        <v>591</v>
      </c>
    </row>
    <row r="1247" spans="1:7" ht="15.75" customHeight="1">
      <c r="A1247" s="5">
        <v>235777786</v>
      </c>
      <c r="B1247" s="6" t="s">
        <v>3386</v>
      </c>
      <c r="C1247" s="5" t="s">
        <v>3387</v>
      </c>
      <c r="D1247" s="5"/>
      <c r="E1247" s="5" t="s">
        <v>3388</v>
      </c>
      <c r="F1247" s="6" t="s">
        <v>590</v>
      </c>
      <c r="G1247" s="6" t="s">
        <v>591</v>
      </c>
    </row>
    <row r="1248" spans="1:7" ht="15.75" customHeight="1">
      <c r="A1248" s="3">
        <v>235780313</v>
      </c>
      <c r="B1248" s="4" t="s">
        <v>3389</v>
      </c>
      <c r="C1248" s="3" t="s">
        <v>3390</v>
      </c>
      <c r="D1248" s="3"/>
      <c r="E1248" s="3" t="s">
        <v>3391</v>
      </c>
      <c r="F1248" s="4" t="s">
        <v>590</v>
      </c>
      <c r="G1248" s="4" t="s">
        <v>591</v>
      </c>
    </row>
    <row r="1249" spans="1:7" ht="15.75" customHeight="1">
      <c r="A1249" s="5">
        <v>235780768</v>
      </c>
      <c r="B1249" s="6" t="s">
        <v>3392</v>
      </c>
      <c r="C1249" s="5" t="s">
        <v>3393</v>
      </c>
      <c r="D1249" s="5">
        <v>79125253457</v>
      </c>
      <c r="E1249" s="5" t="s">
        <v>3394</v>
      </c>
      <c r="F1249" s="6" t="s">
        <v>2425</v>
      </c>
      <c r="G1249" s="6" t="s">
        <v>497</v>
      </c>
    </row>
    <row r="1250" spans="1:7" ht="15.75" customHeight="1">
      <c r="A1250" s="3">
        <v>235780999</v>
      </c>
      <c r="B1250" s="4" t="s">
        <v>3395</v>
      </c>
      <c r="C1250" s="3" t="s">
        <v>3396</v>
      </c>
      <c r="D1250" s="3"/>
      <c r="E1250" s="3" t="s">
        <v>3397</v>
      </c>
      <c r="F1250" s="4" t="s">
        <v>590</v>
      </c>
      <c r="G1250" s="4" t="s">
        <v>591</v>
      </c>
    </row>
    <row r="1251" spans="1:7" ht="15.75" customHeight="1">
      <c r="A1251" s="5">
        <v>235786236</v>
      </c>
      <c r="B1251" s="6" t="s">
        <v>3398</v>
      </c>
      <c r="C1251" s="5" t="s">
        <v>3399</v>
      </c>
      <c r="D1251" s="5"/>
      <c r="E1251" s="5" t="s">
        <v>3400</v>
      </c>
      <c r="F1251" s="6" t="s">
        <v>590</v>
      </c>
      <c r="G1251" s="6" t="s">
        <v>591</v>
      </c>
    </row>
    <row r="1252" spans="1:7" ht="15.75" customHeight="1">
      <c r="A1252" s="3">
        <v>235787742</v>
      </c>
      <c r="B1252" s="4" t="s">
        <v>3401</v>
      </c>
      <c r="C1252" s="3" t="s">
        <v>3402</v>
      </c>
      <c r="D1252" s="3"/>
      <c r="E1252" s="3" t="s">
        <v>3403</v>
      </c>
      <c r="F1252" s="4" t="s">
        <v>590</v>
      </c>
      <c r="G1252" s="4" t="s">
        <v>591</v>
      </c>
    </row>
    <row r="1253" spans="1:7" ht="15.75" customHeight="1">
      <c r="A1253" s="5">
        <v>235791338</v>
      </c>
      <c r="B1253" s="6" t="s">
        <v>3404</v>
      </c>
      <c r="C1253" s="5" t="s">
        <v>3405</v>
      </c>
      <c r="D1253" s="5"/>
      <c r="E1253" s="5" t="s">
        <v>3406</v>
      </c>
      <c r="F1253" s="6" t="s">
        <v>590</v>
      </c>
      <c r="G1253" s="6" t="s">
        <v>591</v>
      </c>
    </row>
    <row r="1254" spans="1:7" ht="15.75" customHeight="1">
      <c r="A1254" s="3">
        <v>235791698</v>
      </c>
      <c r="B1254" s="4" t="s">
        <v>3407</v>
      </c>
      <c r="C1254" s="3" t="s">
        <v>3408</v>
      </c>
      <c r="D1254" s="3"/>
      <c r="E1254" s="3" t="s">
        <v>3409</v>
      </c>
      <c r="F1254" s="4" t="s">
        <v>590</v>
      </c>
      <c r="G1254" s="4" t="s">
        <v>591</v>
      </c>
    </row>
    <row r="1255" spans="1:7" ht="15.75" customHeight="1">
      <c r="A1255" s="5">
        <v>235795870</v>
      </c>
      <c r="B1255" s="6" t="s">
        <v>3410</v>
      </c>
      <c r="C1255" s="5" t="s">
        <v>3411</v>
      </c>
      <c r="D1255" s="5"/>
      <c r="E1255" s="5" t="s">
        <v>3412</v>
      </c>
      <c r="F1255" s="6" t="s">
        <v>590</v>
      </c>
      <c r="G1255" s="6" t="s">
        <v>591</v>
      </c>
    </row>
    <row r="1256" spans="1:7" ht="15.75" customHeight="1">
      <c r="A1256" s="3">
        <v>235798456</v>
      </c>
      <c r="B1256" s="4" t="s">
        <v>3413</v>
      </c>
      <c r="C1256" s="3" t="s">
        <v>3414</v>
      </c>
      <c r="D1256" s="3"/>
      <c r="E1256" s="3" t="s">
        <v>3415</v>
      </c>
      <c r="F1256" s="4" t="s">
        <v>590</v>
      </c>
      <c r="G1256" s="4" t="s">
        <v>591</v>
      </c>
    </row>
    <row r="1257" spans="1:7" ht="15.75" customHeight="1">
      <c r="A1257" s="5">
        <v>235798605</v>
      </c>
      <c r="B1257" s="6" t="s">
        <v>3416</v>
      </c>
      <c r="C1257" s="5" t="s">
        <v>3417</v>
      </c>
      <c r="D1257" s="5"/>
      <c r="E1257" s="5" t="s">
        <v>3418</v>
      </c>
      <c r="F1257" s="6" t="s">
        <v>590</v>
      </c>
      <c r="G1257" s="6" t="s">
        <v>591</v>
      </c>
    </row>
    <row r="1258" spans="1:7" ht="15.75" customHeight="1">
      <c r="A1258" s="3">
        <v>235801113</v>
      </c>
      <c r="B1258" s="4" t="s">
        <v>3419</v>
      </c>
      <c r="C1258" s="3" t="s">
        <v>3420</v>
      </c>
      <c r="D1258" s="3"/>
      <c r="E1258" s="3" t="s">
        <v>3421</v>
      </c>
      <c r="F1258" s="4" t="s">
        <v>3422</v>
      </c>
      <c r="G1258" s="4" t="s">
        <v>3423</v>
      </c>
    </row>
    <row r="1259" spans="1:7" ht="15.75" customHeight="1">
      <c r="A1259" s="5">
        <v>235801141</v>
      </c>
      <c r="B1259" s="6" t="s">
        <v>3424</v>
      </c>
      <c r="C1259" s="5" t="s">
        <v>3425</v>
      </c>
      <c r="D1259" s="5">
        <v>19293395969</v>
      </c>
      <c r="E1259" s="5" t="s">
        <v>3426</v>
      </c>
      <c r="F1259" s="6" t="s">
        <v>590</v>
      </c>
      <c r="G1259" s="6" t="s">
        <v>591</v>
      </c>
    </row>
    <row r="1260" spans="1:7" ht="15.75" customHeight="1">
      <c r="A1260" s="3">
        <v>235812356</v>
      </c>
      <c r="B1260" s="4" t="s">
        <v>3427</v>
      </c>
      <c r="C1260" s="3" t="s">
        <v>3428</v>
      </c>
      <c r="D1260" s="3"/>
      <c r="E1260" s="3" t="s">
        <v>3429</v>
      </c>
      <c r="F1260" s="4" t="s">
        <v>590</v>
      </c>
      <c r="G1260" s="4" t="s">
        <v>591</v>
      </c>
    </row>
    <row r="1261" spans="1:7" ht="15.75" customHeight="1">
      <c r="A1261" s="5">
        <v>235820899</v>
      </c>
      <c r="B1261" s="6" t="s">
        <v>3430</v>
      </c>
      <c r="C1261" s="5" t="s">
        <v>3431</v>
      </c>
      <c r="D1261" s="5"/>
      <c r="E1261" s="5" t="s">
        <v>3432</v>
      </c>
      <c r="F1261" s="6" t="s">
        <v>590</v>
      </c>
      <c r="G1261" s="6" t="s">
        <v>591</v>
      </c>
    </row>
    <row r="1262" spans="1:7" ht="15.75" customHeight="1">
      <c r="A1262" s="3">
        <v>235826444</v>
      </c>
      <c r="B1262" s="4" t="s">
        <v>3433</v>
      </c>
      <c r="C1262" s="3" t="s">
        <v>3434</v>
      </c>
      <c r="D1262" s="3"/>
      <c r="E1262" s="3" t="s">
        <v>3435</v>
      </c>
      <c r="F1262" s="4" t="s">
        <v>590</v>
      </c>
      <c r="G1262" s="4" t="s">
        <v>591</v>
      </c>
    </row>
    <row r="1263" spans="1:7" ht="15.75" customHeight="1">
      <c r="A1263" s="5">
        <v>235828309</v>
      </c>
      <c r="B1263" s="6" t="s">
        <v>3436</v>
      </c>
      <c r="C1263" s="5" t="s">
        <v>3437</v>
      </c>
      <c r="D1263" s="5"/>
      <c r="E1263" s="5" t="s">
        <v>3438</v>
      </c>
      <c r="F1263" s="6" t="s">
        <v>590</v>
      </c>
      <c r="G1263" s="6" t="s">
        <v>591</v>
      </c>
    </row>
    <row r="1264" spans="1:7" ht="15.75" customHeight="1">
      <c r="A1264" s="3">
        <v>235828682</v>
      </c>
      <c r="B1264" s="4" t="s">
        <v>3439</v>
      </c>
      <c r="C1264" s="3" t="s">
        <v>3440</v>
      </c>
      <c r="D1264" s="3"/>
      <c r="E1264" s="3" t="s">
        <v>3441</v>
      </c>
      <c r="F1264" s="4" t="s">
        <v>590</v>
      </c>
      <c r="G1264" s="4" t="s">
        <v>591</v>
      </c>
    </row>
    <row r="1265" spans="1:7" ht="15.75" customHeight="1">
      <c r="A1265" s="5">
        <v>235830669</v>
      </c>
      <c r="B1265" s="6" t="s">
        <v>3442</v>
      </c>
      <c r="C1265" s="5" t="s">
        <v>3443</v>
      </c>
      <c r="D1265" s="5"/>
      <c r="E1265" s="5" t="s">
        <v>3444</v>
      </c>
      <c r="F1265" s="6" t="s">
        <v>590</v>
      </c>
      <c r="G1265" s="6" t="s">
        <v>591</v>
      </c>
    </row>
    <row r="1266" spans="1:7" ht="15.75" customHeight="1">
      <c r="A1266" s="3">
        <v>235836150</v>
      </c>
      <c r="B1266" s="4" t="s">
        <v>3445</v>
      </c>
      <c r="C1266" s="3" t="s">
        <v>3446</v>
      </c>
      <c r="D1266" s="3"/>
      <c r="E1266" s="3" t="s">
        <v>3447</v>
      </c>
      <c r="F1266" s="4" t="s">
        <v>590</v>
      </c>
      <c r="G1266" s="4" t="s">
        <v>591</v>
      </c>
    </row>
    <row r="1267" spans="1:7" ht="15.75" customHeight="1">
      <c r="A1267" s="5">
        <v>235843495</v>
      </c>
      <c r="B1267" s="6" t="s">
        <v>3448</v>
      </c>
      <c r="C1267" s="5" t="s">
        <v>3449</v>
      </c>
      <c r="D1267" s="5"/>
      <c r="E1267" s="5" t="s">
        <v>3450</v>
      </c>
      <c r="F1267" s="6" t="s">
        <v>590</v>
      </c>
      <c r="G1267" s="6" t="s">
        <v>591</v>
      </c>
    </row>
    <row r="1268" spans="1:7" ht="15.75" customHeight="1">
      <c r="A1268" s="3">
        <v>235844921</v>
      </c>
      <c r="B1268" s="4" t="s">
        <v>3451</v>
      </c>
      <c r="C1268" s="3" t="s">
        <v>3452</v>
      </c>
      <c r="D1268" s="3"/>
      <c r="E1268" s="3" t="s">
        <v>3453</v>
      </c>
      <c r="F1268" s="4" t="s">
        <v>590</v>
      </c>
      <c r="G1268" s="4" t="s">
        <v>591</v>
      </c>
    </row>
    <row r="1269" spans="1:7" ht="15.75" customHeight="1">
      <c r="A1269" s="5">
        <v>235848596</v>
      </c>
      <c r="B1269" s="6" t="s">
        <v>3454</v>
      </c>
      <c r="C1269" s="5" t="s">
        <v>3455</v>
      </c>
      <c r="D1269" s="5"/>
      <c r="E1269" s="5" t="s">
        <v>3456</v>
      </c>
      <c r="F1269" s="6" t="s">
        <v>590</v>
      </c>
      <c r="G1269" s="6" t="s">
        <v>591</v>
      </c>
    </row>
    <row r="1270" spans="1:7" ht="15.75" customHeight="1">
      <c r="A1270" s="3">
        <v>235857515</v>
      </c>
      <c r="B1270" s="4" t="s">
        <v>3457</v>
      </c>
      <c r="C1270" s="3" t="s">
        <v>3458</v>
      </c>
      <c r="D1270" s="3"/>
      <c r="E1270" s="3" t="s">
        <v>3459</v>
      </c>
      <c r="F1270" s="4" t="s">
        <v>590</v>
      </c>
      <c r="G1270" s="4" t="s">
        <v>591</v>
      </c>
    </row>
    <row r="1271" spans="1:7" ht="15.75" customHeight="1">
      <c r="A1271" s="5">
        <v>235859509</v>
      </c>
      <c r="B1271" s="6" t="s">
        <v>3460</v>
      </c>
      <c r="C1271" s="5" t="s">
        <v>3461</v>
      </c>
      <c r="D1271" s="5"/>
      <c r="E1271" s="5" t="s">
        <v>3462</v>
      </c>
      <c r="F1271" s="6" t="s">
        <v>590</v>
      </c>
      <c r="G1271" s="6" t="s">
        <v>591</v>
      </c>
    </row>
    <row r="1272" spans="1:7" ht="15.75" customHeight="1">
      <c r="A1272" s="3">
        <v>235861516</v>
      </c>
      <c r="B1272" s="4" t="s">
        <v>3463</v>
      </c>
      <c r="C1272" s="3" t="s">
        <v>3464</v>
      </c>
      <c r="D1272" s="3">
        <v>79997883306</v>
      </c>
      <c r="E1272" s="3" t="s">
        <v>3465</v>
      </c>
      <c r="F1272" s="4" t="s">
        <v>623</v>
      </c>
      <c r="G1272" s="4" t="s">
        <v>624</v>
      </c>
    </row>
    <row r="1273" spans="1:7" ht="15.75" customHeight="1">
      <c r="A1273" s="5">
        <v>235861756</v>
      </c>
      <c r="B1273" s="6" t="s">
        <v>3466</v>
      </c>
      <c r="C1273" s="5" t="s">
        <v>3467</v>
      </c>
      <c r="D1273" s="5"/>
      <c r="E1273" s="5" t="s">
        <v>3468</v>
      </c>
      <c r="F1273" s="6" t="s">
        <v>590</v>
      </c>
      <c r="G1273" s="6" t="s">
        <v>591</v>
      </c>
    </row>
    <row r="1274" spans="1:7" ht="15.75" customHeight="1">
      <c r="A1274" s="3">
        <v>235863066</v>
      </c>
      <c r="B1274" s="4" t="s">
        <v>3469</v>
      </c>
      <c r="C1274" s="3" t="s">
        <v>3470</v>
      </c>
      <c r="D1274" s="3" t="s">
        <v>3471</v>
      </c>
      <c r="E1274" s="3" t="s">
        <v>3472</v>
      </c>
      <c r="F1274" s="4" t="s">
        <v>590</v>
      </c>
      <c r="G1274" s="4" t="s">
        <v>591</v>
      </c>
    </row>
    <row r="1275" spans="1:7" ht="15.75" customHeight="1">
      <c r="A1275" s="5">
        <v>235863120</v>
      </c>
      <c r="B1275" s="6" t="s">
        <v>3473</v>
      </c>
      <c r="C1275" s="5" t="s">
        <v>3474</v>
      </c>
      <c r="D1275" s="5"/>
      <c r="E1275" s="5" t="s">
        <v>3475</v>
      </c>
      <c r="F1275" s="6" t="s">
        <v>590</v>
      </c>
      <c r="G1275" s="6" t="s">
        <v>591</v>
      </c>
    </row>
    <row r="1276" spans="1:7" ht="15.75" customHeight="1">
      <c r="A1276" s="3">
        <v>235863446</v>
      </c>
      <c r="B1276" s="4" t="s">
        <v>3476</v>
      </c>
      <c r="C1276" s="3" t="s">
        <v>3477</v>
      </c>
      <c r="D1276" s="3"/>
      <c r="E1276" s="3" t="s">
        <v>3478</v>
      </c>
      <c r="F1276" s="4" t="s">
        <v>590</v>
      </c>
      <c r="G1276" s="4" t="s">
        <v>591</v>
      </c>
    </row>
    <row r="1277" spans="1:7" ht="15.75" customHeight="1">
      <c r="A1277" s="5">
        <v>235864074</v>
      </c>
      <c r="B1277" s="6" t="s">
        <v>3479</v>
      </c>
      <c r="C1277" s="5" t="s">
        <v>3480</v>
      </c>
      <c r="D1277" s="5">
        <v>79549400299</v>
      </c>
      <c r="E1277" s="5" t="s">
        <v>3481</v>
      </c>
      <c r="F1277" s="6" t="s">
        <v>590</v>
      </c>
      <c r="G1277" s="6" t="s">
        <v>591</v>
      </c>
    </row>
    <row r="1278" spans="1:7" ht="15.75" customHeight="1">
      <c r="A1278" s="3">
        <v>235864903</v>
      </c>
      <c r="B1278" s="4" t="s">
        <v>3482</v>
      </c>
      <c r="C1278" s="3" t="s">
        <v>3483</v>
      </c>
      <c r="D1278" s="3"/>
      <c r="E1278" s="3" t="s">
        <v>3484</v>
      </c>
      <c r="F1278" s="4" t="s">
        <v>590</v>
      </c>
      <c r="G1278" s="4" t="s">
        <v>591</v>
      </c>
    </row>
    <row r="1279" spans="1:7" ht="15.75" customHeight="1">
      <c r="A1279" s="5">
        <v>235866361</v>
      </c>
      <c r="B1279" s="6" t="s">
        <v>3485</v>
      </c>
      <c r="C1279" s="5" t="s">
        <v>3486</v>
      </c>
      <c r="D1279" s="5"/>
      <c r="E1279" s="5" t="s">
        <v>3487</v>
      </c>
      <c r="F1279" s="6" t="s">
        <v>590</v>
      </c>
      <c r="G1279" s="6" t="s">
        <v>591</v>
      </c>
    </row>
    <row r="1280" spans="1:7" ht="15.75" customHeight="1">
      <c r="A1280" s="3">
        <v>235866664</v>
      </c>
      <c r="B1280" s="4" t="s">
        <v>3488</v>
      </c>
      <c r="C1280" s="3" t="s">
        <v>3489</v>
      </c>
      <c r="D1280" s="3"/>
      <c r="E1280" s="3" t="s">
        <v>3490</v>
      </c>
      <c r="F1280" s="4" t="s">
        <v>590</v>
      </c>
      <c r="G1280" s="4" t="s">
        <v>591</v>
      </c>
    </row>
    <row r="1281" spans="1:7" ht="15.75" customHeight="1">
      <c r="A1281" s="5">
        <v>235879269</v>
      </c>
      <c r="B1281" s="6" t="s">
        <v>3491</v>
      </c>
      <c r="C1281" s="5" t="s">
        <v>3492</v>
      </c>
      <c r="D1281" s="5">
        <v>6469042849</v>
      </c>
      <c r="E1281" s="5" t="s">
        <v>3493</v>
      </c>
      <c r="F1281" s="6" t="s">
        <v>590</v>
      </c>
      <c r="G1281" s="6" t="s">
        <v>591</v>
      </c>
    </row>
    <row r="1282" spans="1:7" ht="15.75" customHeight="1">
      <c r="A1282" s="3">
        <v>235887216</v>
      </c>
      <c r="B1282" s="4" t="s">
        <v>3494</v>
      </c>
      <c r="C1282" s="3" t="s">
        <v>3495</v>
      </c>
      <c r="D1282" s="3" t="s">
        <v>3496</v>
      </c>
      <c r="E1282" s="3" t="s">
        <v>3497</v>
      </c>
      <c r="F1282" s="4" t="s">
        <v>3498</v>
      </c>
      <c r="G1282" s="4" t="s">
        <v>3499</v>
      </c>
    </row>
    <row r="1283" spans="1:7" ht="15.75" customHeight="1">
      <c r="A1283" s="5">
        <v>235890775</v>
      </c>
      <c r="B1283" s="6" t="s">
        <v>3500</v>
      </c>
      <c r="C1283" s="5" t="s">
        <v>3501</v>
      </c>
      <c r="D1283" s="5"/>
      <c r="E1283" s="5" t="s">
        <v>3502</v>
      </c>
      <c r="F1283" s="6" t="s">
        <v>590</v>
      </c>
      <c r="G1283" s="6" t="s">
        <v>591</v>
      </c>
    </row>
    <row r="1284" spans="1:7" ht="15.75" customHeight="1">
      <c r="A1284" s="3">
        <v>235897859</v>
      </c>
      <c r="B1284" s="4" t="s">
        <v>3503</v>
      </c>
      <c r="C1284" s="3" t="s">
        <v>3504</v>
      </c>
      <c r="D1284" s="3"/>
      <c r="E1284" s="3" t="s">
        <v>3505</v>
      </c>
      <c r="F1284" s="4" t="s">
        <v>590</v>
      </c>
      <c r="G1284" s="4" t="s">
        <v>591</v>
      </c>
    </row>
    <row r="1285" spans="1:7" ht="15.75" customHeight="1">
      <c r="A1285" s="5">
        <v>235901459</v>
      </c>
      <c r="B1285" s="6">
        <v>4527825</v>
      </c>
      <c r="C1285" s="5" t="s">
        <v>3506</v>
      </c>
      <c r="D1285" s="5"/>
      <c r="E1285" s="5" t="s">
        <v>3507</v>
      </c>
      <c r="F1285" s="6" t="s">
        <v>590</v>
      </c>
      <c r="G1285" s="6" t="s">
        <v>591</v>
      </c>
    </row>
    <row r="1286" spans="1:7" ht="15.75" customHeight="1">
      <c r="A1286" s="3">
        <v>235906954</v>
      </c>
      <c r="B1286" s="4" t="s">
        <v>3508</v>
      </c>
      <c r="C1286" s="3" t="s">
        <v>3509</v>
      </c>
      <c r="D1286" s="3"/>
      <c r="E1286" s="3" t="s">
        <v>3510</v>
      </c>
      <c r="F1286" s="4" t="s">
        <v>590</v>
      </c>
      <c r="G1286" s="4" t="s">
        <v>591</v>
      </c>
    </row>
    <row r="1287" spans="1:7" ht="15.75" customHeight="1">
      <c r="A1287" s="5">
        <v>235913780</v>
      </c>
      <c r="B1287" s="6" t="s">
        <v>3511</v>
      </c>
      <c r="C1287" s="5" t="s">
        <v>3512</v>
      </c>
      <c r="D1287" s="5"/>
      <c r="E1287" s="5" t="s">
        <v>3513</v>
      </c>
      <c r="F1287" s="6" t="s">
        <v>590</v>
      </c>
      <c r="G1287" s="6" t="s">
        <v>591</v>
      </c>
    </row>
    <row r="1288" spans="1:7" ht="15.75" customHeight="1">
      <c r="A1288" s="3">
        <v>235976920</v>
      </c>
      <c r="B1288" s="4" t="s">
        <v>3514</v>
      </c>
      <c r="C1288" s="3" t="s">
        <v>3515</v>
      </c>
      <c r="D1288" s="3"/>
      <c r="E1288" s="3" t="s">
        <v>3516</v>
      </c>
      <c r="F1288" s="4" t="s">
        <v>590</v>
      </c>
      <c r="G1288" s="4" t="s">
        <v>591</v>
      </c>
    </row>
    <row r="1289" spans="1:7" ht="15.75" customHeight="1">
      <c r="A1289" s="5">
        <v>235990854</v>
      </c>
      <c r="B1289" s="6" t="s">
        <v>3517</v>
      </c>
      <c r="C1289" s="5" t="s">
        <v>3518</v>
      </c>
      <c r="D1289" s="5"/>
      <c r="E1289" s="5" t="s">
        <v>3519</v>
      </c>
      <c r="F1289" s="6" t="s">
        <v>590</v>
      </c>
      <c r="G1289" s="6" t="s">
        <v>591</v>
      </c>
    </row>
    <row r="1290" spans="1:7" ht="15.75" customHeight="1">
      <c r="A1290" s="3">
        <v>235995795</v>
      </c>
      <c r="B1290" s="4" t="s">
        <v>3520</v>
      </c>
      <c r="C1290" s="3" t="s">
        <v>3521</v>
      </c>
      <c r="D1290" s="3"/>
      <c r="E1290" s="3" t="s">
        <v>3522</v>
      </c>
      <c r="F1290" s="4" t="s">
        <v>590</v>
      </c>
      <c r="G1290" s="4" t="s">
        <v>591</v>
      </c>
    </row>
    <row r="1291" spans="1:7" ht="15.75" customHeight="1">
      <c r="A1291" s="5">
        <v>236002175</v>
      </c>
      <c r="B1291" s="6" t="s">
        <v>3523</v>
      </c>
      <c r="C1291" s="5" t="s">
        <v>3524</v>
      </c>
      <c r="D1291" s="5"/>
      <c r="E1291" s="5" t="s">
        <v>3525</v>
      </c>
      <c r="F1291" s="6" t="s">
        <v>590</v>
      </c>
      <c r="G1291" s="6" t="s">
        <v>591</v>
      </c>
    </row>
    <row r="1292" spans="1:7" ht="15.75" customHeight="1">
      <c r="A1292" s="3">
        <v>236040464</v>
      </c>
      <c r="B1292" s="4" t="s">
        <v>3526</v>
      </c>
      <c r="C1292" s="3" t="s">
        <v>3527</v>
      </c>
      <c r="D1292" s="3"/>
      <c r="E1292" s="3" t="s">
        <v>3528</v>
      </c>
      <c r="F1292" s="4" t="s">
        <v>590</v>
      </c>
      <c r="G1292" s="4" t="s">
        <v>591</v>
      </c>
    </row>
    <row r="1293" spans="1:7" ht="15.75" customHeight="1">
      <c r="A1293" s="5">
        <v>236055510</v>
      </c>
      <c r="B1293" s="6" t="s">
        <v>3529</v>
      </c>
      <c r="C1293" s="5" t="s">
        <v>3530</v>
      </c>
      <c r="D1293" s="5">
        <v>79312303036</v>
      </c>
      <c r="E1293" s="5" t="s">
        <v>3531</v>
      </c>
      <c r="F1293" s="6" t="s">
        <v>623</v>
      </c>
      <c r="G1293" s="6" t="s">
        <v>624</v>
      </c>
    </row>
    <row r="1294" spans="1:7" ht="15.75" customHeight="1">
      <c r="A1294" s="3">
        <v>236059972</v>
      </c>
      <c r="B1294" s="4" t="s">
        <v>3532</v>
      </c>
      <c r="C1294" s="3" t="s">
        <v>3533</v>
      </c>
      <c r="D1294" s="3"/>
      <c r="E1294" s="3" t="s">
        <v>3534</v>
      </c>
      <c r="F1294" s="4" t="s">
        <v>590</v>
      </c>
      <c r="G1294" s="4" t="s">
        <v>591</v>
      </c>
    </row>
    <row r="1295" spans="1:7" ht="15.75" customHeight="1">
      <c r="A1295" s="5">
        <v>236062283</v>
      </c>
      <c r="B1295" s="6" t="s">
        <v>3535</v>
      </c>
      <c r="C1295" s="5" t="s">
        <v>3536</v>
      </c>
      <c r="D1295" s="5"/>
      <c r="E1295" s="5" t="s">
        <v>3537</v>
      </c>
      <c r="F1295" s="6" t="s">
        <v>590</v>
      </c>
      <c r="G1295" s="6" t="s">
        <v>591</v>
      </c>
    </row>
    <row r="1296" spans="1:7" ht="15.75" customHeight="1">
      <c r="A1296" s="3">
        <v>236066090</v>
      </c>
      <c r="B1296" s="4" t="s">
        <v>3538</v>
      </c>
      <c r="C1296" s="3" t="s">
        <v>3539</v>
      </c>
      <c r="D1296" s="3"/>
      <c r="E1296" s="3" t="s">
        <v>3540</v>
      </c>
      <c r="F1296" s="4" t="s">
        <v>590</v>
      </c>
      <c r="G1296" s="4" t="s">
        <v>591</v>
      </c>
    </row>
    <row r="1297" spans="1:7" ht="15.75" customHeight="1">
      <c r="A1297" s="5">
        <v>236069274</v>
      </c>
      <c r="B1297" s="6" t="s">
        <v>3541</v>
      </c>
      <c r="C1297" s="5" t="s">
        <v>3542</v>
      </c>
      <c r="D1297" s="5"/>
      <c r="E1297" s="5" t="s">
        <v>3543</v>
      </c>
      <c r="F1297" s="6" t="s">
        <v>590</v>
      </c>
      <c r="G1297" s="6" t="s">
        <v>591</v>
      </c>
    </row>
    <row r="1298" spans="1:7" ht="15.75" customHeight="1">
      <c r="A1298" s="3">
        <v>236074629</v>
      </c>
      <c r="B1298" s="4" t="s">
        <v>3544</v>
      </c>
      <c r="C1298" s="3" t="s">
        <v>3545</v>
      </c>
      <c r="D1298" s="3" t="s">
        <v>3546</v>
      </c>
      <c r="E1298" s="3" t="s">
        <v>3547</v>
      </c>
      <c r="F1298" s="4" t="s">
        <v>3309</v>
      </c>
      <c r="G1298" s="4" t="s">
        <v>2202</v>
      </c>
    </row>
    <row r="1299" spans="1:7" ht="15.75" customHeight="1">
      <c r="A1299" s="5">
        <v>236074806</v>
      </c>
      <c r="B1299" s="6" t="s">
        <v>3548</v>
      </c>
      <c r="C1299" s="5" t="s">
        <v>3549</v>
      </c>
      <c r="D1299" s="5"/>
      <c r="E1299" s="5" t="s">
        <v>3550</v>
      </c>
      <c r="F1299" s="6" t="s">
        <v>590</v>
      </c>
      <c r="G1299" s="6" t="s">
        <v>591</v>
      </c>
    </row>
    <row r="1300" spans="1:7" ht="15.75" customHeight="1">
      <c r="A1300" s="3">
        <v>236075318</v>
      </c>
      <c r="B1300" s="4" t="s">
        <v>3551</v>
      </c>
      <c r="C1300" s="3" t="s">
        <v>3552</v>
      </c>
      <c r="D1300" s="3"/>
      <c r="E1300" s="3" t="s">
        <v>3553</v>
      </c>
      <c r="F1300" s="4" t="s">
        <v>590</v>
      </c>
      <c r="G1300" s="4" t="s">
        <v>591</v>
      </c>
    </row>
    <row r="1301" spans="1:7" ht="15.75" customHeight="1">
      <c r="A1301" s="5">
        <v>236086354</v>
      </c>
      <c r="B1301" s="6" t="s">
        <v>3554</v>
      </c>
      <c r="C1301" s="5" t="s">
        <v>3555</v>
      </c>
      <c r="D1301" s="5"/>
      <c r="E1301" s="5" t="s">
        <v>3556</v>
      </c>
      <c r="F1301" s="6" t="s">
        <v>590</v>
      </c>
      <c r="G1301" s="6" t="s">
        <v>591</v>
      </c>
    </row>
    <row r="1302" spans="1:7" ht="15.75" customHeight="1">
      <c r="A1302" s="3">
        <v>236087018</v>
      </c>
      <c r="B1302" s="4" t="s">
        <v>3557</v>
      </c>
      <c r="C1302" s="3" t="s">
        <v>3558</v>
      </c>
      <c r="D1302" s="3"/>
      <c r="E1302" s="3" t="s">
        <v>3559</v>
      </c>
      <c r="F1302" s="4" t="s">
        <v>590</v>
      </c>
      <c r="G1302" s="4" t="s">
        <v>591</v>
      </c>
    </row>
    <row r="1303" spans="1:7" ht="15.75" customHeight="1">
      <c r="A1303" s="5">
        <v>236087545</v>
      </c>
      <c r="B1303" s="6" t="s">
        <v>3560</v>
      </c>
      <c r="C1303" s="5" t="s">
        <v>3561</v>
      </c>
      <c r="D1303" s="5"/>
      <c r="E1303" s="5" t="s">
        <v>3562</v>
      </c>
      <c r="F1303" s="6" t="s">
        <v>590</v>
      </c>
      <c r="G1303" s="6" t="s">
        <v>591</v>
      </c>
    </row>
    <row r="1304" spans="1:7" ht="15.75" customHeight="1">
      <c r="A1304" s="3">
        <v>236087591</v>
      </c>
      <c r="B1304" s="4" t="s">
        <v>3563</v>
      </c>
      <c r="C1304" s="3" t="s">
        <v>3564</v>
      </c>
      <c r="D1304" s="3"/>
      <c r="E1304" s="3" t="s">
        <v>3565</v>
      </c>
      <c r="F1304" s="4" t="s">
        <v>590</v>
      </c>
      <c r="G1304" s="4" t="s">
        <v>591</v>
      </c>
    </row>
    <row r="1305" spans="1:7" ht="15.75" customHeight="1">
      <c r="A1305" s="5">
        <v>236088344</v>
      </c>
      <c r="B1305" s="6" t="s">
        <v>3566</v>
      </c>
      <c r="C1305" s="5" t="s">
        <v>3567</v>
      </c>
      <c r="D1305" s="5"/>
      <c r="E1305" s="5" t="s">
        <v>3568</v>
      </c>
      <c r="F1305" s="6" t="s">
        <v>590</v>
      </c>
      <c r="G1305" s="6" t="s">
        <v>591</v>
      </c>
    </row>
    <row r="1306" spans="1:7" ht="15.75" customHeight="1">
      <c r="A1306" s="3">
        <v>236090217</v>
      </c>
      <c r="B1306" s="4" t="s">
        <v>3569</v>
      </c>
      <c r="C1306" s="3" t="s">
        <v>3570</v>
      </c>
      <c r="D1306" s="3"/>
      <c r="E1306" s="3" t="s">
        <v>3571</v>
      </c>
      <c r="F1306" s="4" t="s">
        <v>590</v>
      </c>
      <c r="G1306" s="4" t="s">
        <v>591</v>
      </c>
    </row>
    <row r="1307" spans="1:7" ht="15.75" customHeight="1">
      <c r="A1307" s="5">
        <v>236092658</v>
      </c>
      <c r="B1307" s="6" t="s">
        <v>3572</v>
      </c>
      <c r="C1307" s="5" t="s">
        <v>3573</v>
      </c>
      <c r="D1307" s="5"/>
      <c r="E1307" s="5" t="s">
        <v>3574</v>
      </c>
      <c r="F1307" s="6" t="s">
        <v>590</v>
      </c>
      <c r="G1307" s="6" t="s">
        <v>591</v>
      </c>
    </row>
    <row r="1308" spans="1:7" ht="15.75" customHeight="1">
      <c r="A1308" s="3">
        <v>236092693</v>
      </c>
      <c r="B1308" s="4" t="s">
        <v>3575</v>
      </c>
      <c r="C1308" s="3" t="s">
        <v>3576</v>
      </c>
      <c r="D1308" s="3">
        <v>79277755111</v>
      </c>
      <c r="E1308" s="3" t="s">
        <v>3577</v>
      </c>
      <c r="F1308" s="4" t="s">
        <v>590</v>
      </c>
      <c r="G1308" s="4" t="s">
        <v>591</v>
      </c>
    </row>
    <row r="1309" spans="1:7" ht="15.75" customHeight="1">
      <c r="A1309" s="5">
        <v>236094433</v>
      </c>
      <c r="B1309" s="6" t="s">
        <v>3578</v>
      </c>
      <c r="C1309" s="5" t="s">
        <v>3579</v>
      </c>
      <c r="D1309" s="5"/>
      <c r="E1309" s="5" t="s">
        <v>3580</v>
      </c>
      <c r="F1309" s="6" t="s">
        <v>590</v>
      </c>
      <c r="G1309" s="6" t="s">
        <v>591</v>
      </c>
    </row>
    <row r="1310" spans="1:7" ht="15.75" customHeight="1">
      <c r="A1310" s="3">
        <v>236095971</v>
      </c>
      <c r="B1310" s="4" t="s">
        <v>3581</v>
      </c>
      <c r="C1310" s="3" t="s">
        <v>3582</v>
      </c>
      <c r="D1310" s="3"/>
      <c r="E1310" s="3" t="s">
        <v>3583</v>
      </c>
      <c r="F1310" s="4" t="s">
        <v>590</v>
      </c>
      <c r="G1310" s="4" t="s">
        <v>591</v>
      </c>
    </row>
    <row r="1311" spans="1:7" ht="15.75" customHeight="1">
      <c r="A1311" s="5">
        <v>236102165</v>
      </c>
      <c r="B1311" s="6" t="s">
        <v>3584</v>
      </c>
      <c r="C1311" s="5" t="s">
        <v>3585</v>
      </c>
      <c r="D1311" s="5"/>
      <c r="E1311" s="5" t="s">
        <v>3586</v>
      </c>
      <c r="F1311" s="6" t="s">
        <v>590</v>
      </c>
      <c r="G1311" s="6" t="s">
        <v>591</v>
      </c>
    </row>
    <row r="1312" spans="1:7" ht="15.75" customHeight="1">
      <c r="A1312" s="3">
        <v>236102540</v>
      </c>
      <c r="B1312" s="4" t="s">
        <v>3587</v>
      </c>
      <c r="C1312" s="3" t="s">
        <v>3588</v>
      </c>
      <c r="D1312" s="3"/>
      <c r="E1312" s="3" t="s">
        <v>3589</v>
      </c>
      <c r="F1312" s="4" t="s">
        <v>590</v>
      </c>
      <c r="G1312" s="4" t="s">
        <v>591</v>
      </c>
    </row>
    <row r="1313" spans="1:7" ht="15.75" customHeight="1">
      <c r="A1313" s="5">
        <v>236108991</v>
      </c>
      <c r="B1313" s="6" t="s">
        <v>3590</v>
      </c>
      <c r="C1313" s="5" t="s">
        <v>3591</v>
      </c>
      <c r="D1313" s="5"/>
      <c r="E1313" s="5" t="s">
        <v>3592</v>
      </c>
      <c r="F1313" s="6" t="s">
        <v>590</v>
      </c>
      <c r="G1313" s="6" t="s">
        <v>591</v>
      </c>
    </row>
    <row r="1314" spans="1:7" ht="15.75" customHeight="1">
      <c r="A1314" s="3">
        <v>236115262</v>
      </c>
      <c r="B1314" s="4" t="s">
        <v>3593</v>
      </c>
      <c r="C1314" s="3" t="s">
        <v>3594</v>
      </c>
      <c r="D1314" s="3"/>
      <c r="E1314" s="3" t="s">
        <v>3595</v>
      </c>
      <c r="F1314" s="4" t="s">
        <v>590</v>
      </c>
      <c r="G1314" s="4" t="s">
        <v>591</v>
      </c>
    </row>
    <row r="1315" spans="1:7" ht="15.75" customHeight="1">
      <c r="A1315" s="5">
        <v>236127777</v>
      </c>
      <c r="B1315" s="6" t="s">
        <v>3596</v>
      </c>
      <c r="C1315" s="5" t="s">
        <v>3597</v>
      </c>
      <c r="D1315" s="5" t="s">
        <v>3598</v>
      </c>
      <c r="E1315" s="5" t="s">
        <v>3599</v>
      </c>
      <c r="F1315" s="6" t="s">
        <v>3309</v>
      </c>
      <c r="G1315" s="6" t="s">
        <v>2202</v>
      </c>
    </row>
    <row r="1316" spans="1:7" ht="15.75" customHeight="1">
      <c r="A1316" s="3">
        <v>236132319</v>
      </c>
      <c r="B1316" s="4" t="s">
        <v>3600</v>
      </c>
      <c r="C1316" s="3" t="s">
        <v>3601</v>
      </c>
      <c r="D1316" s="3">
        <v>79102500017</v>
      </c>
      <c r="E1316" s="3" t="s">
        <v>3602</v>
      </c>
      <c r="F1316" s="4" t="s">
        <v>623</v>
      </c>
      <c r="G1316" s="4" t="s">
        <v>624</v>
      </c>
    </row>
    <row r="1317" spans="1:7" ht="15.75" customHeight="1">
      <c r="A1317" s="5">
        <v>236134189</v>
      </c>
      <c r="B1317" s="6" t="s">
        <v>3603</v>
      </c>
      <c r="C1317" s="5" t="s">
        <v>3604</v>
      </c>
      <c r="D1317" s="5">
        <v>8479622660</v>
      </c>
      <c r="E1317" s="5" t="s">
        <v>3605</v>
      </c>
      <c r="F1317" s="6" t="s">
        <v>590</v>
      </c>
      <c r="G1317" s="6" t="s">
        <v>591</v>
      </c>
    </row>
    <row r="1318" spans="1:7" ht="15.75" customHeight="1">
      <c r="A1318" s="3">
        <v>236160669</v>
      </c>
      <c r="B1318" s="4" t="s">
        <v>3606</v>
      </c>
      <c r="C1318" s="3" t="s">
        <v>3607</v>
      </c>
      <c r="D1318" s="3" t="s">
        <v>3608</v>
      </c>
      <c r="E1318" s="3" t="s">
        <v>3609</v>
      </c>
      <c r="F1318" s="4" t="s">
        <v>3610</v>
      </c>
      <c r="G1318" s="4" t="s">
        <v>497</v>
      </c>
    </row>
    <row r="1319" spans="1:7" ht="15.75" customHeight="1">
      <c r="A1319" s="5">
        <v>236160669</v>
      </c>
      <c r="B1319" s="6" t="s">
        <v>3606</v>
      </c>
      <c r="C1319" s="5" t="s">
        <v>3607</v>
      </c>
      <c r="D1319" s="5" t="s">
        <v>3608</v>
      </c>
      <c r="E1319" s="5" t="s">
        <v>3611</v>
      </c>
      <c r="F1319" s="6" t="s">
        <v>3610</v>
      </c>
      <c r="G1319" s="6" t="s">
        <v>497</v>
      </c>
    </row>
    <row r="1320" spans="1:7" ht="15.75" customHeight="1">
      <c r="A1320" s="3">
        <v>236164686</v>
      </c>
      <c r="B1320" s="4" t="s">
        <v>3612</v>
      </c>
      <c r="C1320" s="3" t="s">
        <v>3613</v>
      </c>
      <c r="D1320" s="3"/>
      <c r="E1320" s="3" t="s">
        <v>3614</v>
      </c>
      <c r="F1320" s="4" t="s">
        <v>590</v>
      </c>
      <c r="G1320" s="4" t="s">
        <v>591</v>
      </c>
    </row>
    <row r="1321" spans="1:7" ht="15.75" customHeight="1">
      <c r="A1321" s="5">
        <v>236183993</v>
      </c>
      <c r="B1321" s="6" t="s">
        <v>3615</v>
      </c>
      <c r="C1321" s="5" t="s">
        <v>3616</v>
      </c>
      <c r="D1321" s="5">
        <v>6478082255</v>
      </c>
      <c r="E1321" s="5" t="s">
        <v>3617</v>
      </c>
      <c r="F1321" s="6" t="s">
        <v>590</v>
      </c>
      <c r="G1321" s="6" t="s">
        <v>591</v>
      </c>
    </row>
    <row r="1322" spans="1:7" ht="15.75" customHeight="1">
      <c r="A1322" s="3">
        <v>236200993</v>
      </c>
      <c r="B1322" s="4" t="s">
        <v>3618</v>
      </c>
      <c r="C1322" s="3" t="s">
        <v>3619</v>
      </c>
      <c r="D1322" s="3"/>
      <c r="E1322" s="3" t="s">
        <v>3620</v>
      </c>
      <c r="F1322" s="4" t="s">
        <v>590</v>
      </c>
      <c r="G1322" s="4" t="s">
        <v>591</v>
      </c>
    </row>
    <row r="1323" spans="1:7" ht="15.75" customHeight="1">
      <c r="A1323" s="5">
        <v>236201634</v>
      </c>
      <c r="B1323" s="6" t="s">
        <v>3621</v>
      </c>
      <c r="C1323" s="5" t="s">
        <v>3622</v>
      </c>
      <c r="D1323" s="5"/>
      <c r="E1323" s="5" t="s">
        <v>3623</v>
      </c>
      <c r="F1323" s="6" t="s">
        <v>590</v>
      </c>
      <c r="G1323" s="6" t="s">
        <v>591</v>
      </c>
    </row>
    <row r="1324" spans="1:7" ht="15.75" customHeight="1">
      <c r="A1324" s="3">
        <v>236201762</v>
      </c>
      <c r="B1324" s="4" t="s">
        <v>3624</v>
      </c>
      <c r="C1324" s="3" t="s">
        <v>3625</v>
      </c>
      <c r="D1324" s="3"/>
      <c r="E1324" s="3" t="s">
        <v>3626</v>
      </c>
      <c r="F1324" s="4" t="s">
        <v>590</v>
      </c>
      <c r="G1324" s="4" t="s">
        <v>591</v>
      </c>
    </row>
    <row r="1325" spans="1:7" ht="15.75" customHeight="1">
      <c r="A1325" s="5">
        <v>236210130</v>
      </c>
      <c r="B1325" s="6" t="s">
        <v>3627</v>
      </c>
      <c r="C1325" s="5" t="s">
        <v>3628</v>
      </c>
      <c r="D1325" s="5"/>
      <c r="E1325" s="5" t="s">
        <v>3629</v>
      </c>
      <c r="F1325" s="6" t="s">
        <v>590</v>
      </c>
      <c r="G1325" s="6" t="s">
        <v>591</v>
      </c>
    </row>
    <row r="1326" spans="1:7" ht="15.75" customHeight="1">
      <c r="A1326" s="3">
        <v>236211078</v>
      </c>
      <c r="B1326" s="4" t="s">
        <v>3630</v>
      </c>
      <c r="C1326" s="3" t="s">
        <v>3631</v>
      </c>
      <c r="D1326" s="3">
        <v>2147299890</v>
      </c>
      <c r="E1326" s="3" t="s">
        <v>3632</v>
      </c>
      <c r="F1326" s="4" t="s">
        <v>590</v>
      </c>
      <c r="G1326" s="4" t="s">
        <v>591</v>
      </c>
    </row>
    <row r="1327" spans="1:7" ht="15.75" customHeight="1">
      <c r="A1327" s="5">
        <v>236223771</v>
      </c>
      <c r="B1327" s="6" t="s">
        <v>3633</v>
      </c>
      <c r="C1327" s="5" t="s">
        <v>3634</v>
      </c>
      <c r="D1327" s="5"/>
      <c r="E1327" s="5" t="s">
        <v>3635</v>
      </c>
      <c r="F1327" s="6" t="s">
        <v>590</v>
      </c>
      <c r="G1327" s="6" t="s">
        <v>591</v>
      </c>
    </row>
    <row r="1328" spans="1:7" ht="15.75" customHeight="1">
      <c r="A1328" s="3">
        <v>236233231</v>
      </c>
      <c r="B1328" s="4" t="s">
        <v>3636</v>
      </c>
      <c r="C1328" s="3" t="s">
        <v>3637</v>
      </c>
      <c r="D1328" s="3">
        <v>6463631846</v>
      </c>
      <c r="E1328" s="3" t="s">
        <v>3638</v>
      </c>
      <c r="F1328" s="4" t="s">
        <v>590</v>
      </c>
      <c r="G1328" s="4" t="s">
        <v>591</v>
      </c>
    </row>
    <row r="1329" spans="1:7" ht="15.75" customHeight="1">
      <c r="A1329" s="5">
        <v>236251449</v>
      </c>
      <c r="B1329" s="6" t="s">
        <v>3639</v>
      </c>
      <c r="C1329" s="5" t="s">
        <v>3640</v>
      </c>
      <c r="D1329" s="5"/>
      <c r="E1329" s="5" t="s">
        <v>3641</v>
      </c>
      <c r="F1329" s="6" t="s">
        <v>590</v>
      </c>
      <c r="G1329" s="6" t="s">
        <v>591</v>
      </c>
    </row>
    <row r="1330" spans="1:7" ht="15.75" customHeight="1">
      <c r="A1330" s="3">
        <v>236264015</v>
      </c>
      <c r="B1330" s="4" t="s">
        <v>3642</v>
      </c>
      <c r="C1330" s="3" t="s">
        <v>3643</v>
      </c>
      <c r="D1330" s="3"/>
      <c r="E1330" s="3" t="s">
        <v>3644</v>
      </c>
      <c r="F1330" s="4" t="s">
        <v>590</v>
      </c>
      <c r="G1330" s="4" t="s">
        <v>591</v>
      </c>
    </row>
    <row r="1331" spans="1:7" ht="15.75" customHeight="1">
      <c r="A1331" s="5">
        <v>236284575</v>
      </c>
      <c r="B1331" s="6" t="s">
        <v>3645</v>
      </c>
      <c r="C1331" s="5" t="s">
        <v>3646</v>
      </c>
      <c r="D1331" s="5" t="s">
        <v>3647</v>
      </c>
      <c r="E1331" s="5" t="s">
        <v>3648</v>
      </c>
      <c r="F1331" s="6" t="s">
        <v>590</v>
      </c>
      <c r="G1331" s="6" t="s">
        <v>591</v>
      </c>
    </row>
    <row r="1332" spans="1:7" ht="15.75" customHeight="1">
      <c r="A1332" s="3">
        <v>236297670</v>
      </c>
      <c r="B1332" s="4" t="s">
        <v>3649</v>
      </c>
      <c r="C1332" s="3" t="s">
        <v>3650</v>
      </c>
      <c r="D1332" s="3"/>
      <c r="E1332" s="3" t="s">
        <v>3651</v>
      </c>
      <c r="F1332" s="4" t="s">
        <v>590</v>
      </c>
      <c r="G1332" s="4" t="s">
        <v>591</v>
      </c>
    </row>
    <row r="1333" spans="1:7" ht="15.75" customHeight="1">
      <c r="A1333" s="5">
        <v>236297981</v>
      </c>
      <c r="B1333" s="6" t="s">
        <v>3652</v>
      </c>
      <c r="C1333" s="5" t="s">
        <v>3653</v>
      </c>
      <c r="D1333" s="5"/>
      <c r="E1333" s="5" t="s">
        <v>3654</v>
      </c>
      <c r="F1333" s="6" t="s">
        <v>590</v>
      </c>
      <c r="G1333" s="6" t="s">
        <v>591</v>
      </c>
    </row>
    <row r="1334" spans="1:7" ht="15.75" customHeight="1">
      <c r="A1334" s="3">
        <v>236299001</v>
      </c>
      <c r="B1334" s="4" t="s">
        <v>3655</v>
      </c>
      <c r="C1334" s="3" t="s">
        <v>3656</v>
      </c>
      <c r="D1334" s="3"/>
      <c r="E1334" s="3" t="s">
        <v>3657</v>
      </c>
      <c r="F1334" s="4" t="s">
        <v>590</v>
      </c>
      <c r="G1334" s="4" t="s">
        <v>591</v>
      </c>
    </row>
    <row r="1335" spans="1:7" ht="15.75" customHeight="1">
      <c r="A1335" s="5">
        <v>236299413</v>
      </c>
      <c r="B1335" s="6" t="s">
        <v>3658</v>
      </c>
      <c r="C1335" s="5" t="s">
        <v>3659</v>
      </c>
      <c r="D1335" s="5"/>
      <c r="E1335" s="5" t="s">
        <v>3660</v>
      </c>
      <c r="F1335" s="6" t="s">
        <v>590</v>
      </c>
      <c r="G1335" s="6" t="s">
        <v>591</v>
      </c>
    </row>
    <row r="1336" spans="1:7" ht="15.75" customHeight="1">
      <c r="A1336" s="3">
        <v>236302909</v>
      </c>
      <c r="B1336" s="4" t="s">
        <v>3661</v>
      </c>
      <c r="C1336" s="3" t="s">
        <v>3662</v>
      </c>
      <c r="D1336" s="3"/>
      <c r="E1336" s="3" t="s">
        <v>3663</v>
      </c>
      <c r="F1336" s="4" t="s">
        <v>590</v>
      </c>
      <c r="G1336" s="4" t="s">
        <v>591</v>
      </c>
    </row>
    <row r="1337" spans="1:7" ht="15.75" customHeight="1">
      <c r="A1337" s="5">
        <v>236306233</v>
      </c>
      <c r="B1337" s="6" t="s">
        <v>3664</v>
      </c>
      <c r="C1337" s="5" t="s">
        <v>3665</v>
      </c>
      <c r="D1337" s="5"/>
      <c r="E1337" s="5" t="s">
        <v>3666</v>
      </c>
      <c r="F1337" s="6" t="s">
        <v>590</v>
      </c>
      <c r="G1337" s="6" t="s">
        <v>591</v>
      </c>
    </row>
    <row r="1338" spans="1:7" ht="15.75" customHeight="1">
      <c r="A1338" s="3">
        <v>236307515</v>
      </c>
      <c r="B1338" s="4" t="s">
        <v>3667</v>
      </c>
      <c r="C1338" s="3" t="s">
        <v>3668</v>
      </c>
      <c r="D1338" s="3" t="s">
        <v>3669</v>
      </c>
      <c r="E1338" s="3" t="s">
        <v>3670</v>
      </c>
      <c r="F1338" s="4" t="s">
        <v>590</v>
      </c>
      <c r="G1338" s="4" t="s">
        <v>591</v>
      </c>
    </row>
    <row r="1339" spans="1:7" ht="15.75" customHeight="1">
      <c r="A1339" s="5">
        <v>236309175</v>
      </c>
      <c r="B1339" s="6" t="s">
        <v>3671</v>
      </c>
      <c r="C1339" s="5" t="s">
        <v>3672</v>
      </c>
      <c r="D1339" s="5"/>
      <c r="E1339" s="5" t="s">
        <v>3673</v>
      </c>
      <c r="F1339" s="6" t="s">
        <v>590</v>
      </c>
      <c r="G1339" s="6" t="s">
        <v>591</v>
      </c>
    </row>
    <row r="1340" spans="1:7" ht="15.75" customHeight="1">
      <c r="A1340" s="3">
        <v>236309325</v>
      </c>
      <c r="B1340" s="4" t="s">
        <v>3674</v>
      </c>
      <c r="C1340" s="3" t="s">
        <v>3675</v>
      </c>
      <c r="D1340" s="3"/>
      <c r="E1340" s="3" t="s">
        <v>3676</v>
      </c>
      <c r="F1340" s="4" t="s">
        <v>590</v>
      </c>
      <c r="G1340" s="4" t="s">
        <v>591</v>
      </c>
    </row>
    <row r="1341" spans="1:7" ht="15.75" customHeight="1">
      <c r="A1341" s="5">
        <v>236309490</v>
      </c>
      <c r="B1341" s="6" t="s">
        <v>3677</v>
      </c>
      <c r="C1341" s="5" t="s">
        <v>3678</v>
      </c>
      <c r="D1341" s="5">
        <v>79257556776</v>
      </c>
      <c r="E1341" s="5" t="s">
        <v>3679</v>
      </c>
      <c r="F1341" s="6" t="s">
        <v>590</v>
      </c>
      <c r="G1341" s="6" t="s">
        <v>591</v>
      </c>
    </row>
    <row r="1342" spans="1:7" ht="15.75" customHeight="1">
      <c r="A1342" s="3">
        <v>236318962</v>
      </c>
      <c r="B1342" s="4" t="s">
        <v>3680</v>
      </c>
      <c r="C1342" s="3" t="s">
        <v>3681</v>
      </c>
      <c r="D1342" s="3"/>
      <c r="E1342" s="3" t="s">
        <v>3682</v>
      </c>
      <c r="F1342" s="4" t="s">
        <v>590</v>
      </c>
      <c r="G1342" s="4" t="s">
        <v>591</v>
      </c>
    </row>
    <row r="1343" spans="1:7" ht="15.75" customHeight="1">
      <c r="A1343" s="5">
        <v>236326681</v>
      </c>
      <c r="B1343" s="6" t="s">
        <v>3683</v>
      </c>
      <c r="C1343" s="5" t="s">
        <v>3684</v>
      </c>
      <c r="D1343" s="5"/>
      <c r="E1343" s="5" t="s">
        <v>3685</v>
      </c>
      <c r="F1343" s="6" t="s">
        <v>590</v>
      </c>
      <c r="G1343" s="6" t="s">
        <v>591</v>
      </c>
    </row>
    <row r="1344" spans="1:7" ht="15.75" customHeight="1">
      <c r="A1344" s="3">
        <v>236328199</v>
      </c>
      <c r="B1344" s="4" t="s">
        <v>3686</v>
      </c>
      <c r="C1344" s="3" t="s">
        <v>3687</v>
      </c>
      <c r="D1344" s="3"/>
      <c r="E1344" s="3" t="s">
        <v>3688</v>
      </c>
      <c r="F1344" s="4" t="s">
        <v>590</v>
      </c>
      <c r="G1344" s="4" t="s">
        <v>591</v>
      </c>
    </row>
    <row r="1345" spans="1:7" ht="15.75" customHeight="1">
      <c r="A1345" s="5">
        <v>236438239</v>
      </c>
      <c r="B1345" s="6" t="s">
        <v>3689</v>
      </c>
      <c r="C1345" s="5" t="s">
        <v>3690</v>
      </c>
      <c r="D1345" s="5" t="s">
        <v>3691</v>
      </c>
      <c r="E1345" s="5" t="s">
        <v>3692</v>
      </c>
      <c r="F1345" s="6" t="s">
        <v>3309</v>
      </c>
      <c r="G1345" s="6" t="s">
        <v>2202</v>
      </c>
    </row>
    <row r="1346" spans="1:7" ht="15.75" customHeight="1">
      <c r="A1346" s="3">
        <v>236440781</v>
      </c>
      <c r="B1346" s="4" t="s">
        <v>3693</v>
      </c>
      <c r="C1346" s="3" t="s">
        <v>3694</v>
      </c>
      <c r="D1346" s="3"/>
      <c r="E1346" s="3" t="s">
        <v>3695</v>
      </c>
      <c r="F1346" s="4" t="s">
        <v>590</v>
      </c>
      <c r="G1346" s="4" t="s">
        <v>591</v>
      </c>
    </row>
    <row r="1347" spans="1:7" ht="15.75" customHeight="1">
      <c r="A1347" s="5">
        <v>236460714</v>
      </c>
      <c r="B1347" s="6" t="s">
        <v>3696</v>
      </c>
      <c r="C1347" s="5" t="s">
        <v>3697</v>
      </c>
      <c r="D1347" s="5"/>
      <c r="E1347" s="5" t="s">
        <v>3698</v>
      </c>
      <c r="F1347" s="6" t="s">
        <v>590</v>
      </c>
      <c r="G1347" s="6" t="s">
        <v>591</v>
      </c>
    </row>
    <row r="1348" spans="1:7" ht="15.75" customHeight="1">
      <c r="A1348" s="3">
        <v>236469305</v>
      </c>
      <c r="B1348" s="4" t="s">
        <v>3699</v>
      </c>
      <c r="C1348" s="3" t="s">
        <v>3700</v>
      </c>
      <c r="D1348" s="3"/>
      <c r="E1348" s="3" t="s">
        <v>3701</v>
      </c>
      <c r="F1348" s="4" t="s">
        <v>590</v>
      </c>
      <c r="G1348" s="4" t="s">
        <v>591</v>
      </c>
    </row>
    <row r="1349" spans="1:7" ht="15.75" customHeight="1">
      <c r="A1349" s="5">
        <v>236470383</v>
      </c>
      <c r="B1349" s="6" t="s">
        <v>3702</v>
      </c>
      <c r="C1349" s="5" t="s">
        <v>3703</v>
      </c>
      <c r="D1349" s="5"/>
      <c r="E1349" s="5" t="s">
        <v>3704</v>
      </c>
      <c r="F1349" s="6" t="s">
        <v>590</v>
      </c>
      <c r="G1349" s="6" t="s">
        <v>591</v>
      </c>
    </row>
    <row r="1350" spans="1:7" ht="15.75" customHeight="1">
      <c r="A1350" s="3">
        <v>236492624</v>
      </c>
      <c r="B1350" s="4" t="s">
        <v>3705</v>
      </c>
      <c r="C1350" s="3" t="s">
        <v>3706</v>
      </c>
      <c r="D1350" s="3"/>
      <c r="E1350" s="3" t="s">
        <v>3707</v>
      </c>
      <c r="F1350" s="4" t="s">
        <v>590</v>
      </c>
      <c r="G1350" s="4" t="s">
        <v>591</v>
      </c>
    </row>
    <row r="1351" spans="1:7" ht="15.75" customHeight="1">
      <c r="A1351" s="5">
        <v>236511792</v>
      </c>
      <c r="B1351" s="6" t="s">
        <v>3708</v>
      </c>
      <c r="C1351" s="5" t="s">
        <v>3709</v>
      </c>
      <c r="D1351" s="5"/>
      <c r="E1351" s="5" t="s">
        <v>3710</v>
      </c>
      <c r="F1351" s="6" t="s">
        <v>590</v>
      </c>
      <c r="G1351" s="6" t="s">
        <v>591</v>
      </c>
    </row>
    <row r="1352" spans="1:7" ht="15.75" customHeight="1">
      <c r="A1352" s="3">
        <v>236538926</v>
      </c>
      <c r="B1352" s="4" t="s">
        <v>3711</v>
      </c>
      <c r="C1352" s="3" t="s">
        <v>3712</v>
      </c>
      <c r="D1352" s="3"/>
      <c r="E1352" s="3" t="s">
        <v>3713</v>
      </c>
      <c r="F1352" s="4" t="s">
        <v>590</v>
      </c>
      <c r="G1352" s="4" t="s">
        <v>591</v>
      </c>
    </row>
    <row r="1353" spans="1:7" ht="15.75" customHeight="1">
      <c r="A1353" s="5">
        <v>236541172</v>
      </c>
      <c r="B1353" s="6" t="s">
        <v>3714</v>
      </c>
      <c r="C1353" s="5" t="s">
        <v>3715</v>
      </c>
      <c r="D1353" s="5"/>
      <c r="E1353" s="5" t="s">
        <v>3716</v>
      </c>
      <c r="F1353" s="6" t="s">
        <v>590</v>
      </c>
      <c r="G1353" s="6" t="s">
        <v>591</v>
      </c>
    </row>
    <row r="1354" spans="1:7" ht="15.75" customHeight="1">
      <c r="A1354" s="3">
        <v>236544916</v>
      </c>
      <c r="B1354" s="4" t="s">
        <v>3717</v>
      </c>
      <c r="C1354" s="3" t="s">
        <v>3718</v>
      </c>
      <c r="D1354" s="3"/>
      <c r="E1354" s="3" t="s">
        <v>3719</v>
      </c>
      <c r="F1354" s="4" t="s">
        <v>590</v>
      </c>
      <c r="G1354" s="4" t="s">
        <v>591</v>
      </c>
    </row>
    <row r="1355" spans="1:7" ht="15.75" customHeight="1">
      <c r="A1355" s="5">
        <v>236551537</v>
      </c>
      <c r="B1355" s="6" t="s">
        <v>3720</v>
      </c>
      <c r="C1355" s="5" t="s">
        <v>3721</v>
      </c>
      <c r="D1355" s="5"/>
      <c r="E1355" s="5" t="s">
        <v>3722</v>
      </c>
      <c r="F1355" s="6" t="s">
        <v>590</v>
      </c>
      <c r="G1355" s="6" t="s">
        <v>591</v>
      </c>
    </row>
    <row r="1356" spans="1:7" ht="15.75" customHeight="1">
      <c r="A1356" s="3">
        <v>236558335</v>
      </c>
      <c r="B1356" s="4" t="s">
        <v>3723</v>
      </c>
      <c r="C1356" s="3" t="s">
        <v>3724</v>
      </c>
      <c r="D1356" s="3"/>
      <c r="E1356" s="3" t="s">
        <v>3725</v>
      </c>
      <c r="F1356" s="4" t="s">
        <v>3422</v>
      </c>
      <c r="G1356" s="4" t="s">
        <v>3423</v>
      </c>
    </row>
    <row r="1357" spans="1:7" ht="15.75" customHeight="1">
      <c r="A1357" s="5">
        <v>236563021</v>
      </c>
      <c r="B1357" s="6" t="s">
        <v>3726</v>
      </c>
      <c r="C1357" s="5" t="s">
        <v>3727</v>
      </c>
      <c r="D1357" s="5"/>
      <c r="E1357" s="5" t="s">
        <v>3728</v>
      </c>
      <c r="F1357" s="6" t="s">
        <v>590</v>
      </c>
      <c r="G1357" s="6" t="s">
        <v>591</v>
      </c>
    </row>
    <row r="1358" spans="1:7" ht="15.75" customHeight="1">
      <c r="A1358" s="3">
        <v>236577980</v>
      </c>
      <c r="B1358" s="4" t="s">
        <v>3729</v>
      </c>
      <c r="C1358" s="3" t="s">
        <v>3730</v>
      </c>
      <c r="D1358" s="3"/>
      <c r="E1358" s="3" t="s">
        <v>3731</v>
      </c>
      <c r="F1358" s="4" t="s">
        <v>590</v>
      </c>
      <c r="G1358" s="4" t="s">
        <v>591</v>
      </c>
    </row>
    <row r="1359" spans="1:7" ht="15.75" customHeight="1">
      <c r="A1359" s="5">
        <v>236592047</v>
      </c>
      <c r="B1359" s="6" t="s">
        <v>3732</v>
      </c>
      <c r="C1359" s="5" t="s">
        <v>3733</v>
      </c>
      <c r="D1359" s="5" t="s">
        <v>3734</v>
      </c>
      <c r="E1359" s="5" t="s">
        <v>3735</v>
      </c>
      <c r="F1359" s="6" t="s">
        <v>3498</v>
      </c>
      <c r="G1359" s="6" t="s">
        <v>3499</v>
      </c>
    </row>
    <row r="1360" spans="1:7" ht="15.75" customHeight="1">
      <c r="A1360" s="3">
        <v>236595610</v>
      </c>
      <c r="B1360" s="4" t="s">
        <v>3736</v>
      </c>
      <c r="C1360" s="3" t="s">
        <v>3737</v>
      </c>
      <c r="D1360" s="3"/>
      <c r="E1360" s="3" t="s">
        <v>3738</v>
      </c>
      <c r="F1360" s="4" t="s">
        <v>590</v>
      </c>
      <c r="G1360" s="4" t="s">
        <v>591</v>
      </c>
    </row>
    <row r="1361" spans="1:7" ht="15.75" customHeight="1">
      <c r="A1361" s="5">
        <v>236660022</v>
      </c>
      <c r="B1361" s="6" t="s">
        <v>3739</v>
      </c>
      <c r="C1361" s="5" t="s">
        <v>3740</v>
      </c>
      <c r="D1361" s="5"/>
      <c r="E1361" s="5" t="s">
        <v>3741</v>
      </c>
      <c r="F1361" s="6" t="s">
        <v>590</v>
      </c>
      <c r="G1361" s="6" t="s">
        <v>591</v>
      </c>
    </row>
    <row r="1362" spans="1:7" ht="15.75" customHeight="1">
      <c r="A1362" s="3">
        <v>236678500</v>
      </c>
      <c r="B1362" s="4" t="s">
        <v>3742</v>
      </c>
      <c r="C1362" s="3" t="s">
        <v>3743</v>
      </c>
      <c r="D1362" s="3"/>
      <c r="E1362" s="3" t="s">
        <v>3744</v>
      </c>
      <c r="F1362" s="4" t="s">
        <v>590</v>
      </c>
      <c r="G1362" s="4" t="s">
        <v>591</v>
      </c>
    </row>
    <row r="1363" spans="1:7" ht="15.75" customHeight="1">
      <c r="A1363" s="5">
        <v>236699562</v>
      </c>
      <c r="B1363" s="6" t="s">
        <v>3745</v>
      </c>
      <c r="C1363" s="5" t="s">
        <v>3746</v>
      </c>
      <c r="D1363" s="5"/>
      <c r="E1363" s="5" t="s">
        <v>3747</v>
      </c>
      <c r="F1363" s="6" t="s">
        <v>590</v>
      </c>
      <c r="G1363" s="6" t="s">
        <v>591</v>
      </c>
    </row>
    <row r="1364" spans="1:7" ht="15.75" customHeight="1">
      <c r="A1364" s="3">
        <v>236713763</v>
      </c>
      <c r="B1364" s="4" t="s">
        <v>3748</v>
      </c>
      <c r="C1364" s="3" t="s">
        <v>3749</v>
      </c>
      <c r="D1364" s="3"/>
      <c r="E1364" s="3" t="s">
        <v>3750</v>
      </c>
      <c r="F1364" s="4" t="s">
        <v>590</v>
      </c>
      <c r="G1364" s="4" t="s">
        <v>591</v>
      </c>
    </row>
    <row r="1365" spans="1:7" ht="15.75" customHeight="1">
      <c r="A1365" s="5">
        <v>236728826</v>
      </c>
      <c r="B1365" s="6" t="s">
        <v>3751</v>
      </c>
      <c r="C1365" s="5" t="s">
        <v>3752</v>
      </c>
      <c r="D1365" s="5"/>
      <c r="E1365" s="5" t="s">
        <v>3753</v>
      </c>
      <c r="F1365" s="6" t="s">
        <v>590</v>
      </c>
      <c r="G1365" s="6" t="s">
        <v>591</v>
      </c>
    </row>
    <row r="1366" spans="1:7" ht="15.75" customHeight="1">
      <c r="A1366" s="3">
        <v>236742783</v>
      </c>
      <c r="B1366" s="4" t="s">
        <v>3754</v>
      </c>
      <c r="C1366" s="3" t="s">
        <v>3755</v>
      </c>
      <c r="D1366" s="3">
        <v>4169931976</v>
      </c>
      <c r="E1366" s="3" t="s">
        <v>3756</v>
      </c>
      <c r="F1366" s="4" t="s">
        <v>590</v>
      </c>
      <c r="G1366" s="4" t="s">
        <v>591</v>
      </c>
    </row>
    <row r="1367" spans="1:7" ht="15.75" customHeight="1">
      <c r="A1367" s="5">
        <v>236744624</v>
      </c>
      <c r="B1367" s="6" t="s">
        <v>3757</v>
      </c>
      <c r="C1367" s="5" t="s">
        <v>3758</v>
      </c>
      <c r="D1367" s="5">
        <v>5054125577</v>
      </c>
      <c r="E1367" s="5" t="s">
        <v>3759</v>
      </c>
      <c r="F1367" s="6" t="s">
        <v>590</v>
      </c>
      <c r="G1367" s="6" t="s">
        <v>591</v>
      </c>
    </row>
    <row r="1368" spans="1:7" ht="15.75" customHeight="1">
      <c r="A1368" s="3">
        <v>236830008</v>
      </c>
      <c r="B1368" s="4" t="s">
        <v>3760</v>
      </c>
      <c r="C1368" s="3" t="s">
        <v>3761</v>
      </c>
      <c r="D1368" s="3"/>
      <c r="E1368" s="3" t="s">
        <v>3762</v>
      </c>
      <c r="F1368" s="4" t="s">
        <v>590</v>
      </c>
      <c r="G1368" s="4" t="s">
        <v>591</v>
      </c>
    </row>
    <row r="1369" spans="1:7" ht="15.75" customHeight="1">
      <c r="A1369" s="5">
        <v>236859024</v>
      </c>
      <c r="B1369" s="6" t="s">
        <v>3763</v>
      </c>
      <c r="C1369" s="5" t="s">
        <v>3764</v>
      </c>
      <c r="D1369" s="5"/>
      <c r="E1369" s="5" t="s">
        <v>3765</v>
      </c>
      <c r="F1369" s="6" t="s">
        <v>590</v>
      </c>
      <c r="G1369" s="6" t="s">
        <v>591</v>
      </c>
    </row>
    <row r="1370" spans="1:7" ht="15.75" customHeight="1">
      <c r="A1370" s="3">
        <v>236871974</v>
      </c>
      <c r="B1370" s="4" t="s">
        <v>3766</v>
      </c>
      <c r="C1370" s="3" t="s">
        <v>3767</v>
      </c>
      <c r="D1370" s="3" t="s">
        <v>3768</v>
      </c>
      <c r="E1370" s="3" t="s">
        <v>3769</v>
      </c>
      <c r="F1370" s="4" t="s">
        <v>590</v>
      </c>
      <c r="G1370" s="4" t="s">
        <v>591</v>
      </c>
    </row>
    <row r="1371" spans="1:7" ht="15.75" customHeight="1">
      <c r="A1371" s="5">
        <v>236971035</v>
      </c>
      <c r="B1371" s="6" t="s">
        <v>3770</v>
      </c>
      <c r="C1371" s="5" t="s">
        <v>3771</v>
      </c>
      <c r="D1371" s="5" t="s">
        <v>3772</v>
      </c>
      <c r="E1371" s="5" t="s">
        <v>3773</v>
      </c>
      <c r="F1371" s="6" t="s">
        <v>790</v>
      </c>
      <c r="G1371" s="6" t="s">
        <v>791</v>
      </c>
    </row>
    <row r="1372" spans="1:7" ht="15.75" customHeight="1">
      <c r="A1372" s="3">
        <v>236979103</v>
      </c>
      <c r="B1372" s="4" t="s">
        <v>3774</v>
      </c>
      <c r="C1372" s="3" t="s">
        <v>3775</v>
      </c>
      <c r="D1372" s="3" t="s">
        <v>3776</v>
      </c>
      <c r="E1372" s="3" t="s">
        <v>3777</v>
      </c>
      <c r="F1372" s="4" t="s">
        <v>3778</v>
      </c>
      <c r="G1372" s="4" t="s">
        <v>3779</v>
      </c>
    </row>
    <row r="1373" spans="1:7" ht="15.75" customHeight="1">
      <c r="A1373" s="5">
        <v>236979103</v>
      </c>
      <c r="B1373" s="6" t="s">
        <v>3774</v>
      </c>
      <c r="C1373" s="5" t="s">
        <v>3775</v>
      </c>
      <c r="D1373" s="5" t="s">
        <v>3776</v>
      </c>
      <c r="E1373" s="5" t="s">
        <v>3780</v>
      </c>
      <c r="F1373" s="6" t="s">
        <v>281</v>
      </c>
      <c r="G1373" s="6" t="s">
        <v>282</v>
      </c>
    </row>
    <row r="1374" spans="1:7" ht="15.75" customHeight="1">
      <c r="A1374" s="3">
        <v>237214145</v>
      </c>
      <c r="B1374" s="4" t="s">
        <v>3781</v>
      </c>
      <c r="C1374" s="3" t="s">
        <v>3782</v>
      </c>
      <c r="D1374" s="3" t="s">
        <v>3783</v>
      </c>
      <c r="E1374" s="3" t="s">
        <v>3784</v>
      </c>
      <c r="F1374" s="4" t="s">
        <v>281</v>
      </c>
      <c r="G1374" s="4" t="s">
        <v>282</v>
      </c>
    </row>
    <row r="1375" spans="1:7" ht="15.75" customHeight="1">
      <c r="A1375" s="5">
        <v>237226726</v>
      </c>
      <c r="B1375" s="6" t="s">
        <v>3785</v>
      </c>
      <c r="C1375" s="5" t="s">
        <v>3786</v>
      </c>
      <c r="D1375" s="5">
        <v>20703277</v>
      </c>
      <c r="E1375" s="5" t="s">
        <v>3787</v>
      </c>
      <c r="F1375" s="6" t="s">
        <v>2421</v>
      </c>
      <c r="G1375" s="6" t="s">
        <v>2422</v>
      </c>
    </row>
    <row r="1376" spans="1:7" ht="15.75" customHeight="1">
      <c r="A1376" s="3">
        <v>237227198</v>
      </c>
      <c r="B1376" s="4" t="s">
        <v>3788</v>
      </c>
      <c r="C1376" s="3" t="s">
        <v>3789</v>
      </c>
      <c r="D1376" s="3" t="s">
        <v>3790</v>
      </c>
      <c r="E1376" s="3" t="s">
        <v>3791</v>
      </c>
      <c r="F1376" s="4" t="s">
        <v>3498</v>
      </c>
      <c r="G1376" s="4" t="s">
        <v>3499</v>
      </c>
    </row>
    <row r="1377" spans="1:7" ht="15.75" customHeight="1">
      <c r="A1377" s="5">
        <v>232519105</v>
      </c>
      <c r="B1377" s="6" t="s">
        <v>2705</v>
      </c>
      <c r="C1377" s="5" t="s">
        <v>2706</v>
      </c>
      <c r="D1377" s="5" t="s">
        <v>2707</v>
      </c>
      <c r="E1377" s="5" t="s">
        <v>3792</v>
      </c>
      <c r="F1377" s="6" t="s">
        <v>607</v>
      </c>
      <c r="G1377" s="6" t="s">
        <v>608</v>
      </c>
    </row>
    <row r="1378" spans="1:7" ht="15.75" customHeight="1">
      <c r="A1378" s="3">
        <v>237253123</v>
      </c>
      <c r="B1378" s="4" t="s">
        <v>3793</v>
      </c>
      <c r="C1378" s="3" t="s">
        <v>3794</v>
      </c>
      <c r="D1378" s="3">
        <v>79673248815</v>
      </c>
      <c r="E1378" s="3" t="s">
        <v>3795</v>
      </c>
      <c r="F1378" s="4" t="s">
        <v>3498</v>
      </c>
      <c r="G1378" s="4" t="s">
        <v>3499</v>
      </c>
    </row>
    <row r="1379" spans="1:7" ht="15.75" customHeight="1">
      <c r="A1379" s="5">
        <v>237274613</v>
      </c>
      <c r="B1379" s="6" t="s">
        <v>3796</v>
      </c>
      <c r="C1379" s="5" t="s">
        <v>3797</v>
      </c>
      <c r="D1379" s="5" t="s">
        <v>3798</v>
      </c>
      <c r="E1379" s="5" t="s">
        <v>3799</v>
      </c>
      <c r="F1379" s="6" t="s">
        <v>3498</v>
      </c>
      <c r="G1379" s="6" t="s">
        <v>3499</v>
      </c>
    </row>
    <row r="1380" spans="1:7" ht="15.75" customHeight="1">
      <c r="A1380" s="3">
        <v>233087870</v>
      </c>
      <c r="B1380" s="4" t="s">
        <v>2908</v>
      </c>
      <c r="C1380" s="3" t="s">
        <v>2909</v>
      </c>
      <c r="D1380" s="3" t="s">
        <v>2910</v>
      </c>
      <c r="E1380" s="3" t="s">
        <v>3800</v>
      </c>
      <c r="F1380" s="4" t="s">
        <v>790</v>
      </c>
      <c r="G1380" s="4" t="s">
        <v>791</v>
      </c>
    </row>
    <row r="1381" spans="1:7" ht="15.75" customHeight="1">
      <c r="A1381" s="5">
        <v>237288384</v>
      </c>
      <c r="B1381" s="6" t="s">
        <v>3801</v>
      </c>
      <c r="C1381" s="5" t="s">
        <v>3802</v>
      </c>
      <c r="D1381" s="5">
        <v>79085855505</v>
      </c>
      <c r="E1381" s="5" t="s">
        <v>3803</v>
      </c>
      <c r="F1381" s="6" t="s">
        <v>863</v>
      </c>
      <c r="G1381" s="6" t="s">
        <v>864</v>
      </c>
    </row>
    <row r="1382" spans="1:7" ht="15.75" customHeight="1">
      <c r="A1382" s="3">
        <v>237302601</v>
      </c>
      <c r="B1382" s="4" t="s">
        <v>3804</v>
      </c>
      <c r="C1382" s="3" t="s">
        <v>3805</v>
      </c>
      <c r="D1382" s="3" t="s">
        <v>3806</v>
      </c>
      <c r="E1382" s="3" t="s">
        <v>3807</v>
      </c>
      <c r="F1382" s="4" t="s">
        <v>3498</v>
      </c>
      <c r="G1382" s="4" t="s">
        <v>3499</v>
      </c>
    </row>
    <row r="1383" spans="1:7" ht="15.75" customHeight="1">
      <c r="A1383" s="5">
        <v>237473155</v>
      </c>
      <c r="B1383" s="6" t="s">
        <v>3808</v>
      </c>
      <c r="C1383" s="5" t="s">
        <v>3809</v>
      </c>
      <c r="D1383" s="5">
        <v>79134470011</v>
      </c>
      <c r="E1383" s="5" t="s">
        <v>3810</v>
      </c>
      <c r="F1383" s="6" t="s">
        <v>3498</v>
      </c>
      <c r="G1383" s="6" t="s">
        <v>3499</v>
      </c>
    </row>
    <row r="1384" spans="1:7" ht="15.75" customHeight="1">
      <c r="A1384" s="3">
        <v>237553418</v>
      </c>
      <c r="B1384" s="4" t="s">
        <v>3811</v>
      </c>
      <c r="C1384" s="3" t="s">
        <v>3812</v>
      </c>
      <c r="D1384" s="3" t="s">
        <v>3813</v>
      </c>
      <c r="E1384" s="3" t="s">
        <v>3814</v>
      </c>
      <c r="F1384" s="4" t="s">
        <v>3498</v>
      </c>
      <c r="G1384" s="4" t="s">
        <v>3499</v>
      </c>
    </row>
    <row r="1385" spans="1:7" ht="15.75" customHeight="1">
      <c r="A1385" s="5">
        <v>233231487</v>
      </c>
      <c r="B1385" s="6" t="s">
        <v>2944</v>
      </c>
      <c r="C1385" s="5" t="s">
        <v>2945</v>
      </c>
      <c r="D1385" s="5" t="s">
        <v>2946</v>
      </c>
      <c r="E1385" s="5" t="s">
        <v>3815</v>
      </c>
      <c r="F1385" s="6" t="s">
        <v>3498</v>
      </c>
      <c r="G1385" s="6" t="s">
        <v>3499</v>
      </c>
    </row>
    <row r="1386" spans="1:7" ht="15.75" customHeight="1">
      <c r="A1386" s="3">
        <v>233668714</v>
      </c>
      <c r="B1386" s="4" t="s">
        <v>2994</v>
      </c>
      <c r="C1386" s="3" t="s">
        <v>2995</v>
      </c>
      <c r="D1386" s="3" t="s">
        <v>2996</v>
      </c>
      <c r="E1386" s="3" t="s">
        <v>3816</v>
      </c>
      <c r="F1386" s="4" t="s">
        <v>3498</v>
      </c>
      <c r="G1386" s="4" t="s">
        <v>3499</v>
      </c>
    </row>
    <row r="1387" spans="1:7" ht="15.75" customHeight="1">
      <c r="A1387" s="5">
        <v>237589268</v>
      </c>
      <c r="B1387" s="6" t="s">
        <v>3817</v>
      </c>
      <c r="C1387" s="5" t="s">
        <v>3818</v>
      </c>
      <c r="D1387" s="5" t="s">
        <v>3819</v>
      </c>
      <c r="E1387" s="5" t="s">
        <v>3820</v>
      </c>
      <c r="F1387" s="6" t="s">
        <v>854</v>
      </c>
      <c r="G1387" s="6" t="s">
        <v>855</v>
      </c>
    </row>
    <row r="1388" spans="1:7" ht="15.75" customHeight="1">
      <c r="A1388" s="3">
        <v>237625921</v>
      </c>
      <c r="B1388" s="4" t="s">
        <v>3821</v>
      </c>
      <c r="C1388" s="3" t="s">
        <v>3822</v>
      </c>
      <c r="D1388" s="3" t="s">
        <v>3823</v>
      </c>
      <c r="E1388" s="3" t="s">
        <v>3824</v>
      </c>
      <c r="F1388" s="4" t="s">
        <v>3498</v>
      </c>
      <c r="G1388" s="4" t="s">
        <v>3499</v>
      </c>
    </row>
    <row r="1389" spans="1:7" ht="15.75" customHeight="1">
      <c r="A1389" s="5">
        <v>237631935</v>
      </c>
      <c r="B1389" s="6" t="s">
        <v>3825</v>
      </c>
      <c r="C1389" s="5" t="s">
        <v>3826</v>
      </c>
      <c r="D1389" s="5">
        <v>79818850348</v>
      </c>
      <c r="E1389" s="5" t="s">
        <v>3827</v>
      </c>
      <c r="F1389" s="6" t="s">
        <v>3498</v>
      </c>
      <c r="G1389" s="6" t="s">
        <v>3499</v>
      </c>
    </row>
    <row r="1390" spans="1:7" ht="15.75" customHeight="1">
      <c r="A1390" s="3">
        <v>237644397</v>
      </c>
      <c r="B1390" s="4" t="s">
        <v>3828</v>
      </c>
      <c r="C1390" s="3" t="s">
        <v>3829</v>
      </c>
      <c r="D1390" s="3" t="s">
        <v>3830</v>
      </c>
      <c r="E1390" s="3" t="s">
        <v>3831</v>
      </c>
      <c r="F1390" s="4" t="s">
        <v>3498</v>
      </c>
      <c r="G1390" s="4" t="s">
        <v>3499</v>
      </c>
    </row>
    <row r="1391" spans="1:7" ht="15.75" customHeight="1">
      <c r="A1391" s="5">
        <v>237729083</v>
      </c>
      <c r="B1391" s="6" t="s">
        <v>3832</v>
      </c>
      <c r="C1391" s="5" t="s">
        <v>3833</v>
      </c>
      <c r="D1391" s="5" t="s">
        <v>3834</v>
      </c>
      <c r="E1391" s="5" t="s">
        <v>3835</v>
      </c>
      <c r="F1391" s="6" t="s">
        <v>3498</v>
      </c>
      <c r="G1391" s="6" t="s">
        <v>3499</v>
      </c>
    </row>
    <row r="1392" spans="1:7" ht="15.75" customHeight="1">
      <c r="A1392" s="3">
        <v>237749116</v>
      </c>
      <c r="B1392" s="4" t="s">
        <v>3836</v>
      </c>
      <c r="C1392" s="3" t="s">
        <v>3837</v>
      </c>
      <c r="D1392" s="3">
        <v>79134667000</v>
      </c>
      <c r="E1392" s="3" t="s">
        <v>3838</v>
      </c>
      <c r="F1392" s="4" t="s">
        <v>3498</v>
      </c>
      <c r="G1392" s="4" t="s">
        <v>3499</v>
      </c>
    </row>
    <row r="1393" spans="1:7" ht="15.75" customHeight="1">
      <c r="A1393" s="5">
        <v>237774441</v>
      </c>
      <c r="B1393" s="6" t="s">
        <v>3839</v>
      </c>
      <c r="C1393" s="5" t="s">
        <v>3840</v>
      </c>
      <c r="D1393" s="5" t="s">
        <v>3841</v>
      </c>
      <c r="E1393" s="5" t="s">
        <v>3842</v>
      </c>
      <c r="F1393" s="6" t="s">
        <v>3843</v>
      </c>
      <c r="G1393" s="6" t="s">
        <v>3779</v>
      </c>
    </row>
    <row r="1394" spans="1:7" ht="15.75" customHeight="1">
      <c r="A1394" s="3">
        <v>237776134</v>
      </c>
      <c r="B1394" s="4" t="s">
        <v>3844</v>
      </c>
      <c r="C1394" s="3" t="s">
        <v>3845</v>
      </c>
      <c r="D1394" s="3">
        <v>79505244604</v>
      </c>
      <c r="E1394" s="3" t="s">
        <v>3846</v>
      </c>
      <c r="F1394" s="4" t="s">
        <v>3498</v>
      </c>
      <c r="G1394" s="4" t="s">
        <v>3499</v>
      </c>
    </row>
    <row r="1395" spans="1:7" ht="15.75" customHeight="1">
      <c r="A1395" s="5">
        <v>237784228</v>
      </c>
      <c r="B1395" s="6" t="s">
        <v>3847</v>
      </c>
      <c r="C1395" s="5" t="s">
        <v>3848</v>
      </c>
      <c r="D1395" s="5" t="s">
        <v>3849</v>
      </c>
      <c r="E1395" s="5" t="s">
        <v>3850</v>
      </c>
      <c r="F1395" s="6" t="s">
        <v>3498</v>
      </c>
      <c r="G1395" s="6" t="s">
        <v>3499</v>
      </c>
    </row>
    <row r="1396" spans="1:7" ht="15.75" customHeight="1">
      <c r="A1396" s="3">
        <v>237795708</v>
      </c>
      <c r="B1396" s="4" t="s">
        <v>3851</v>
      </c>
      <c r="C1396" s="3" t="s">
        <v>3852</v>
      </c>
      <c r="D1396" s="3" t="s">
        <v>3853</v>
      </c>
      <c r="E1396" s="3" t="s">
        <v>3854</v>
      </c>
      <c r="F1396" s="4" t="s">
        <v>3498</v>
      </c>
      <c r="G1396" s="4" t="s">
        <v>3499</v>
      </c>
    </row>
    <row r="1397" spans="1:7" ht="15.75" customHeight="1">
      <c r="A1397" s="5">
        <v>237799551</v>
      </c>
      <c r="B1397" s="6" t="s">
        <v>3855</v>
      </c>
      <c r="C1397" s="5" t="s">
        <v>3856</v>
      </c>
      <c r="D1397" s="5">
        <v>8977877571</v>
      </c>
      <c r="E1397" s="5" t="s">
        <v>3857</v>
      </c>
      <c r="F1397" s="6" t="s">
        <v>3498</v>
      </c>
      <c r="G1397" s="6" t="s">
        <v>3499</v>
      </c>
    </row>
    <row r="1398" spans="1:7" ht="15.75" customHeight="1">
      <c r="A1398" s="3">
        <v>237819331</v>
      </c>
      <c r="B1398" s="4" t="s">
        <v>3858</v>
      </c>
      <c r="C1398" s="3" t="s">
        <v>3859</v>
      </c>
      <c r="D1398" s="3">
        <v>79884150565</v>
      </c>
      <c r="E1398" s="3" t="s">
        <v>3860</v>
      </c>
      <c r="F1398" s="4" t="s">
        <v>3498</v>
      </c>
      <c r="G1398" s="4" t="s">
        <v>3499</v>
      </c>
    </row>
    <row r="1399" spans="1:7" ht="15.75" customHeight="1">
      <c r="A1399" s="5">
        <v>237837782</v>
      </c>
      <c r="B1399" s="6" t="s">
        <v>3861</v>
      </c>
      <c r="C1399" s="5" t="s">
        <v>3862</v>
      </c>
      <c r="D1399" s="5" t="s">
        <v>3863</v>
      </c>
      <c r="E1399" s="5" t="s">
        <v>3864</v>
      </c>
      <c r="F1399" s="6" t="s">
        <v>3498</v>
      </c>
      <c r="G1399" s="6" t="s">
        <v>3499</v>
      </c>
    </row>
    <row r="1400" spans="1:7" ht="15.75" customHeight="1">
      <c r="A1400" s="3">
        <v>237876763</v>
      </c>
      <c r="B1400" s="4" t="s">
        <v>3865</v>
      </c>
      <c r="C1400" s="3" t="s">
        <v>3866</v>
      </c>
      <c r="D1400" s="3">
        <v>79891617728</v>
      </c>
      <c r="E1400" s="3" t="s">
        <v>3867</v>
      </c>
      <c r="F1400" s="4" t="s">
        <v>3498</v>
      </c>
      <c r="G1400" s="4" t="s">
        <v>3499</v>
      </c>
    </row>
    <row r="1401" spans="1:7" ht="15.75" customHeight="1">
      <c r="A1401" s="5">
        <v>237916818</v>
      </c>
      <c r="B1401" s="6" t="s">
        <v>628</v>
      </c>
      <c r="C1401" s="5" t="s">
        <v>3868</v>
      </c>
      <c r="D1401" s="5" t="s">
        <v>630</v>
      </c>
      <c r="E1401" s="5" t="s">
        <v>3869</v>
      </c>
      <c r="F1401" s="6" t="s">
        <v>767</v>
      </c>
      <c r="G1401" s="6" t="s">
        <v>768</v>
      </c>
    </row>
    <row r="1402" spans="1:7" ht="15.75" customHeight="1">
      <c r="A1402" s="3">
        <v>237917952</v>
      </c>
      <c r="B1402" s="4" t="s">
        <v>3870</v>
      </c>
      <c r="C1402" s="3" t="s">
        <v>3871</v>
      </c>
      <c r="D1402" s="3" t="s">
        <v>3872</v>
      </c>
      <c r="E1402" s="3" t="s">
        <v>3873</v>
      </c>
      <c r="F1402" s="4" t="s">
        <v>767</v>
      </c>
      <c r="G1402" s="4" t="s">
        <v>768</v>
      </c>
    </row>
    <row r="1403" spans="1:7" ht="15.75" customHeight="1">
      <c r="A1403" s="5">
        <v>237918471</v>
      </c>
      <c r="B1403" s="6" t="s">
        <v>3874</v>
      </c>
      <c r="C1403" s="5" t="s">
        <v>3875</v>
      </c>
      <c r="D1403" s="5" t="s">
        <v>3876</v>
      </c>
      <c r="E1403" s="5" t="s">
        <v>3877</v>
      </c>
      <c r="F1403" s="6" t="s">
        <v>767</v>
      </c>
      <c r="G1403" s="6" t="s">
        <v>768</v>
      </c>
    </row>
    <row r="1404" spans="1:7" ht="15.75" customHeight="1">
      <c r="A1404" s="3">
        <v>237919772</v>
      </c>
      <c r="B1404" s="4" t="s">
        <v>3878</v>
      </c>
      <c r="C1404" s="3" t="s">
        <v>3879</v>
      </c>
      <c r="D1404" s="3" t="s">
        <v>3880</v>
      </c>
      <c r="E1404" s="3" t="s">
        <v>3881</v>
      </c>
      <c r="F1404" s="4" t="s">
        <v>767</v>
      </c>
      <c r="G1404" s="4" t="s">
        <v>768</v>
      </c>
    </row>
    <row r="1405" spans="1:7" ht="15.75" customHeight="1">
      <c r="A1405" s="5">
        <v>237920636</v>
      </c>
      <c r="B1405" s="6" t="s">
        <v>3882</v>
      </c>
      <c r="C1405" s="5" t="s">
        <v>3883</v>
      </c>
      <c r="D1405" s="5" t="s">
        <v>3884</v>
      </c>
      <c r="E1405" s="5" t="s">
        <v>3885</v>
      </c>
      <c r="F1405" s="6" t="s">
        <v>767</v>
      </c>
      <c r="G1405" s="6" t="s">
        <v>768</v>
      </c>
    </row>
    <row r="1406" spans="1:7" ht="15.75" customHeight="1">
      <c r="A1406" s="3">
        <v>237774441</v>
      </c>
      <c r="B1406" s="4" t="s">
        <v>3839</v>
      </c>
      <c r="C1406" s="3" t="s">
        <v>3840</v>
      </c>
      <c r="D1406" s="3" t="s">
        <v>3841</v>
      </c>
      <c r="E1406" s="3" t="s">
        <v>3886</v>
      </c>
      <c r="F1406" s="4" t="s">
        <v>281</v>
      </c>
      <c r="G1406" s="4" t="s">
        <v>282</v>
      </c>
    </row>
    <row r="1407" spans="1:7" ht="15.75" customHeight="1">
      <c r="A1407" s="5">
        <v>238027332</v>
      </c>
      <c r="B1407" s="6" t="s">
        <v>3887</v>
      </c>
      <c r="C1407" s="5" t="s">
        <v>3888</v>
      </c>
      <c r="D1407" s="5" t="s">
        <v>3889</v>
      </c>
      <c r="E1407" s="5" t="s">
        <v>3890</v>
      </c>
      <c r="F1407" s="6" t="s">
        <v>936</v>
      </c>
      <c r="G1407" s="6" t="s">
        <v>937</v>
      </c>
    </row>
    <row r="1408" spans="1:7" ht="15.75" customHeight="1">
      <c r="A1408" s="3">
        <v>238047966</v>
      </c>
      <c r="B1408" s="4" t="s">
        <v>3891</v>
      </c>
      <c r="C1408" s="3" t="s">
        <v>3892</v>
      </c>
      <c r="D1408" s="3" t="s">
        <v>3893</v>
      </c>
      <c r="E1408" s="3" t="s">
        <v>3894</v>
      </c>
      <c r="F1408" s="4" t="s">
        <v>2504</v>
      </c>
      <c r="G1408" s="4" t="s">
        <v>2505</v>
      </c>
    </row>
    <row r="1409" spans="1:7" ht="15.75" customHeight="1">
      <c r="A1409" s="5">
        <v>238051033</v>
      </c>
      <c r="B1409" s="6" t="s">
        <v>3895</v>
      </c>
      <c r="C1409" s="5" t="s">
        <v>3896</v>
      </c>
      <c r="D1409" s="5">
        <v>375293890916</v>
      </c>
      <c r="E1409" s="5" t="s">
        <v>3897</v>
      </c>
      <c r="F1409" s="6" t="s">
        <v>2504</v>
      </c>
      <c r="G1409" s="6" t="s">
        <v>2505</v>
      </c>
    </row>
    <row r="1410" spans="1:7" ht="15.75" customHeight="1">
      <c r="A1410" s="3">
        <v>238058816</v>
      </c>
      <c r="B1410" s="4" t="s">
        <v>3898</v>
      </c>
      <c r="C1410" s="3" t="s">
        <v>3899</v>
      </c>
      <c r="D1410" s="3">
        <v>79002607797</v>
      </c>
      <c r="E1410" s="3" t="s">
        <v>3900</v>
      </c>
      <c r="F1410" s="4" t="s">
        <v>1484</v>
      </c>
      <c r="G1410" s="4" t="s">
        <v>1485</v>
      </c>
    </row>
    <row r="1411" spans="1:7" ht="15.75" customHeight="1">
      <c r="A1411" s="5">
        <v>238081543</v>
      </c>
      <c r="B1411" s="6" t="s">
        <v>3901</v>
      </c>
      <c r="C1411" s="5" t="s">
        <v>3902</v>
      </c>
      <c r="D1411" s="5" t="s">
        <v>3903</v>
      </c>
      <c r="E1411" s="5" t="s">
        <v>3904</v>
      </c>
      <c r="F1411" s="6" t="s">
        <v>790</v>
      </c>
      <c r="G1411" s="6" t="s">
        <v>791</v>
      </c>
    </row>
    <row r="1412" spans="1:7" ht="15.75" customHeight="1">
      <c r="A1412" s="3">
        <v>238108370</v>
      </c>
      <c r="B1412" s="4" t="s">
        <v>3905</v>
      </c>
      <c r="C1412" s="3" t="s">
        <v>3906</v>
      </c>
      <c r="D1412" s="3" t="s">
        <v>3907</v>
      </c>
      <c r="E1412" s="3" t="s">
        <v>3908</v>
      </c>
      <c r="F1412" s="4" t="s">
        <v>3610</v>
      </c>
      <c r="G1412" s="4" t="s">
        <v>497</v>
      </c>
    </row>
    <row r="1413" spans="1:7" ht="15.75" customHeight="1">
      <c r="A1413" s="5">
        <v>238258104</v>
      </c>
      <c r="B1413" s="6" t="s">
        <v>3909</v>
      </c>
      <c r="C1413" s="5" t="s">
        <v>3910</v>
      </c>
      <c r="D1413" s="5" t="s">
        <v>3911</v>
      </c>
      <c r="E1413" s="5" t="s">
        <v>3912</v>
      </c>
      <c r="F1413" s="6" t="s">
        <v>795</v>
      </c>
      <c r="G1413" s="6" t="s">
        <v>796</v>
      </c>
    </row>
    <row r="1414" spans="1:7" ht="15.75" customHeight="1">
      <c r="A1414" s="3">
        <v>234065474</v>
      </c>
      <c r="B1414" s="4" t="s">
        <v>3098</v>
      </c>
      <c r="C1414" s="3" t="s">
        <v>3099</v>
      </c>
      <c r="D1414" s="3" t="s">
        <v>3100</v>
      </c>
      <c r="E1414" s="3" t="s">
        <v>3913</v>
      </c>
      <c r="F1414" s="4" t="s">
        <v>826</v>
      </c>
      <c r="G1414" s="4" t="s">
        <v>608</v>
      </c>
    </row>
    <row r="1415" spans="1:7" ht="15.75" customHeight="1">
      <c r="A1415" s="5">
        <v>238274634</v>
      </c>
      <c r="B1415" s="6" t="s">
        <v>3914</v>
      </c>
      <c r="C1415" s="5" t="s">
        <v>3915</v>
      </c>
      <c r="D1415" s="5" t="s">
        <v>3916</v>
      </c>
      <c r="E1415" s="5" t="s">
        <v>3917</v>
      </c>
      <c r="F1415" s="6" t="s">
        <v>55</v>
      </c>
      <c r="G1415" s="6" t="s">
        <v>56</v>
      </c>
    </row>
    <row r="1416" spans="1:7" ht="15.75" customHeight="1">
      <c r="A1416" s="3">
        <v>238464768</v>
      </c>
      <c r="B1416" s="4" t="s">
        <v>3918</v>
      </c>
      <c r="C1416" s="3" t="s">
        <v>3919</v>
      </c>
      <c r="D1416" s="3" t="s">
        <v>3920</v>
      </c>
      <c r="E1416" s="3" t="s">
        <v>3921</v>
      </c>
      <c r="F1416" s="4" t="s">
        <v>2504</v>
      </c>
      <c r="G1416" s="4" t="s">
        <v>2505</v>
      </c>
    </row>
    <row r="1417" spans="1:7" ht="15.75" customHeight="1">
      <c r="A1417" s="5">
        <v>238486848</v>
      </c>
      <c r="B1417" s="6" t="s">
        <v>3922</v>
      </c>
      <c r="C1417" s="5" t="s">
        <v>3923</v>
      </c>
      <c r="D1417" s="5" t="s">
        <v>3924</v>
      </c>
      <c r="E1417" s="5" t="s">
        <v>3925</v>
      </c>
      <c r="F1417" s="6" t="s">
        <v>2504</v>
      </c>
      <c r="G1417" s="6" t="s">
        <v>2505</v>
      </c>
    </row>
    <row r="1418" spans="1:7" ht="15.75" customHeight="1">
      <c r="A1418" s="3">
        <v>238486982</v>
      </c>
      <c r="B1418" s="4" t="s">
        <v>3926</v>
      </c>
      <c r="C1418" s="3" t="s">
        <v>3927</v>
      </c>
      <c r="D1418" s="3" t="s">
        <v>3928</v>
      </c>
      <c r="E1418" s="3" t="s">
        <v>3929</v>
      </c>
      <c r="F1418" s="4" t="s">
        <v>2504</v>
      </c>
      <c r="G1418" s="4" t="s">
        <v>2505</v>
      </c>
    </row>
    <row r="1419" spans="1:7" ht="15.75" customHeight="1">
      <c r="A1419" s="5">
        <v>232799651</v>
      </c>
      <c r="B1419" s="6" t="s">
        <v>2778</v>
      </c>
      <c r="C1419" s="5" t="s">
        <v>2779</v>
      </c>
      <c r="D1419" s="5" t="s">
        <v>2780</v>
      </c>
      <c r="E1419" s="5" t="s">
        <v>3930</v>
      </c>
      <c r="F1419" s="6" t="s">
        <v>795</v>
      </c>
      <c r="G1419" s="6" t="s">
        <v>796</v>
      </c>
    </row>
    <row r="1420" spans="1:7" ht="15.75" customHeight="1">
      <c r="A1420" s="3">
        <v>238521123</v>
      </c>
      <c r="B1420" s="4" t="s">
        <v>3931</v>
      </c>
      <c r="C1420" s="3" t="s">
        <v>3932</v>
      </c>
      <c r="D1420" s="3" t="s">
        <v>3933</v>
      </c>
      <c r="E1420" s="3" t="s">
        <v>3934</v>
      </c>
      <c r="F1420" s="4" t="s">
        <v>795</v>
      </c>
      <c r="G1420" s="4" t="s">
        <v>796</v>
      </c>
    </row>
    <row r="1421" spans="1:7" ht="15.75" customHeight="1">
      <c r="A1421" s="5">
        <v>232848271</v>
      </c>
      <c r="B1421" s="6" t="s">
        <v>2805</v>
      </c>
      <c r="C1421" s="5" t="s">
        <v>2806</v>
      </c>
      <c r="D1421" s="5">
        <v>868253103</v>
      </c>
      <c r="E1421" s="5" t="s">
        <v>3935</v>
      </c>
      <c r="F1421" s="6" t="s">
        <v>795</v>
      </c>
      <c r="G1421" s="6" t="s">
        <v>796</v>
      </c>
    </row>
    <row r="1422" spans="1:7" ht="15.75" customHeight="1">
      <c r="A1422" s="3">
        <v>232837929</v>
      </c>
      <c r="B1422" s="4" t="s">
        <v>2797</v>
      </c>
      <c r="C1422" s="3" t="s">
        <v>2798</v>
      </c>
      <c r="D1422" s="3" t="s">
        <v>2799</v>
      </c>
      <c r="E1422" s="3" t="s">
        <v>3936</v>
      </c>
      <c r="F1422" s="4" t="s">
        <v>795</v>
      </c>
      <c r="G1422" s="4" t="s">
        <v>796</v>
      </c>
    </row>
    <row r="1423" spans="1:7" ht="15.75" customHeight="1">
      <c r="A1423" s="5">
        <v>238546870</v>
      </c>
      <c r="B1423" s="6" t="s">
        <v>3937</v>
      </c>
      <c r="C1423" s="5" t="s">
        <v>3938</v>
      </c>
      <c r="D1423" s="5" t="s">
        <v>3939</v>
      </c>
      <c r="E1423" s="5" t="s">
        <v>3940</v>
      </c>
      <c r="F1423" s="6" t="s">
        <v>795</v>
      </c>
      <c r="G1423" s="6" t="s">
        <v>796</v>
      </c>
    </row>
    <row r="1424" spans="1:7" ht="15.75" customHeight="1">
      <c r="A1424" s="3">
        <v>238559210</v>
      </c>
      <c r="B1424" s="4" t="s">
        <v>3941</v>
      </c>
      <c r="C1424" s="3" t="s">
        <v>3942</v>
      </c>
      <c r="D1424" s="3" t="s">
        <v>3943</v>
      </c>
      <c r="E1424" s="3" t="s">
        <v>3944</v>
      </c>
      <c r="F1424" s="4" t="s">
        <v>2504</v>
      </c>
      <c r="G1424" s="4" t="s">
        <v>2505</v>
      </c>
    </row>
    <row r="1425" spans="1:7" ht="15.75" customHeight="1">
      <c r="A1425" s="5">
        <v>238589781</v>
      </c>
      <c r="B1425" s="6" t="s">
        <v>3945</v>
      </c>
      <c r="C1425" s="5" t="s">
        <v>3946</v>
      </c>
      <c r="D1425" s="5" t="s">
        <v>3947</v>
      </c>
      <c r="E1425" s="5" t="s">
        <v>3948</v>
      </c>
      <c r="F1425" s="6" t="s">
        <v>795</v>
      </c>
      <c r="G1425" s="6" t="s">
        <v>796</v>
      </c>
    </row>
    <row r="1426" spans="1:7" ht="15.75" customHeight="1">
      <c r="A1426" s="3">
        <v>232104534</v>
      </c>
      <c r="B1426" s="4" t="s">
        <v>2661</v>
      </c>
      <c r="C1426" s="3" t="s">
        <v>2662</v>
      </c>
      <c r="D1426" s="3" t="s">
        <v>2663</v>
      </c>
      <c r="E1426" s="3" t="s">
        <v>3949</v>
      </c>
      <c r="F1426" s="4" t="s">
        <v>795</v>
      </c>
      <c r="G1426" s="4" t="s">
        <v>796</v>
      </c>
    </row>
    <row r="1427" spans="1:7" ht="15.75" customHeight="1">
      <c r="A1427" s="5">
        <v>238705495</v>
      </c>
      <c r="B1427" s="6" t="s">
        <v>3950</v>
      </c>
      <c r="C1427" s="5" t="s">
        <v>3951</v>
      </c>
      <c r="D1427" s="5" t="s">
        <v>3952</v>
      </c>
      <c r="E1427" s="5" t="s">
        <v>3953</v>
      </c>
      <c r="F1427" s="6" t="s">
        <v>795</v>
      </c>
      <c r="G1427" s="6" t="s">
        <v>796</v>
      </c>
    </row>
    <row r="1428" spans="1:7" ht="15.75" customHeight="1">
      <c r="A1428" s="3">
        <v>238757253</v>
      </c>
      <c r="B1428" s="4" t="s">
        <v>3954</v>
      </c>
      <c r="C1428" s="3" t="s">
        <v>3955</v>
      </c>
      <c r="D1428" s="3" t="s">
        <v>3956</v>
      </c>
      <c r="E1428" s="3" t="s">
        <v>3957</v>
      </c>
      <c r="F1428" s="4" t="s">
        <v>806</v>
      </c>
      <c r="G1428" s="4" t="s">
        <v>497</v>
      </c>
    </row>
    <row r="1429" spans="1:7" ht="15.75" customHeight="1">
      <c r="A1429" s="5">
        <v>238759348</v>
      </c>
      <c r="B1429" s="6" t="s">
        <v>3958</v>
      </c>
      <c r="C1429" s="5" t="s">
        <v>3959</v>
      </c>
      <c r="D1429" s="5" t="s">
        <v>3960</v>
      </c>
      <c r="E1429" s="5" t="s">
        <v>3961</v>
      </c>
      <c r="F1429" s="6" t="s">
        <v>795</v>
      </c>
      <c r="G1429" s="6" t="s">
        <v>796</v>
      </c>
    </row>
    <row r="1430" spans="1:7" ht="15.75" customHeight="1">
      <c r="A1430" s="3">
        <v>238808205</v>
      </c>
      <c r="B1430" s="4" t="s">
        <v>3962</v>
      </c>
      <c r="C1430" s="3" t="s">
        <v>3963</v>
      </c>
      <c r="D1430" s="3">
        <v>79638441814</v>
      </c>
      <c r="E1430" s="3" t="s">
        <v>3964</v>
      </c>
      <c r="F1430" s="4" t="s">
        <v>829</v>
      </c>
      <c r="G1430" s="4" t="s">
        <v>568</v>
      </c>
    </row>
    <row r="1431" spans="1:7" ht="15.75" customHeight="1">
      <c r="A1431" s="5">
        <v>238818010</v>
      </c>
      <c r="B1431" s="6" t="s">
        <v>3965</v>
      </c>
      <c r="C1431" s="5" t="s">
        <v>3966</v>
      </c>
      <c r="D1431" s="5" t="s">
        <v>3967</v>
      </c>
      <c r="E1431" s="5" t="s">
        <v>3968</v>
      </c>
      <c r="F1431" s="6" t="s">
        <v>3969</v>
      </c>
      <c r="G1431" s="6" t="s">
        <v>3970</v>
      </c>
    </row>
    <row r="1432" spans="1:7" ht="15.75" customHeight="1">
      <c r="A1432" s="3">
        <v>238826658</v>
      </c>
      <c r="B1432" s="4" t="s">
        <v>3971</v>
      </c>
      <c r="C1432" s="3" t="s">
        <v>3972</v>
      </c>
      <c r="D1432" s="3"/>
      <c r="E1432" s="3" t="s">
        <v>3973</v>
      </c>
      <c r="F1432" s="4" t="s">
        <v>829</v>
      </c>
      <c r="G1432" s="4" t="s">
        <v>568</v>
      </c>
    </row>
    <row r="1433" spans="1:7" ht="15.75" customHeight="1">
      <c r="A1433" s="5">
        <v>238828633</v>
      </c>
      <c r="B1433" s="6" t="s">
        <v>3974</v>
      </c>
      <c r="C1433" s="5" t="s">
        <v>3975</v>
      </c>
      <c r="D1433" s="5" t="s">
        <v>3976</v>
      </c>
      <c r="E1433" s="5" t="s">
        <v>3977</v>
      </c>
      <c r="F1433" s="6" t="s">
        <v>829</v>
      </c>
      <c r="G1433" s="6" t="s">
        <v>568</v>
      </c>
    </row>
    <row r="1434" spans="1:7" ht="15.75" customHeight="1">
      <c r="A1434" s="3">
        <v>234643265</v>
      </c>
      <c r="B1434" s="4" t="s">
        <v>3212</v>
      </c>
      <c r="C1434" s="3" t="s">
        <v>3213</v>
      </c>
      <c r="D1434" s="3" t="s">
        <v>3214</v>
      </c>
      <c r="E1434" s="3" t="s">
        <v>3978</v>
      </c>
      <c r="F1434" s="4" t="s">
        <v>829</v>
      </c>
      <c r="G1434" s="4" t="s">
        <v>568</v>
      </c>
    </row>
    <row r="1435" spans="1:7" ht="15.75" customHeight="1">
      <c r="A1435" s="5">
        <v>238998920</v>
      </c>
      <c r="B1435" s="6" t="s">
        <v>3979</v>
      </c>
      <c r="C1435" s="5" t="s">
        <v>3980</v>
      </c>
      <c r="D1435" s="5" t="s">
        <v>3981</v>
      </c>
      <c r="E1435" s="5" t="s">
        <v>3982</v>
      </c>
      <c r="F1435" s="6" t="s">
        <v>2504</v>
      </c>
      <c r="G1435" s="6" t="s">
        <v>2505</v>
      </c>
    </row>
    <row r="1436" spans="1:7" ht="15.75" customHeight="1">
      <c r="A1436" s="3">
        <v>239138203</v>
      </c>
      <c r="B1436" s="4" t="s">
        <v>3983</v>
      </c>
      <c r="C1436" s="3" t="s">
        <v>3984</v>
      </c>
      <c r="D1436" s="3">
        <v>79520813361</v>
      </c>
      <c r="E1436" s="3" t="s">
        <v>3985</v>
      </c>
      <c r="F1436" s="4" t="s">
        <v>829</v>
      </c>
      <c r="G1436" s="4" t="s">
        <v>568</v>
      </c>
    </row>
    <row r="1437" spans="1:7" ht="15.75" customHeight="1">
      <c r="A1437" s="5">
        <v>239148559</v>
      </c>
      <c r="B1437" s="6" t="s">
        <v>3986</v>
      </c>
      <c r="C1437" s="5" t="s">
        <v>3987</v>
      </c>
      <c r="D1437" s="5">
        <v>79148793315</v>
      </c>
      <c r="E1437" s="5" t="s">
        <v>3988</v>
      </c>
      <c r="F1437" s="6" t="s">
        <v>829</v>
      </c>
      <c r="G1437" s="6" t="s">
        <v>568</v>
      </c>
    </row>
    <row r="1438" spans="1:7" ht="15.75" customHeight="1">
      <c r="A1438" s="3">
        <v>239152722</v>
      </c>
      <c r="B1438" s="4" t="s">
        <v>3989</v>
      </c>
      <c r="C1438" s="3" t="s">
        <v>3990</v>
      </c>
      <c r="D1438" s="3">
        <v>79089028744</v>
      </c>
      <c r="E1438" s="3" t="s">
        <v>3991</v>
      </c>
      <c r="F1438" s="4" t="s">
        <v>806</v>
      </c>
      <c r="G1438" s="4" t="s">
        <v>497</v>
      </c>
    </row>
    <row r="1439" spans="1:7" ht="15.75" customHeight="1">
      <c r="A1439" s="5">
        <v>233644078</v>
      </c>
      <c r="B1439" s="6" t="s">
        <v>2976</v>
      </c>
      <c r="C1439" s="5" t="s">
        <v>2977</v>
      </c>
      <c r="D1439" s="5" t="s">
        <v>2978</v>
      </c>
      <c r="E1439" s="5" t="s">
        <v>3992</v>
      </c>
      <c r="F1439" s="6" t="s">
        <v>813</v>
      </c>
      <c r="G1439" s="6" t="s">
        <v>811</v>
      </c>
    </row>
    <row r="1440" spans="1:7" ht="15.75" customHeight="1">
      <c r="A1440" s="3">
        <v>239370324</v>
      </c>
      <c r="B1440" s="4" t="s">
        <v>3993</v>
      </c>
      <c r="C1440" s="3" t="s">
        <v>3994</v>
      </c>
      <c r="D1440" s="3" t="s">
        <v>3995</v>
      </c>
      <c r="E1440" s="3" t="s">
        <v>3996</v>
      </c>
      <c r="F1440" s="4" t="s">
        <v>3997</v>
      </c>
      <c r="G1440" s="4" t="s">
        <v>2533</v>
      </c>
    </row>
    <row r="1441" spans="1:7" ht="15.75" customHeight="1">
      <c r="A1441" s="5">
        <v>234289671</v>
      </c>
      <c r="B1441" s="6" t="s">
        <v>3124</v>
      </c>
      <c r="C1441" s="5" t="s">
        <v>3125</v>
      </c>
      <c r="D1441" s="5">
        <v>29439885</v>
      </c>
      <c r="E1441" s="5" t="s">
        <v>3998</v>
      </c>
      <c r="F1441" s="6" t="s">
        <v>790</v>
      </c>
      <c r="G1441" s="6" t="s">
        <v>791</v>
      </c>
    </row>
    <row r="1442" spans="1:7" ht="15.75" customHeight="1">
      <c r="A1442" s="3">
        <v>239444016</v>
      </c>
      <c r="B1442" s="4" t="s">
        <v>3999</v>
      </c>
      <c r="C1442" s="3" t="s">
        <v>4000</v>
      </c>
      <c r="D1442" s="3">
        <v>79253904445</v>
      </c>
      <c r="E1442" s="3" t="s">
        <v>4001</v>
      </c>
      <c r="F1442" s="4" t="s">
        <v>813</v>
      </c>
      <c r="G1442" s="4" t="s">
        <v>811</v>
      </c>
    </row>
    <row r="1443" spans="1:7" ht="15.75" customHeight="1">
      <c r="A1443" s="5">
        <v>239470369</v>
      </c>
      <c r="B1443" s="6" t="s">
        <v>4002</v>
      </c>
      <c r="C1443" s="5" t="s">
        <v>4003</v>
      </c>
      <c r="D1443" s="5" t="s">
        <v>4004</v>
      </c>
      <c r="E1443" s="5" t="s">
        <v>4005</v>
      </c>
      <c r="F1443" s="6" t="s">
        <v>4006</v>
      </c>
      <c r="G1443" s="6" t="s">
        <v>2186</v>
      </c>
    </row>
    <row r="1444" spans="1:7" ht="15.75" customHeight="1">
      <c r="A1444" s="3">
        <v>239592654</v>
      </c>
      <c r="B1444" s="4" t="s">
        <v>4007</v>
      </c>
      <c r="C1444" s="3" t="s">
        <v>4008</v>
      </c>
      <c r="D1444" s="3" t="s">
        <v>4009</v>
      </c>
      <c r="E1444" s="3" t="s">
        <v>4010</v>
      </c>
      <c r="F1444" s="4" t="s">
        <v>806</v>
      </c>
      <c r="G1444" s="4" t="s">
        <v>497</v>
      </c>
    </row>
    <row r="1445" spans="1:7" ht="15.75" customHeight="1">
      <c r="A1445" s="5">
        <v>239641181</v>
      </c>
      <c r="B1445" s="6" t="s">
        <v>4011</v>
      </c>
      <c r="C1445" s="5" t="s">
        <v>4012</v>
      </c>
      <c r="D1445" s="5" t="s">
        <v>4013</v>
      </c>
      <c r="E1445" s="5" t="s">
        <v>4014</v>
      </c>
      <c r="F1445" s="6" t="s">
        <v>829</v>
      </c>
      <c r="G1445" s="6" t="s">
        <v>568</v>
      </c>
    </row>
    <row r="1446" spans="1:7" ht="15.75" customHeight="1">
      <c r="A1446" s="3">
        <v>237288384</v>
      </c>
      <c r="B1446" s="4" t="s">
        <v>3801</v>
      </c>
      <c r="C1446" s="3" t="s">
        <v>3802</v>
      </c>
      <c r="D1446" s="3">
        <v>79085855505</v>
      </c>
      <c r="E1446" s="3" t="s">
        <v>4015</v>
      </c>
      <c r="F1446" s="4" t="s">
        <v>823</v>
      </c>
      <c r="G1446" s="4" t="s">
        <v>282</v>
      </c>
    </row>
    <row r="1447" spans="1:7" ht="15.75" customHeight="1">
      <c r="A1447" s="5">
        <v>239705101</v>
      </c>
      <c r="B1447" s="6" t="s">
        <v>4016</v>
      </c>
      <c r="C1447" s="5" t="s">
        <v>4017</v>
      </c>
      <c r="D1447" s="5" t="s">
        <v>4018</v>
      </c>
      <c r="E1447" s="5" t="s">
        <v>4019</v>
      </c>
      <c r="F1447" s="6" t="s">
        <v>4020</v>
      </c>
      <c r="G1447" s="6" t="s">
        <v>2505</v>
      </c>
    </row>
    <row r="1448" spans="1:7" ht="15.75" customHeight="1">
      <c r="A1448" s="3">
        <v>239804582</v>
      </c>
      <c r="B1448" s="4" t="s">
        <v>4021</v>
      </c>
      <c r="C1448" s="3" t="s">
        <v>4022</v>
      </c>
      <c r="D1448" s="3" t="s">
        <v>4023</v>
      </c>
      <c r="E1448" s="3" t="s">
        <v>4024</v>
      </c>
      <c r="F1448" s="4" t="s">
        <v>813</v>
      </c>
      <c r="G1448" s="4" t="s">
        <v>811</v>
      </c>
    </row>
    <row r="1449" spans="1:7" ht="15.75" customHeight="1">
      <c r="A1449" s="5">
        <v>232897468</v>
      </c>
      <c r="B1449" s="6" t="s">
        <v>2838</v>
      </c>
      <c r="C1449" s="5" t="s">
        <v>2839</v>
      </c>
      <c r="D1449" s="5" t="s">
        <v>2840</v>
      </c>
      <c r="E1449" s="5" t="s">
        <v>4025</v>
      </c>
      <c r="F1449" s="6" t="s">
        <v>767</v>
      </c>
      <c r="G1449" s="6" t="s">
        <v>768</v>
      </c>
    </row>
    <row r="1450" spans="1:7" ht="15.75" customHeight="1">
      <c r="A1450" s="3">
        <v>233227508</v>
      </c>
      <c r="B1450" s="4" t="s">
        <v>2939</v>
      </c>
      <c r="C1450" s="3" t="s">
        <v>2940</v>
      </c>
      <c r="D1450" s="3" t="s">
        <v>2941</v>
      </c>
      <c r="E1450" s="3" t="s">
        <v>4026</v>
      </c>
      <c r="F1450" s="4" t="s">
        <v>204</v>
      </c>
      <c r="G1450" s="4" t="s">
        <v>205</v>
      </c>
    </row>
    <row r="1451" spans="1:7" ht="15.75" customHeight="1">
      <c r="A1451" s="5">
        <v>233469636</v>
      </c>
      <c r="B1451" s="6" t="s">
        <v>2957</v>
      </c>
      <c r="C1451" s="5" t="s">
        <v>2958</v>
      </c>
      <c r="D1451" s="5" t="s">
        <v>2959</v>
      </c>
      <c r="E1451" s="5" t="s">
        <v>4027</v>
      </c>
      <c r="F1451" s="6" t="s">
        <v>826</v>
      </c>
      <c r="G1451" s="6" t="s">
        <v>608</v>
      </c>
    </row>
    <row r="1452" spans="1:7" ht="15.75" customHeight="1">
      <c r="A1452" s="3">
        <v>234065474</v>
      </c>
      <c r="B1452" s="4" t="s">
        <v>3098</v>
      </c>
      <c r="C1452" s="3" t="s">
        <v>3099</v>
      </c>
      <c r="D1452" s="3" t="s">
        <v>3100</v>
      </c>
      <c r="E1452" s="3" t="s">
        <v>4028</v>
      </c>
      <c r="F1452" s="4" t="s">
        <v>829</v>
      </c>
      <c r="G1452" s="4" t="s">
        <v>568</v>
      </c>
    </row>
    <row r="1453" spans="1:7" ht="15.75" customHeight="1">
      <c r="A1453" s="5">
        <v>233991573</v>
      </c>
      <c r="B1453" s="6" t="s">
        <v>3079</v>
      </c>
      <c r="C1453" s="5" t="s">
        <v>3080</v>
      </c>
      <c r="D1453" s="5">
        <v>79823581182</v>
      </c>
      <c r="E1453" s="5" t="s">
        <v>4029</v>
      </c>
      <c r="F1453" s="6" t="s">
        <v>204</v>
      </c>
      <c r="G1453" s="6" t="s">
        <v>205</v>
      </c>
    </row>
    <row r="1454" spans="1:7" ht="15.75" customHeight="1">
      <c r="A1454" s="3">
        <v>233991573</v>
      </c>
      <c r="B1454" s="4" t="s">
        <v>3079</v>
      </c>
      <c r="C1454" s="3" t="s">
        <v>3080</v>
      </c>
      <c r="D1454" s="3">
        <v>79823581182</v>
      </c>
      <c r="E1454" s="3" t="s">
        <v>4030</v>
      </c>
      <c r="F1454" s="4" t="s">
        <v>204</v>
      </c>
      <c r="G1454" s="4" t="s">
        <v>205</v>
      </c>
    </row>
    <row r="1455" spans="1:7" ht="15.75" customHeight="1">
      <c r="A1455" s="5">
        <v>240625064</v>
      </c>
      <c r="B1455" s="6" t="s">
        <v>4031</v>
      </c>
      <c r="C1455" s="5" t="s">
        <v>4032</v>
      </c>
      <c r="D1455" s="5" t="s">
        <v>4033</v>
      </c>
      <c r="E1455" s="5" t="s">
        <v>4034</v>
      </c>
      <c r="F1455" s="6" t="s">
        <v>2532</v>
      </c>
      <c r="G1455" s="6" t="s">
        <v>2533</v>
      </c>
    </row>
    <row r="1456" spans="1:7" ht="15.75" customHeight="1">
      <c r="A1456" s="3">
        <v>240695735</v>
      </c>
      <c r="B1456" s="4" t="s">
        <v>4035</v>
      </c>
      <c r="C1456" s="3" t="s">
        <v>4036</v>
      </c>
      <c r="D1456" s="3">
        <v>79625020699</v>
      </c>
      <c r="E1456" s="3" t="s">
        <v>4037</v>
      </c>
      <c r="F1456" s="4" t="s">
        <v>829</v>
      </c>
      <c r="G1456" s="4" t="s">
        <v>568</v>
      </c>
    </row>
    <row r="1457" spans="1:7" ht="15.75" customHeight="1">
      <c r="A1457" s="5">
        <v>240892919</v>
      </c>
      <c r="B1457" s="6" t="s">
        <v>4038</v>
      </c>
      <c r="C1457" s="5" t="s">
        <v>4039</v>
      </c>
      <c r="D1457" s="5" t="s">
        <v>4040</v>
      </c>
      <c r="E1457" s="5" t="s">
        <v>4041</v>
      </c>
      <c r="F1457" s="6" t="s">
        <v>2525</v>
      </c>
      <c r="G1457" s="6" t="s">
        <v>710</v>
      </c>
    </row>
    <row r="1458" spans="1:7" ht="15.75" customHeight="1">
      <c r="A1458" s="3">
        <v>236160669</v>
      </c>
      <c r="B1458" s="4" t="s">
        <v>3606</v>
      </c>
      <c r="C1458" s="3" t="s">
        <v>3607</v>
      </c>
      <c r="D1458" s="3" t="s">
        <v>3608</v>
      </c>
      <c r="E1458" s="3" t="s">
        <v>4042</v>
      </c>
      <c r="F1458" s="4" t="s">
        <v>55</v>
      </c>
      <c r="G1458" s="4" t="s">
        <v>56</v>
      </c>
    </row>
    <row r="1459" spans="1:7" ht="15.75" customHeight="1">
      <c r="A1459" s="5">
        <v>238757253</v>
      </c>
      <c r="B1459" s="6" t="s">
        <v>3954</v>
      </c>
      <c r="C1459" s="5" t="s">
        <v>3955</v>
      </c>
      <c r="D1459" s="5" t="s">
        <v>3956</v>
      </c>
      <c r="E1459" s="5" t="s">
        <v>4043</v>
      </c>
      <c r="F1459" s="6" t="s">
        <v>55</v>
      </c>
      <c r="G1459" s="6" t="s">
        <v>56</v>
      </c>
    </row>
    <row r="1460" spans="1:7" ht="15.75" customHeight="1">
      <c r="A1460" s="3">
        <v>233469636</v>
      </c>
      <c r="B1460" s="4" t="s">
        <v>2957</v>
      </c>
      <c r="C1460" s="3" t="s">
        <v>2958</v>
      </c>
      <c r="D1460" s="3" t="s">
        <v>2959</v>
      </c>
      <c r="E1460" s="3" t="s">
        <v>4044</v>
      </c>
      <c r="F1460" s="4" t="s">
        <v>829</v>
      </c>
      <c r="G1460" s="4" t="s">
        <v>568</v>
      </c>
    </row>
    <row r="1461" spans="1:7" ht="15.75" customHeight="1">
      <c r="A1461" s="5">
        <v>236160669</v>
      </c>
      <c r="B1461" s="6" t="s">
        <v>3606</v>
      </c>
      <c r="C1461" s="5" t="s">
        <v>3607</v>
      </c>
      <c r="D1461" s="5" t="s">
        <v>3608</v>
      </c>
      <c r="E1461" s="5" t="s">
        <v>4045</v>
      </c>
      <c r="F1461" s="6" t="s">
        <v>55</v>
      </c>
      <c r="G1461" s="6" t="s">
        <v>56</v>
      </c>
    </row>
    <row r="1462" spans="1:7" ht="15.75" customHeight="1">
      <c r="A1462" s="3">
        <v>232519105</v>
      </c>
      <c r="B1462" s="4" t="s">
        <v>2705</v>
      </c>
      <c r="C1462" s="3" t="s">
        <v>2706</v>
      </c>
      <c r="D1462" s="3" t="s">
        <v>2707</v>
      </c>
      <c r="E1462" s="3" t="s">
        <v>4046</v>
      </c>
      <c r="F1462" s="4" t="s">
        <v>849</v>
      </c>
      <c r="G1462" s="4" t="s">
        <v>568</v>
      </c>
    </row>
    <row r="1463" spans="1:7" ht="15.75" customHeight="1">
      <c r="A1463" s="5">
        <v>232519105</v>
      </c>
      <c r="B1463" s="6" t="s">
        <v>2705</v>
      </c>
      <c r="C1463" s="5" t="s">
        <v>2706</v>
      </c>
      <c r="D1463" s="5" t="s">
        <v>2707</v>
      </c>
      <c r="E1463" s="5" t="s">
        <v>4047</v>
      </c>
      <c r="F1463" s="6" t="s">
        <v>849</v>
      </c>
      <c r="G1463" s="6" t="s">
        <v>4048</v>
      </c>
    </row>
    <row r="1464" spans="1:7" ht="15.75" customHeight="1">
      <c r="A1464" s="3">
        <v>238757253</v>
      </c>
      <c r="B1464" s="4" t="s">
        <v>3954</v>
      </c>
      <c r="C1464" s="3" t="s">
        <v>3955</v>
      </c>
      <c r="D1464" s="3" t="s">
        <v>3956</v>
      </c>
      <c r="E1464" s="3" t="s">
        <v>4049</v>
      </c>
      <c r="F1464" s="4" t="s">
        <v>55</v>
      </c>
      <c r="G1464" s="4" t="s">
        <v>56</v>
      </c>
    </row>
    <row r="1465" spans="1:7" ht="15.75" customHeight="1">
      <c r="A1465" s="5">
        <v>241486004</v>
      </c>
      <c r="B1465" s="6" t="s">
        <v>2002</v>
      </c>
      <c r="C1465" s="5" t="s">
        <v>4050</v>
      </c>
      <c r="D1465" s="5" t="s">
        <v>2004</v>
      </c>
      <c r="E1465" s="5" t="s">
        <v>4051</v>
      </c>
      <c r="F1465" s="6" t="s">
        <v>849</v>
      </c>
      <c r="G1465" s="6" t="s">
        <v>568</v>
      </c>
    </row>
    <row r="1466" spans="1:7" ht="15.75" customHeight="1">
      <c r="A1466" s="3">
        <v>233991573</v>
      </c>
      <c r="B1466" s="4" t="s">
        <v>3079</v>
      </c>
      <c r="C1466" s="3" t="s">
        <v>3080</v>
      </c>
      <c r="D1466" s="3">
        <v>79823581182</v>
      </c>
      <c r="E1466" s="3" t="s">
        <v>4052</v>
      </c>
      <c r="F1466" s="4" t="s">
        <v>784</v>
      </c>
      <c r="G1466" s="4" t="s">
        <v>785</v>
      </c>
    </row>
    <row r="1467" spans="1:7" ht="15.75" customHeight="1">
      <c r="A1467" s="5">
        <v>240892919</v>
      </c>
      <c r="B1467" s="6" t="s">
        <v>4038</v>
      </c>
      <c r="C1467" s="5" t="s">
        <v>4039</v>
      </c>
      <c r="D1467" s="5" t="s">
        <v>4040</v>
      </c>
      <c r="E1467" s="5" t="s">
        <v>4053</v>
      </c>
      <c r="F1467" s="6" t="s">
        <v>870</v>
      </c>
      <c r="G1467" s="6" t="s">
        <v>2533</v>
      </c>
    </row>
    <row r="1468" spans="1:7" ht="15.75" customHeight="1">
      <c r="A1468" s="3">
        <v>240892919</v>
      </c>
      <c r="B1468" s="4" t="s">
        <v>4038</v>
      </c>
      <c r="C1468" s="3" t="s">
        <v>4039</v>
      </c>
      <c r="D1468" s="3" t="s">
        <v>4040</v>
      </c>
      <c r="E1468" s="3" t="s">
        <v>4054</v>
      </c>
      <c r="F1468" s="4" t="s">
        <v>2532</v>
      </c>
      <c r="G1468" s="4" t="s">
        <v>2533</v>
      </c>
    </row>
    <row r="1469" spans="1:7" ht="15.75" customHeight="1">
      <c r="A1469" s="5">
        <v>238423448</v>
      </c>
      <c r="B1469" s="6" t="s">
        <v>3937</v>
      </c>
      <c r="C1469" s="5" t="s">
        <v>4055</v>
      </c>
      <c r="D1469" s="5" t="s">
        <v>3939</v>
      </c>
      <c r="E1469" s="5" t="s">
        <v>4056</v>
      </c>
      <c r="F1469" s="6" t="s">
        <v>2532</v>
      </c>
      <c r="G1469" s="6" t="s">
        <v>2533</v>
      </c>
    </row>
    <row r="1470" spans="1:7" ht="15.75" customHeight="1">
      <c r="A1470" s="3">
        <v>238108370</v>
      </c>
      <c r="B1470" s="4" t="s">
        <v>3905</v>
      </c>
      <c r="C1470" s="3" t="s">
        <v>3906</v>
      </c>
      <c r="D1470" s="3" t="s">
        <v>3907</v>
      </c>
      <c r="E1470" s="3" t="s">
        <v>4057</v>
      </c>
      <c r="F1470" s="4" t="s">
        <v>2527</v>
      </c>
      <c r="G1470" s="4" t="s">
        <v>2528</v>
      </c>
    </row>
    <row r="1471" spans="1:7" ht="15.75" customHeight="1">
      <c r="A1471" s="5">
        <v>238546870</v>
      </c>
      <c r="B1471" s="6" t="s">
        <v>3937</v>
      </c>
      <c r="C1471" s="5" t="s">
        <v>3938</v>
      </c>
      <c r="D1471" s="5" t="s">
        <v>3939</v>
      </c>
      <c r="E1471" s="5" t="s">
        <v>4058</v>
      </c>
      <c r="F1471" s="6" t="s">
        <v>2532</v>
      </c>
      <c r="G1471" s="6" t="s">
        <v>2533</v>
      </c>
    </row>
    <row r="1472" spans="1:7" ht="15.75" customHeight="1">
      <c r="A1472" s="3">
        <v>233469636</v>
      </c>
      <c r="B1472" s="4" t="s">
        <v>2957</v>
      </c>
      <c r="C1472" s="3" t="s">
        <v>2958</v>
      </c>
      <c r="D1472" s="3" t="s">
        <v>2959</v>
      </c>
      <c r="E1472" s="3" t="s">
        <v>4059</v>
      </c>
      <c r="F1472" s="4" t="s">
        <v>55</v>
      </c>
      <c r="G1472" s="4" t="s">
        <v>56</v>
      </c>
    </row>
    <row r="1473" spans="1:7" ht="15.75" customHeight="1">
      <c r="A1473" s="5">
        <v>238757253</v>
      </c>
      <c r="B1473" s="6" t="s">
        <v>3954</v>
      </c>
      <c r="C1473" s="5" t="s">
        <v>3955</v>
      </c>
      <c r="D1473" s="5" t="s">
        <v>3956</v>
      </c>
      <c r="E1473" s="5" t="s">
        <v>4060</v>
      </c>
      <c r="F1473" s="6" t="s">
        <v>55</v>
      </c>
      <c r="G1473" s="6" t="s">
        <v>56</v>
      </c>
    </row>
    <row r="1474" spans="1:7" ht="15.75" customHeight="1">
      <c r="A1474" s="3">
        <v>238757253</v>
      </c>
      <c r="B1474" s="4" t="s">
        <v>3954</v>
      </c>
      <c r="C1474" s="3" t="s">
        <v>3955</v>
      </c>
      <c r="D1474" s="3" t="s">
        <v>3956</v>
      </c>
      <c r="E1474" s="3" t="s">
        <v>4061</v>
      </c>
      <c r="F1474" s="4" t="s">
        <v>55</v>
      </c>
      <c r="G1474" s="4" t="s">
        <v>56</v>
      </c>
    </row>
    <row r="1475" spans="1:7" ht="15.75" customHeight="1">
      <c r="A1475" s="5">
        <v>236979103</v>
      </c>
      <c r="B1475" s="6" t="s">
        <v>3774</v>
      </c>
      <c r="C1475" s="5" t="s">
        <v>3775</v>
      </c>
      <c r="D1475" s="5" t="s">
        <v>3776</v>
      </c>
      <c r="E1475" s="5" t="s">
        <v>4062</v>
      </c>
      <c r="F1475" s="6" t="s">
        <v>4063</v>
      </c>
      <c r="G1475" s="6" t="s">
        <v>875</v>
      </c>
    </row>
    <row r="1476" spans="1:7" ht="15.75" customHeight="1">
      <c r="A1476" s="3">
        <v>234680188</v>
      </c>
      <c r="B1476" s="4" t="s">
        <v>3230</v>
      </c>
      <c r="C1476" s="3" t="s">
        <v>3231</v>
      </c>
      <c r="D1476" s="3" t="s">
        <v>3232</v>
      </c>
      <c r="E1476" s="3" t="s">
        <v>4064</v>
      </c>
      <c r="F1476" s="4" t="s">
        <v>4063</v>
      </c>
      <c r="G1476" s="4" t="s">
        <v>875</v>
      </c>
    </row>
    <row r="1477" spans="1:7" ht="15.75" customHeight="1">
      <c r="A1477" s="5">
        <v>239705101</v>
      </c>
      <c r="B1477" s="6" t="s">
        <v>4016</v>
      </c>
      <c r="C1477" s="5" t="s">
        <v>4017</v>
      </c>
      <c r="D1477" s="5" t="s">
        <v>4018</v>
      </c>
      <c r="E1477" s="5" t="s">
        <v>4065</v>
      </c>
      <c r="F1477" s="6" t="s">
        <v>4066</v>
      </c>
      <c r="G1477" s="6" t="s">
        <v>4067</v>
      </c>
    </row>
    <row r="1478" spans="1:7" ht="15.75" customHeight="1">
      <c r="A1478" s="3">
        <v>238757253</v>
      </c>
      <c r="B1478" s="4" t="s">
        <v>3954</v>
      </c>
      <c r="C1478" s="3" t="s">
        <v>3955</v>
      </c>
      <c r="D1478" s="3" t="s">
        <v>3956</v>
      </c>
      <c r="E1478" s="3" t="s">
        <v>4068</v>
      </c>
      <c r="F1478" s="4" t="s">
        <v>55</v>
      </c>
      <c r="G1478" s="4" t="s">
        <v>56</v>
      </c>
    </row>
    <row r="1479" spans="1:7" ht="15.75" customHeight="1">
      <c r="A1479" s="5">
        <v>234065474</v>
      </c>
      <c r="B1479" s="6" t="s">
        <v>3098</v>
      </c>
      <c r="C1479" s="5" t="s">
        <v>3099</v>
      </c>
      <c r="D1479" s="5" t="s">
        <v>3100</v>
      </c>
      <c r="E1479" s="5" t="s">
        <v>4069</v>
      </c>
      <c r="F1479" s="6" t="s">
        <v>55</v>
      </c>
      <c r="G1479" s="6" t="s">
        <v>56</v>
      </c>
    </row>
    <row r="1480" spans="1:7" ht="15.75" customHeight="1">
      <c r="A1480" s="3">
        <v>238274634</v>
      </c>
      <c r="B1480" s="4" t="s">
        <v>3914</v>
      </c>
      <c r="C1480" s="3" t="s">
        <v>3915</v>
      </c>
      <c r="D1480" s="3" t="s">
        <v>3916</v>
      </c>
      <c r="E1480" s="3" t="s">
        <v>4070</v>
      </c>
      <c r="F1480" s="4" t="s">
        <v>55</v>
      </c>
      <c r="G1480" s="4" t="s">
        <v>56</v>
      </c>
    </row>
    <row r="1481" spans="1:7" ht="15.75" customHeight="1">
      <c r="A1481" s="5">
        <v>234680188</v>
      </c>
      <c r="B1481" s="6" t="s">
        <v>3230</v>
      </c>
      <c r="C1481" s="5" t="s">
        <v>3231</v>
      </c>
      <c r="D1481" s="5" t="s">
        <v>3232</v>
      </c>
      <c r="E1481" s="5" t="s">
        <v>4071</v>
      </c>
      <c r="F1481" s="6" t="s">
        <v>97</v>
      </c>
      <c r="G1481" s="6" t="s">
        <v>98</v>
      </c>
    </row>
    <row r="1482" spans="1:7" ht="15.75" customHeight="1">
      <c r="A1482" s="3">
        <v>239804582</v>
      </c>
      <c r="B1482" s="4" t="s">
        <v>4021</v>
      </c>
      <c r="C1482" s="3" t="s">
        <v>4022</v>
      </c>
      <c r="D1482" s="3" t="s">
        <v>4023</v>
      </c>
      <c r="E1482" s="3" t="s">
        <v>4072</v>
      </c>
      <c r="F1482" s="4" t="s">
        <v>2509</v>
      </c>
      <c r="G1482" s="4" t="s">
        <v>2510</v>
      </c>
    </row>
    <row r="1483" spans="1:7" ht="15.75" customHeight="1">
      <c r="A1483" s="5">
        <v>232897468</v>
      </c>
      <c r="B1483" s="6" t="s">
        <v>2838</v>
      </c>
      <c r="C1483" s="5" t="s">
        <v>2839</v>
      </c>
      <c r="D1483" s="5" t="s">
        <v>2840</v>
      </c>
      <c r="E1483" s="5" t="s">
        <v>4073</v>
      </c>
      <c r="F1483" s="6" t="s">
        <v>767</v>
      </c>
      <c r="G1483" s="6" t="s">
        <v>768</v>
      </c>
    </row>
    <row r="1484" spans="1:7" ht="15.75" customHeight="1">
      <c r="A1484" s="3">
        <v>238081543</v>
      </c>
      <c r="B1484" s="4" t="s">
        <v>3901</v>
      </c>
      <c r="C1484" s="3" t="s">
        <v>3902</v>
      </c>
      <c r="D1484" s="3" t="s">
        <v>3903</v>
      </c>
      <c r="E1484" s="3" t="s">
        <v>4074</v>
      </c>
      <c r="F1484" s="4" t="s">
        <v>956</v>
      </c>
      <c r="G1484" s="4" t="s">
        <v>901</v>
      </c>
    </row>
    <row r="1485" spans="1:7" ht="15.75" customHeight="1">
      <c r="A1485" s="5">
        <v>232925182</v>
      </c>
      <c r="B1485" s="6" t="s">
        <v>2857</v>
      </c>
      <c r="C1485" s="5" t="s">
        <v>2858</v>
      </c>
      <c r="D1485" s="5" t="s">
        <v>2859</v>
      </c>
      <c r="E1485" s="5" t="s">
        <v>4075</v>
      </c>
      <c r="F1485" s="6" t="s">
        <v>949</v>
      </c>
      <c r="G1485" s="6" t="s">
        <v>950</v>
      </c>
    </row>
    <row r="1486" spans="1:7" ht="15.75" customHeight="1">
      <c r="A1486" s="3">
        <v>233669183</v>
      </c>
      <c r="B1486" s="4" t="s">
        <v>2998</v>
      </c>
      <c r="C1486" s="3" t="s">
        <v>2999</v>
      </c>
      <c r="D1486" s="3" t="s">
        <v>3000</v>
      </c>
      <c r="E1486" s="3" t="s">
        <v>4076</v>
      </c>
      <c r="F1486" s="4" t="s">
        <v>960</v>
      </c>
      <c r="G1486" s="4" t="s">
        <v>961</v>
      </c>
    </row>
    <row r="1487" spans="1:7" ht="15.75" customHeight="1">
      <c r="A1487" s="5">
        <v>232856107</v>
      </c>
      <c r="B1487" s="6" t="s">
        <v>2815</v>
      </c>
      <c r="C1487" s="5" t="s">
        <v>2816</v>
      </c>
      <c r="D1487" s="5">
        <v>79051306006</v>
      </c>
      <c r="E1487" s="5" t="s">
        <v>4077</v>
      </c>
      <c r="F1487" s="6" t="s">
        <v>960</v>
      </c>
      <c r="G1487" s="6" t="s">
        <v>961</v>
      </c>
    </row>
    <row r="1488" spans="1:7" ht="15.75" customHeight="1">
      <c r="A1488" s="3">
        <v>233469636</v>
      </c>
      <c r="B1488" s="4" t="s">
        <v>2957</v>
      </c>
      <c r="C1488" s="3" t="s">
        <v>2958</v>
      </c>
      <c r="D1488" s="3" t="s">
        <v>2959</v>
      </c>
      <c r="E1488" s="3" t="s">
        <v>4078</v>
      </c>
      <c r="F1488" s="4" t="s">
        <v>55</v>
      </c>
      <c r="G1488" s="4" t="s">
        <v>56</v>
      </c>
    </row>
    <row r="1489" spans="1:7" ht="15.75" customHeight="1">
      <c r="A1489" s="5">
        <v>233023935</v>
      </c>
      <c r="B1489" s="6" t="s">
        <v>2882</v>
      </c>
      <c r="C1489" s="5" t="s">
        <v>2883</v>
      </c>
      <c r="D1489" s="5" t="s">
        <v>2884</v>
      </c>
      <c r="E1489" s="5" t="s">
        <v>4079</v>
      </c>
      <c r="F1489" s="6" t="s">
        <v>1096</v>
      </c>
      <c r="G1489" s="6" t="s">
        <v>1097</v>
      </c>
    </row>
    <row r="1490" spans="1:7" ht="15.75" customHeight="1">
      <c r="A1490" s="3">
        <v>240892919</v>
      </c>
      <c r="B1490" s="4" t="s">
        <v>4038</v>
      </c>
      <c r="C1490" s="3" t="s">
        <v>4039</v>
      </c>
      <c r="D1490" s="3" t="s">
        <v>4040</v>
      </c>
      <c r="E1490" s="3" t="s">
        <v>4080</v>
      </c>
      <c r="F1490" s="4" t="s">
        <v>1124</v>
      </c>
      <c r="G1490" s="4" t="s">
        <v>1048</v>
      </c>
    </row>
    <row r="1491" spans="1:7" ht="15.75" customHeight="1">
      <c r="A1491" s="5">
        <v>238818010</v>
      </c>
      <c r="B1491" s="6" t="s">
        <v>3965</v>
      </c>
      <c r="C1491" s="5" t="s">
        <v>3966</v>
      </c>
      <c r="D1491" s="5" t="s">
        <v>3967</v>
      </c>
      <c r="E1491" s="5" t="s">
        <v>4081</v>
      </c>
      <c r="F1491" s="6" t="s">
        <v>1067</v>
      </c>
      <c r="G1491" s="6" t="s">
        <v>1068</v>
      </c>
    </row>
    <row r="1492" spans="1:7" ht="15.75" customHeight="1">
      <c r="A1492" s="3">
        <v>234680188</v>
      </c>
      <c r="B1492" s="4" t="s">
        <v>3230</v>
      </c>
      <c r="C1492" s="3" t="s">
        <v>3231</v>
      </c>
      <c r="D1492" s="3" t="s">
        <v>3232</v>
      </c>
      <c r="E1492" s="3" t="s">
        <v>4082</v>
      </c>
      <c r="F1492" s="4" t="s">
        <v>481</v>
      </c>
      <c r="G1492" s="4" t="s">
        <v>482</v>
      </c>
    </row>
    <row r="1493" spans="1:7" ht="15.75" customHeight="1">
      <c r="A1493" s="5">
        <v>234680188</v>
      </c>
      <c r="B1493" s="6" t="s">
        <v>3230</v>
      </c>
      <c r="C1493" s="5" t="s">
        <v>3231</v>
      </c>
      <c r="D1493" s="5" t="s">
        <v>3232</v>
      </c>
      <c r="E1493" s="5" t="s">
        <v>4083</v>
      </c>
      <c r="F1493" s="6" t="s">
        <v>484</v>
      </c>
      <c r="G1493" s="6" t="s">
        <v>482</v>
      </c>
    </row>
    <row r="1494" spans="1:7" ht="15.75" customHeight="1">
      <c r="A1494" s="3">
        <v>234070586</v>
      </c>
      <c r="B1494" s="4" t="s">
        <v>3105</v>
      </c>
      <c r="C1494" s="3" t="s">
        <v>3106</v>
      </c>
      <c r="D1494" s="3" t="s">
        <v>3107</v>
      </c>
      <c r="E1494" s="3" t="s">
        <v>4084</v>
      </c>
      <c r="F1494" s="4" t="s">
        <v>1124</v>
      </c>
      <c r="G1494" s="4" t="s">
        <v>1048</v>
      </c>
    </row>
    <row r="1495" spans="1:7" ht="15.75" customHeight="1">
      <c r="A1495" s="5">
        <v>237799551</v>
      </c>
      <c r="B1495" s="6" t="s">
        <v>3855</v>
      </c>
      <c r="C1495" s="5" t="s">
        <v>3856</v>
      </c>
      <c r="D1495" s="5">
        <v>8977877571</v>
      </c>
      <c r="E1495" s="5" t="s">
        <v>4085</v>
      </c>
      <c r="F1495" s="6" t="s">
        <v>1124</v>
      </c>
      <c r="G1495" s="6" t="s">
        <v>1048</v>
      </c>
    </row>
    <row r="1496" spans="1:7" ht="15.75" customHeight="1">
      <c r="A1496" s="3">
        <v>233016718</v>
      </c>
      <c r="B1496" s="4" t="s">
        <v>2874</v>
      </c>
      <c r="C1496" s="3" t="s">
        <v>2875</v>
      </c>
      <c r="D1496" s="3" t="s">
        <v>2876</v>
      </c>
      <c r="E1496" s="3" t="s">
        <v>4086</v>
      </c>
      <c r="F1496" s="4" t="s">
        <v>1132</v>
      </c>
      <c r="G1496" s="4" t="s">
        <v>1048</v>
      </c>
    </row>
    <row r="1497" spans="1:7" ht="15.75" customHeight="1">
      <c r="A1497" s="5">
        <v>232853323</v>
      </c>
      <c r="B1497" s="6" t="s">
        <v>2811</v>
      </c>
      <c r="C1497" s="5" t="s">
        <v>2812</v>
      </c>
      <c r="D1497" s="5" t="s">
        <v>2813</v>
      </c>
      <c r="E1497" s="5" t="s">
        <v>4087</v>
      </c>
      <c r="F1497" s="6" t="s">
        <v>1124</v>
      </c>
      <c r="G1497" s="6" t="s">
        <v>1048</v>
      </c>
    </row>
    <row r="1498" spans="1:7" ht="15.75" customHeight="1">
      <c r="A1498" s="3">
        <v>232897468</v>
      </c>
      <c r="B1498" s="4" t="s">
        <v>2838</v>
      </c>
      <c r="C1498" s="3" t="s">
        <v>2839</v>
      </c>
      <c r="D1498" s="3" t="s">
        <v>2840</v>
      </c>
      <c r="E1498" s="3" t="s">
        <v>4088</v>
      </c>
      <c r="F1498" s="4" t="s">
        <v>1132</v>
      </c>
      <c r="G1498" s="4" t="s">
        <v>1048</v>
      </c>
    </row>
    <row r="1499" spans="1:7" ht="15.75" customHeight="1">
      <c r="A1499" s="5">
        <v>232897468</v>
      </c>
      <c r="B1499" s="6" t="s">
        <v>2838</v>
      </c>
      <c r="C1499" s="5" t="s">
        <v>2839</v>
      </c>
      <c r="D1499" s="5" t="s">
        <v>2840</v>
      </c>
      <c r="E1499" s="5" t="s">
        <v>4089</v>
      </c>
      <c r="F1499" s="6" t="s">
        <v>767</v>
      </c>
      <c r="G1499" s="6" t="s">
        <v>768</v>
      </c>
    </row>
    <row r="1500" spans="1:7" ht="15.75" customHeight="1">
      <c r="A1500" s="3">
        <v>238274634</v>
      </c>
      <c r="B1500" s="4" t="s">
        <v>3914</v>
      </c>
      <c r="C1500" s="3" t="s">
        <v>3915</v>
      </c>
      <c r="D1500" s="3" t="s">
        <v>3916</v>
      </c>
      <c r="E1500" s="3" t="s">
        <v>4090</v>
      </c>
      <c r="F1500" s="4" t="s">
        <v>55</v>
      </c>
      <c r="G1500" s="4" t="s">
        <v>56</v>
      </c>
    </row>
    <row r="1501" spans="1:7" ht="15.75" customHeight="1">
      <c r="A1501" s="5">
        <v>233073391</v>
      </c>
      <c r="B1501" s="6" t="s">
        <v>2897</v>
      </c>
      <c r="C1501" s="5" t="s">
        <v>2898</v>
      </c>
      <c r="D1501" s="5" t="s">
        <v>2899</v>
      </c>
      <c r="E1501" s="5" t="s">
        <v>4091</v>
      </c>
      <c r="F1501" s="6" t="s">
        <v>960</v>
      </c>
      <c r="G1501" s="6" t="s">
        <v>961</v>
      </c>
    </row>
    <row r="1502" spans="1:7" ht="15.75" customHeight="1">
      <c r="A1502" s="3">
        <v>241486004</v>
      </c>
      <c r="B1502" s="4" t="s">
        <v>2002</v>
      </c>
      <c r="C1502" s="3" t="s">
        <v>4050</v>
      </c>
      <c r="D1502" s="3" t="s">
        <v>2004</v>
      </c>
      <c r="E1502" s="3" t="s">
        <v>4092</v>
      </c>
      <c r="F1502" s="4" t="s">
        <v>849</v>
      </c>
      <c r="G1502" s="4" t="s">
        <v>568</v>
      </c>
    </row>
    <row r="1503" spans="1:7" ht="15.75" customHeight="1">
      <c r="A1503" s="5">
        <v>241486004</v>
      </c>
      <c r="B1503" s="6" t="s">
        <v>2002</v>
      </c>
      <c r="C1503" s="5" t="s">
        <v>4050</v>
      </c>
      <c r="D1503" s="5" t="s">
        <v>2004</v>
      </c>
      <c r="E1503" s="5" t="s">
        <v>4093</v>
      </c>
      <c r="F1503" s="6" t="s">
        <v>849</v>
      </c>
      <c r="G1503" s="6" t="s">
        <v>4048</v>
      </c>
    </row>
    <row r="1504" spans="1:7" ht="15.75" customHeight="1">
      <c r="A1504" s="3">
        <v>241593029</v>
      </c>
      <c r="B1504" s="4" t="s">
        <v>4094</v>
      </c>
      <c r="C1504" s="3" t="s">
        <v>4095</v>
      </c>
      <c r="D1504" s="3" t="s">
        <v>4096</v>
      </c>
      <c r="E1504" s="3" t="s">
        <v>4097</v>
      </c>
      <c r="F1504" s="4" t="s">
        <v>912</v>
      </c>
      <c r="G1504" s="4" t="s">
        <v>913</v>
      </c>
    </row>
    <row r="1505" spans="1:7" ht="15.75" customHeight="1">
      <c r="A1505" s="5">
        <v>241593173</v>
      </c>
      <c r="B1505" s="6" t="s">
        <v>4098</v>
      </c>
      <c r="C1505" s="5" t="s">
        <v>4099</v>
      </c>
      <c r="D1505" s="5" t="s">
        <v>4100</v>
      </c>
      <c r="E1505" s="5" t="s">
        <v>4101</v>
      </c>
      <c r="F1505" s="6" t="s">
        <v>912</v>
      </c>
      <c r="G1505" s="6" t="s">
        <v>913</v>
      </c>
    </row>
    <row r="1506" spans="1:7" ht="15.75" customHeight="1">
      <c r="A1506" s="3">
        <v>241637445</v>
      </c>
      <c r="B1506" s="4" t="s">
        <v>4102</v>
      </c>
      <c r="C1506" s="3" t="s">
        <v>4103</v>
      </c>
      <c r="D1506" s="3">
        <v>79035000100</v>
      </c>
      <c r="E1506" s="3" t="s">
        <v>4104</v>
      </c>
      <c r="F1506" s="4" t="s">
        <v>813</v>
      </c>
      <c r="G1506" s="4"/>
    </row>
    <row r="1507" spans="1:7" ht="15.75" customHeight="1">
      <c r="A1507" s="5">
        <v>241776349</v>
      </c>
      <c r="B1507" s="6" t="s">
        <v>4105</v>
      </c>
      <c r="C1507" s="5" t="s">
        <v>4106</v>
      </c>
      <c r="D1507" s="5">
        <v>345453455345</v>
      </c>
      <c r="E1507" s="5" t="s">
        <v>4107</v>
      </c>
      <c r="F1507" s="6" t="s">
        <v>1484</v>
      </c>
      <c r="G1507" s="6" t="s">
        <v>1485</v>
      </c>
    </row>
    <row r="1508" spans="1:7" ht="15.75" customHeight="1">
      <c r="A1508" s="3">
        <v>241777282</v>
      </c>
      <c r="B1508" s="4" t="s">
        <v>4108</v>
      </c>
      <c r="C1508" s="3" t="s">
        <v>4109</v>
      </c>
      <c r="D1508" s="3">
        <v>34534534545</v>
      </c>
      <c r="E1508" s="3" t="s">
        <v>4110</v>
      </c>
      <c r="F1508" s="4" t="s">
        <v>1484</v>
      </c>
      <c r="G1508" s="4" t="s">
        <v>1485</v>
      </c>
    </row>
    <row r="1509" spans="1:7" ht="15.75" customHeight="1">
      <c r="A1509" s="5">
        <v>241777430</v>
      </c>
      <c r="B1509" s="6" t="s">
        <v>4111</v>
      </c>
      <c r="C1509" s="5" t="s">
        <v>4112</v>
      </c>
      <c r="D1509" s="5">
        <v>234234234</v>
      </c>
      <c r="E1509" s="5" t="s">
        <v>4113</v>
      </c>
      <c r="F1509" s="6" t="s">
        <v>1484</v>
      </c>
      <c r="G1509" s="6" t="s">
        <v>1485</v>
      </c>
    </row>
    <row r="1510" spans="1:7" ht="15.75" customHeight="1">
      <c r="A1510" s="3">
        <v>241903022</v>
      </c>
      <c r="B1510" s="4" t="s">
        <v>4114</v>
      </c>
      <c r="C1510" s="3" t="s">
        <v>4115</v>
      </c>
      <c r="D1510" s="3">
        <v>79204844321</v>
      </c>
      <c r="E1510" s="3" t="s">
        <v>4116</v>
      </c>
      <c r="F1510" s="4" t="s">
        <v>2532</v>
      </c>
      <c r="G1510" s="4" t="s">
        <v>2533</v>
      </c>
    </row>
    <row r="1511" spans="1:7" ht="15.75" customHeight="1">
      <c r="A1511" s="5">
        <v>241989434</v>
      </c>
      <c r="B1511" s="6" t="s">
        <v>4117</v>
      </c>
      <c r="C1511" s="5" t="s">
        <v>4118</v>
      </c>
      <c r="D1511" s="5">
        <v>79160284757</v>
      </c>
      <c r="E1511" s="5" t="s">
        <v>4119</v>
      </c>
      <c r="F1511" s="6" t="s">
        <v>2532</v>
      </c>
      <c r="G1511" s="6" t="s">
        <v>871</v>
      </c>
    </row>
    <row r="1512" spans="1:7" ht="15.75" customHeight="1">
      <c r="A1512" s="3">
        <v>242063536</v>
      </c>
      <c r="B1512" s="4" t="s">
        <v>4120</v>
      </c>
      <c r="C1512" s="3" t="s">
        <v>4121</v>
      </c>
      <c r="D1512" s="3">
        <v>79998524589</v>
      </c>
      <c r="E1512" s="3" t="s">
        <v>4122</v>
      </c>
      <c r="F1512" s="4" t="s">
        <v>1484</v>
      </c>
      <c r="G1512" s="4" t="s">
        <v>1485</v>
      </c>
    </row>
    <row r="1513" spans="1:7" ht="15.75" customHeight="1">
      <c r="A1513" s="5">
        <v>242139472</v>
      </c>
      <c r="B1513" s="6" t="s">
        <v>4123</v>
      </c>
      <c r="C1513" s="5" t="s">
        <v>4124</v>
      </c>
      <c r="D1513" s="5">
        <v>79526785903</v>
      </c>
      <c r="E1513" s="5" t="s">
        <v>4125</v>
      </c>
      <c r="F1513" s="6" t="s">
        <v>784</v>
      </c>
      <c r="G1513" s="6" t="s">
        <v>785</v>
      </c>
    </row>
    <row r="1514" spans="1:7" ht="15.75" customHeight="1">
      <c r="A1514" s="3">
        <v>242173942</v>
      </c>
      <c r="B1514" s="4" t="s">
        <v>4126</v>
      </c>
      <c r="C1514" s="3" t="s">
        <v>4127</v>
      </c>
      <c r="D1514" s="3">
        <v>79995603287</v>
      </c>
      <c r="E1514" s="3" t="s">
        <v>4128</v>
      </c>
      <c r="F1514" s="4" t="s">
        <v>2532</v>
      </c>
      <c r="G1514" s="4" t="s">
        <v>871</v>
      </c>
    </row>
    <row r="1515" spans="1:7" ht="15.75" customHeight="1">
      <c r="A1515" s="5">
        <v>242247544</v>
      </c>
      <c r="B1515" s="6" t="s">
        <v>4129</v>
      </c>
      <c r="C1515" s="5" t="s">
        <v>4130</v>
      </c>
      <c r="D1515" s="5" t="s">
        <v>4131</v>
      </c>
      <c r="E1515" s="5" t="s">
        <v>4132</v>
      </c>
      <c r="F1515" s="6" t="s">
        <v>2539</v>
      </c>
      <c r="G1515" s="6" t="s">
        <v>2540</v>
      </c>
    </row>
    <row r="1516" spans="1:7" ht="15.75" customHeight="1">
      <c r="A1516" s="3">
        <v>242411960</v>
      </c>
      <c r="B1516" s="4" t="s">
        <v>4133</v>
      </c>
      <c r="C1516" s="3" t="s">
        <v>4134</v>
      </c>
      <c r="D1516" s="3" t="s">
        <v>4135</v>
      </c>
      <c r="E1516" s="3" t="s">
        <v>4136</v>
      </c>
      <c r="F1516" s="4" t="s">
        <v>4137</v>
      </c>
      <c r="G1516" s="4" t="s">
        <v>875</v>
      </c>
    </row>
    <row r="1517" spans="1:7" ht="15.75" customHeight="1">
      <c r="A1517" s="5">
        <v>242575521</v>
      </c>
      <c r="B1517" s="6" t="s">
        <v>4138</v>
      </c>
      <c r="C1517" s="5" t="s">
        <v>4139</v>
      </c>
      <c r="D1517" s="5" t="s">
        <v>4140</v>
      </c>
      <c r="E1517" s="5" t="s">
        <v>4141</v>
      </c>
      <c r="F1517" s="6" t="s">
        <v>912</v>
      </c>
      <c r="G1517" s="6" t="s">
        <v>913</v>
      </c>
    </row>
    <row r="1518" spans="1:7" ht="15.75" customHeight="1">
      <c r="A1518" s="3">
        <v>242584990</v>
      </c>
      <c r="B1518" s="4" t="s">
        <v>4142</v>
      </c>
      <c r="C1518" s="3" t="s">
        <v>4143</v>
      </c>
      <c r="D1518" s="3" t="s">
        <v>4144</v>
      </c>
      <c r="E1518" s="3" t="s">
        <v>4145</v>
      </c>
      <c r="F1518" s="4" t="s">
        <v>956</v>
      </c>
      <c r="G1518" s="4" t="s">
        <v>901</v>
      </c>
    </row>
    <row r="1519" spans="1:7" ht="15.75" customHeight="1">
      <c r="A1519" s="5">
        <v>242593993</v>
      </c>
      <c r="B1519" s="6" t="s">
        <v>4146</v>
      </c>
      <c r="C1519" s="5" t="s">
        <v>4147</v>
      </c>
      <c r="D1519" s="5">
        <v>862676155</v>
      </c>
      <c r="E1519" s="5" t="s">
        <v>4148</v>
      </c>
      <c r="F1519" s="6" t="s">
        <v>4149</v>
      </c>
      <c r="G1519" s="6"/>
    </row>
    <row r="1520" spans="1:7" ht="15.75" customHeight="1">
      <c r="A1520" s="3">
        <v>242601119</v>
      </c>
      <c r="B1520" s="4" t="s">
        <v>4150</v>
      </c>
      <c r="C1520" s="3" t="s">
        <v>4151</v>
      </c>
      <c r="D1520" s="3" t="s">
        <v>4152</v>
      </c>
      <c r="E1520" s="3" t="s">
        <v>4153</v>
      </c>
      <c r="F1520" s="4" t="s">
        <v>2532</v>
      </c>
      <c r="G1520" s="4" t="s">
        <v>871</v>
      </c>
    </row>
    <row r="1521" spans="1:7" ht="15.75" customHeight="1">
      <c r="A1521" s="5">
        <v>242606470</v>
      </c>
      <c r="B1521" s="6" t="s">
        <v>4154</v>
      </c>
      <c r="C1521" s="5" t="s">
        <v>4155</v>
      </c>
      <c r="D1521" s="5" t="s">
        <v>4156</v>
      </c>
      <c r="E1521" s="5" t="s">
        <v>4157</v>
      </c>
      <c r="F1521" s="6" t="s">
        <v>1484</v>
      </c>
      <c r="G1521" s="6" t="s">
        <v>1485</v>
      </c>
    </row>
    <row r="1522" spans="1:7" ht="15.75" customHeight="1">
      <c r="A1522" s="3">
        <v>242823379</v>
      </c>
      <c r="B1522" s="4" t="s">
        <v>4158</v>
      </c>
      <c r="C1522" s="3" t="s">
        <v>4159</v>
      </c>
      <c r="D1522" s="3">
        <v>79823598978</v>
      </c>
      <c r="E1522" s="3" t="s">
        <v>4160</v>
      </c>
      <c r="F1522" s="4" t="s">
        <v>784</v>
      </c>
      <c r="G1522" s="4" t="s">
        <v>785</v>
      </c>
    </row>
    <row r="1523" spans="1:7" ht="15.75" customHeight="1">
      <c r="A1523" s="5">
        <v>242823379</v>
      </c>
      <c r="B1523" s="6" t="s">
        <v>4158</v>
      </c>
      <c r="C1523" s="5" t="s">
        <v>4159</v>
      </c>
      <c r="D1523" s="5">
        <v>79823598978</v>
      </c>
      <c r="E1523" s="5" t="s">
        <v>4161</v>
      </c>
      <c r="F1523" s="6" t="s">
        <v>70</v>
      </c>
      <c r="G1523" s="6" t="s">
        <v>71</v>
      </c>
    </row>
    <row r="1524" spans="1:7" ht="15.75" customHeight="1">
      <c r="A1524" s="3">
        <v>243072421</v>
      </c>
      <c r="B1524" s="4" t="s">
        <v>4162</v>
      </c>
      <c r="C1524" s="3" t="s">
        <v>4163</v>
      </c>
      <c r="D1524" s="3" t="s">
        <v>4164</v>
      </c>
      <c r="E1524" s="3" t="s">
        <v>4165</v>
      </c>
      <c r="F1524" s="4" t="s">
        <v>4066</v>
      </c>
      <c r="G1524" s="4" t="s">
        <v>4067</v>
      </c>
    </row>
    <row r="1525" spans="1:7" ht="15.75" customHeight="1">
      <c r="A1525" s="5">
        <v>243073617</v>
      </c>
      <c r="B1525" s="6" t="s">
        <v>4166</v>
      </c>
      <c r="C1525" s="5" t="s">
        <v>4167</v>
      </c>
      <c r="D1525" s="5" t="s">
        <v>4168</v>
      </c>
      <c r="E1525" s="5" t="s">
        <v>4169</v>
      </c>
      <c r="F1525" s="6" t="s">
        <v>4066</v>
      </c>
      <c r="G1525" s="6" t="s">
        <v>4067</v>
      </c>
    </row>
    <row r="1526" spans="1:7" ht="15.75" customHeight="1">
      <c r="A1526" s="3">
        <v>243127015</v>
      </c>
      <c r="B1526" s="4" t="s">
        <v>4170</v>
      </c>
      <c r="C1526" s="3" t="s">
        <v>4171</v>
      </c>
      <c r="D1526" s="3" t="s">
        <v>4172</v>
      </c>
      <c r="E1526" s="3" t="s">
        <v>4173</v>
      </c>
      <c r="F1526" s="4" t="s">
        <v>4066</v>
      </c>
      <c r="G1526" s="4" t="s">
        <v>4067</v>
      </c>
    </row>
    <row r="1527" spans="1:7" ht="15.75" customHeight="1">
      <c r="A1527" s="5">
        <v>243308323</v>
      </c>
      <c r="B1527" s="6" t="s">
        <v>4174</v>
      </c>
      <c r="C1527" s="5" t="s">
        <v>4175</v>
      </c>
      <c r="D1527" s="5" t="s">
        <v>4176</v>
      </c>
      <c r="E1527" s="5" t="s">
        <v>4177</v>
      </c>
      <c r="F1527" s="6" t="s">
        <v>813</v>
      </c>
      <c r="G1527" s="6" t="s">
        <v>811</v>
      </c>
    </row>
    <row r="1528" spans="1:7" ht="15.75" customHeight="1">
      <c r="A1528" s="3">
        <v>243327723</v>
      </c>
      <c r="B1528" s="4" t="s">
        <v>4178</v>
      </c>
      <c r="C1528" s="3" t="s">
        <v>4179</v>
      </c>
      <c r="D1528" s="3" t="s">
        <v>4180</v>
      </c>
      <c r="E1528" s="3" t="s">
        <v>4181</v>
      </c>
      <c r="F1528" s="4" t="s">
        <v>4066</v>
      </c>
      <c r="G1528" s="4" t="s">
        <v>4067</v>
      </c>
    </row>
    <row r="1529" spans="1:7" ht="15.75" customHeight="1">
      <c r="A1529" s="5">
        <v>243327739</v>
      </c>
      <c r="B1529" s="6" t="s">
        <v>4182</v>
      </c>
      <c r="C1529" s="5" t="s">
        <v>4183</v>
      </c>
      <c r="D1529" s="5" t="s">
        <v>4184</v>
      </c>
      <c r="E1529" s="5" t="s">
        <v>4185</v>
      </c>
      <c r="F1529" s="6" t="s">
        <v>4066</v>
      </c>
      <c r="G1529" s="6" t="s">
        <v>4067</v>
      </c>
    </row>
    <row r="1530" spans="1:7" ht="15.75" customHeight="1">
      <c r="A1530" s="3">
        <v>243331838</v>
      </c>
      <c r="B1530" s="4" t="s">
        <v>4186</v>
      </c>
      <c r="C1530" s="3" t="s">
        <v>4187</v>
      </c>
      <c r="D1530" s="3" t="s">
        <v>4188</v>
      </c>
      <c r="E1530" s="3" t="s">
        <v>4189</v>
      </c>
      <c r="F1530" s="4" t="s">
        <v>4066</v>
      </c>
      <c r="G1530" s="4" t="s">
        <v>4067</v>
      </c>
    </row>
    <row r="1531" spans="1:7" ht="15.75" customHeight="1">
      <c r="A1531" s="5">
        <v>243332468</v>
      </c>
      <c r="B1531" s="6" t="s">
        <v>4190</v>
      </c>
      <c r="C1531" s="5" t="s">
        <v>4191</v>
      </c>
      <c r="D1531" s="5" t="s">
        <v>4192</v>
      </c>
      <c r="E1531" s="5" t="s">
        <v>4193</v>
      </c>
      <c r="F1531" s="6" t="s">
        <v>4066</v>
      </c>
      <c r="G1531" s="6" t="s">
        <v>4067</v>
      </c>
    </row>
    <row r="1532" spans="1:7" ht="15.75" customHeight="1">
      <c r="A1532" s="3">
        <v>243308323</v>
      </c>
      <c r="B1532" s="4" t="s">
        <v>4174</v>
      </c>
      <c r="C1532" s="3" t="s">
        <v>4175</v>
      </c>
      <c r="D1532" s="3" t="s">
        <v>4176</v>
      </c>
      <c r="E1532" s="3" t="s">
        <v>4194</v>
      </c>
      <c r="F1532" s="4" t="s">
        <v>784</v>
      </c>
      <c r="G1532" s="4" t="s">
        <v>785</v>
      </c>
    </row>
    <row r="1533" spans="1:7" ht="15.75" customHeight="1">
      <c r="A1533" s="5">
        <v>243556885</v>
      </c>
      <c r="B1533" s="6" t="s">
        <v>4195</v>
      </c>
      <c r="C1533" s="5" t="s">
        <v>4196</v>
      </c>
      <c r="D1533" s="5" t="s">
        <v>4197</v>
      </c>
      <c r="E1533" s="5" t="s">
        <v>4198</v>
      </c>
      <c r="F1533" s="6" t="s">
        <v>4066</v>
      </c>
      <c r="G1533" s="6" t="s">
        <v>4067</v>
      </c>
    </row>
    <row r="1534" spans="1:7" ht="15.75" customHeight="1">
      <c r="A1534" s="3">
        <v>243573300</v>
      </c>
      <c r="B1534" s="4" t="s">
        <v>4199</v>
      </c>
      <c r="C1534" s="3" t="s">
        <v>4200</v>
      </c>
      <c r="D1534" s="3" t="s">
        <v>4201</v>
      </c>
      <c r="E1534" s="3" t="s">
        <v>4202</v>
      </c>
      <c r="F1534" s="4" t="s">
        <v>4066</v>
      </c>
      <c r="G1534" s="4" t="s">
        <v>4067</v>
      </c>
    </row>
    <row r="1535" spans="1:7" ht="15.75" customHeight="1">
      <c r="A1535" s="5">
        <v>243666167</v>
      </c>
      <c r="B1535" s="6" t="s">
        <v>4203</v>
      </c>
      <c r="C1535" s="5" t="s">
        <v>4204</v>
      </c>
      <c r="D1535" s="5">
        <v>79168896315</v>
      </c>
      <c r="E1535" s="5" t="s">
        <v>4205</v>
      </c>
      <c r="F1535" s="6" t="s">
        <v>813</v>
      </c>
      <c r="G1535" s="6" t="s">
        <v>811</v>
      </c>
    </row>
    <row r="1536" spans="1:7" ht="15.75" customHeight="1">
      <c r="A1536" s="3">
        <v>243682479</v>
      </c>
      <c r="B1536" s="4" t="s">
        <v>4206</v>
      </c>
      <c r="C1536" s="3" t="s">
        <v>4207</v>
      </c>
      <c r="D1536" s="3" t="s">
        <v>4208</v>
      </c>
      <c r="E1536" s="3" t="s">
        <v>4209</v>
      </c>
      <c r="F1536" s="4" t="s">
        <v>4066</v>
      </c>
      <c r="G1536" s="4" t="s">
        <v>4067</v>
      </c>
    </row>
    <row r="1537" spans="1:7" ht="15.75" customHeight="1">
      <c r="A1537" s="5">
        <v>243761887</v>
      </c>
      <c r="B1537" s="6" t="s">
        <v>4210</v>
      </c>
      <c r="C1537" s="5" t="s">
        <v>4211</v>
      </c>
      <c r="D1537" s="5">
        <v>79257405011</v>
      </c>
      <c r="E1537" s="5" t="s">
        <v>4212</v>
      </c>
      <c r="F1537" s="6" t="s">
        <v>813</v>
      </c>
      <c r="G1537" s="6" t="s">
        <v>811</v>
      </c>
    </row>
    <row r="1538" spans="1:7" ht="15.75" customHeight="1">
      <c r="A1538" s="3">
        <v>243794716</v>
      </c>
      <c r="B1538" s="4" t="s">
        <v>4213</v>
      </c>
      <c r="C1538" s="3" t="s">
        <v>4214</v>
      </c>
      <c r="D1538" s="3" t="s">
        <v>4215</v>
      </c>
      <c r="E1538" s="3" t="s">
        <v>4216</v>
      </c>
      <c r="F1538" s="4" t="s">
        <v>4066</v>
      </c>
      <c r="G1538" s="4" t="s">
        <v>4067</v>
      </c>
    </row>
    <row r="1539" spans="1:7" ht="15.75" customHeight="1">
      <c r="A1539" s="5">
        <v>243833074</v>
      </c>
      <c r="B1539" s="6" t="s">
        <v>4217</v>
      </c>
      <c r="C1539" s="5" t="s">
        <v>4218</v>
      </c>
      <c r="D1539" s="5" t="s">
        <v>4219</v>
      </c>
      <c r="E1539" s="5" t="s">
        <v>4220</v>
      </c>
      <c r="F1539" s="6" t="s">
        <v>4066</v>
      </c>
      <c r="G1539" s="6" t="s">
        <v>4067</v>
      </c>
    </row>
    <row r="1540" spans="1:7" ht="15.75" customHeight="1">
      <c r="A1540" s="3">
        <v>243845909</v>
      </c>
      <c r="B1540" s="4" t="s">
        <v>4221</v>
      </c>
      <c r="C1540" s="3" t="s">
        <v>4222</v>
      </c>
      <c r="D1540" s="3" t="s">
        <v>4223</v>
      </c>
      <c r="E1540" s="3" t="s">
        <v>4224</v>
      </c>
      <c r="F1540" s="4" t="s">
        <v>956</v>
      </c>
      <c r="G1540" s="4" t="s">
        <v>901</v>
      </c>
    </row>
    <row r="1541" spans="1:7" ht="15.75" customHeight="1">
      <c r="A1541" s="5">
        <v>243858140</v>
      </c>
      <c r="B1541" s="6" t="s">
        <v>4225</v>
      </c>
      <c r="C1541" s="5" t="s">
        <v>4226</v>
      </c>
      <c r="D1541" s="5">
        <v>79852800034</v>
      </c>
      <c r="E1541" s="5" t="s">
        <v>4227</v>
      </c>
      <c r="F1541" s="6" t="s">
        <v>813</v>
      </c>
      <c r="G1541" s="6" t="s">
        <v>811</v>
      </c>
    </row>
    <row r="1542" spans="1:7" ht="15.75" customHeight="1">
      <c r="A1542" s="3">
        <v>243872497</v>
      </c>
      <c r="B1542" s="4" t="s">
        <v>4228</v>
      </c>
      <c r="C1542" s="3" t="s">
        <v>4229</v>
      </c>
      <c r="D1542" s="3" t="s">
        <v>4230</v>
      </c>
      <c r="E1542" s="3" t="s">
        <v>4231</v>
      </c>
      <c r="F1542" s="4" t="s">
        <v>912</v>
      </c>
      <c r="G1542" s="4" t="s">
        <v>913</v>
      </c>
    </row>
    <row r="1543" spans="1:7" ht="15.75" customHeight="1">
      <c r="A1543" s="5">
        <v>243968791</v>
      </c>
      <c r="B1543" s="6" t="s">
        <v>4232</v>
      </c>
      <c r="C1543" s="5" t="s">
        <v>4233</v>
      </c>
      <c r="D1543" s="5" t="s">
        <v>4234</v>
      </c>
      <c r="E1543" s="5" t="s">
        <v>4235</v>
      </c>
      <c r="F1543" s="6" t="s">
        <v>1484</v>
      </c>
      <c r="G1543" s="6" t="s">
        <v>1485</v>
      </c>
    </row>
    <row r="1544" spans="1:7" ht="15.75" customHeight="1">
      <c r="A1544" s="3">
        <v>243996579</v>
      </c>
      <c r="B1544" s="4" t="s">
        <v>4236</v>
      </c>
      <c r="C1544" s="3" t="s">
        <v>4237</v>
      </c>
      <c r="D1544" s="3" t="s">
        <v>4238</v>
      </c>
      <c r="E1544" s="3" t="s">
        <v>4239</v>
      </c>
      <c r="F1544" s="4" t="s">
        <v>912</v>
      </c>
      <c r="G1544" s="4" t="s">
        <v>913</v>
      </c>
    </row>
    <row r="1545" spans="1:7" ht="15.75" customHeight="1">
      <c r="A1545" s="5">
        <v>244056287</v>
      </c>
      <c r="B1545" s="6" t="s">
        <v>4240</v>
      </c>
      <c r="C1545" s="5" t="s">
        <v>4241</v>
      </c>
      <c r="D1545" s="5" t="s">
        <v>4242</v>
      </c>
      <c r="E1545" s="5" t="s">
        <v>4243</v>
      </c>
      <c r="F1545" s="6" t="s">
        <v>813</v>
      </c>
      <c r="G1545" s="6" t="s">
        <v>811</v>
      </c>
    </row>
    <row r="1546" spans="1:7" ht="15.75" customHeight="1">
      <c r="A1546" s="3">
        <v>244106413</v>
      </c>
      <c r="B1546" s="4" t="s">
        <v>4244</v>
      </c>
      <c r="C1546" s="3" t="s">
        <v>4245</v>
      </c>
      <c r="D1546" s="3" t="s">
        <v>4246</v>
      </c>
      <c r="E1546" s="3" t="s">
        <v>4247</v>
      </c>
      <c r="F1546" s="4" t="s">
        <v>784</v>
      </c>
      <c r="G1546" s="4" t="s">
        <v>785</v>
      </c>
    </row>
    <row r="1547" spans="1:7" ht="15.75" customHeight="1">
      <c r="A1547" s="5">
        <v>243803925</v>
      </c>
      <c r="B1547" s="6" t="s">
        <v>4248</v>
      </c>
      <c r="C1547" s="5" t="s">
        <v>4249</v>
      </c>
      <c r="D1547" s="5" t="s">
        <v>4250</v>
      </c>
      <c r="E1547" s="5" t="s">
        <v>4251</v>
      </c>
      <c r="F1547" s="6" t="s">
        <v>936</v>
      </c>
      <c r="G1547" s="6" t="s">
        <v>937</v>
      </c>
    </row>
    <row r="1548" spans="1:7" ht="15.75" customHeight="1">
      <c r="A1548" s="3">
        <v>244423255</v>
      </c>
      <c r="B1548" s="4" t="s">
        <v>4252</v>
      </c>
      <c r="C1548" s="3" t="s">
        <v>4253</v>
      </c>
      <c r="D1548" s="3" t="s">
        <v>4254</v>
      </c>
      <c r="E1548" s="3" t="s">
        <v>4255</v>
      </c>
      <c r="F1548" s="4" t="s">
        <v>956</v>
      </c>
      <c r="G1548" s="4" t="s">
        <v>901</v>
      </c>
    </row>
    <row r="1549" spans="1:7" ht="15.75" customHeight="1">
      <c r="A1549" s="5">
        <v>244440948</v>
      </c>
      <c r="B1549" s="6" t="s">
        <v>4256</v>
      </c>
      <c r="C1549" s="5" t="s">
        <v>4257</v>
      </c>
      <c r="D1549" s="5" t="s">
        <v>4258</v>
      </c>
      <c r="E1549" s="5" t="s">
        <v>4259</v>
      </c>
      <c r="F1549" s="6" t="s">
        <v>924</v>
      </c>
      <c r="G1549" s="6" t="s">
        <v>925</v>
      </c>
    </row>
    <row r="1550" spans="1:7" ht="15.75" customHeight="1">
      <c r="A1550" s="3">
        <v>244441354</v>
      </c>
      <c r="B1550" s="4" t="s">
        <v>4260</v>
      </c>
      <c r="C1550" s="3" t="s">
        <v>4261</v>
      </c>
      <c r="D1550" s="3" t="s">
        <v>4262</v>
      </c>
      <c r="E1550" s="3" t="s">
        <v>4263</v>
      </c>
      <c r="F1550" s="4" t="s">
        <v>784</v>
      </c>
      <c r="G1550" s="4" t="s">
        <v>785</v>
      </c>
    </row>
    <row r="1551" spans="1:7" ht="15.75" customHeight="1">
      <c r="A1551" s="5">
        <v>244475594</v>
      </c>
      <c r="B1551" s="6" t="s">
        <v>4264</v>
      </c>
      <c r="C1551" s="5" t="s">
        <v>4265</v>
      </c>
      <c r="D1551" s="5" t="s">
        <v>4266</v>
      </c>
      <c r="E1551" s="5" t="s">
        <v>4267</v>
      </c>
      <c r="F1551" s="6" t="s">
        <v>924</v>
      </c>
      <c r="G1551" s="6" t="s">
        <v>925</v>
      </c>
    </row>
    <row r="1552" spans="1:7" ht="15.75" customHeight="1">
      <c r="A1552" s="3">
        <v>244697698</v>
      </c>
      <c r="B1552" s="4" t="s">
        <v>4268</v>
      </c>
      <c r="C1552" s="3" t="s">
        <v>4269</v>
      </c>
      <c r="D1552" s="3" t="s">
        <v>4270</v>
      </c>
      <c r="E1552" s="3" t="s">
        <v>4271</v>
      </c>
      <c r="F1552" s="4" t="s">
        <v>1484</v>
      </c>
      <c r="G1552" s="4" t="s">
        <v>1485</v>
      </c>
    </row>
    <row r="1553" spans="1:7" ht="15.75" customHeight="1">
      <c r="A1553" s="5">
        <v>244716913</v>
      </c>
      <c r="B1553" s="6" t="s">
        <v>4272</v>
      </c>
      <c r="C1553" s="5" t="s">
        <v>4273</v>
      </c>
      <c r="D1553" s="5" t="s">
        <v>4274</v>
      </c>
      <c r="E1553" s="5" t="s">
        <v>4275</v>
      </c>
      <c r="F1553" s="6" t="s">
        <v>936</v>
      </c>
      <c r="G1553" s="6" t="s">
        <v>937</v>
      </c>
    </row>
    <row r="1554" spans="1:7" ht="15.75" customHeight="1">
      <c r="A1554" s="3">
        <v>244811575</v>
      </c>
      <c r="B1554" s="4" t="s">
        <v>4276</v>
      </c>
      <c r="C1554" s="3" t="s">
        <v>4277</v>
      </c>
      <c r="D1554" s="3">
        <v>79183067117</v>
      </c>
      <c r="E1554" s="3" t="s">
        <v>4278</v>
      </c>
      <c r="F1554" s="4" t="s">
        <v>1345</v>
      </c>
      <c r="G1554" s="4" t="s">
        <v>1346</v>
      </c>
    </row>
    <row r="1555" spans="1:7" ht="15.75" customHeight="1">
      <c r="A1555" s="5">
        <v>245051823</v>
      </c>
      <c r="B1555" s="6" t="s">
        <v>4279</v>
      </c>
      <c r="C1555" s="5" t="s">
        <v>4280</v>
      </c>
      <c r="D1555" s="5" t="s">
        <v>4281</v>
      </c>
      <c r="E1555" s="5" t="s">
        <v>4282</v>
      </c>
      <c r="F1555" s="6" t="s">
        <v>936</v>
      </c>
      <c r="G1555" s="6" t="s">
        <v>937</v>
      </c>
    </row>
    <row r="1556" spans="1:7" ht="15.75" customHeight="1">
      <c r="A1556" s="3">
        <v>245064862</v>
      </c>
      <c r="B1556" s="4" t="s">
        <v>4283</v>
      </c>
      <c r="C1556" s="3" t="s">
        <v>4284</v>
      </c>
      <c r="D1556" s="3" t="s">
        <v>4285</v>
      </c>
      <c r="E1556" s="3" t="s">
        <v>4286</v>
      </c>
      <c r="F1556" s="4" t="s">
        <v>141</v>
      </c>
      <c r="G1556" s="4" t="s">
        <v>56</v>
      </c>
    </row>
    <row r="1557" spans="1:7" ht="15.75" customHeight="1">
      <c r="A1557" s="5">
        <v>245066677</v>
      </c>
      <c r="B1557" s="6" t="s">
        <v>4287</v>
      </c>
      <c r="C1557" s="5" t="s">
        <v>4288</v>
      </c>
      <c r="D1557" s="5" t="s">
        <v>4289</v>
      </c>
      <c r="E1557" s="5" t="s">
        <v>4290</v>
      </c>
      <c r="F1557" s="6" t="s">
        <v>936</v>
      </c>
      <c r="G1557" s="6" t="s">
        <v>937</v>
      </c>
    </row>
    <row r="1558" spans="1:7" ht="15.75" customHeight="1">
      <c r="A1558" s="3">
        <v>245103509</v>
      </c>
      <c r="B1558" s="4" t="s">
        <v>4291</v>
      </c>
      <c r="C1558" s="3" t="s">
        <v>4292</v>
      </c>
      <c r="D1558" s="3" t="s">
        <v>4293</v>
      </c>
      <c r="E1558" s="3" t="s">
        <v>4294</v>
      </c>
      <c r="F1558" s="4" t="s">
        <v>70</v>
      </c>
      <c r="G1558" s="4" t="s">
        <v>71</v>
      </c>
    </row>
    <row r="1559" spans="1:7" ht="15.75" customHeight="1">
      <c r="A1559" s="5">
        <v>245113319</v>
      </c>
      <c r="B1559" s="6" t="s">
        <v>4295</v>
      </c>
      <c r="C1559" s="5" t="s">
        <v>4296</v>
      </c>
      <c r="D1559" s="5" t="s">
        <v>4297</v>
      </c>
      <c r="E1559" s="5" t="s">
        <v>4298</v>
      </c>
      <c r="F1559" s="6" t="s">
        <v>936</v>
      </c>
      <c r="G1559" s="6" t="s">
        <v>937</v>
      </c>
    </row>
    <row r="1560" spans="1:7" ht="15.75" customHeight="1">
      <c r="A1560" s="3">
        <v>245156900</v>
      </c>
      <c r="B1560" s="4" t="s">
        <v>4299</v>
      </c>
      <c r="C1560" s="3" t="s">
        <v>4300</v>
      </c>
      <c r="D1560" s="3">
        <v>79650086560</v>
      </c>
      <c r="E1560" s="3" t="s">
        <v>4301</v>
      </c>
      <c r="F1560" s="4" t="s">
        <v>784</v>
      </c>
      <c r="G1560" s="4" t="s">
        <v>785</v>
      </c>
    </row>
    <row r="1561" spans="1:7" ht="15.75" customHeight="1">
      <c r="A1561" s="5">
        <v>245207972</v>
      </c>
      <c r="B1561" s="6" t="s">
        <v>4302</v>
      </c>
      <c r="C1561" s="5" t="s">
        <v>4303</v>
      </c>
      <c r="D1561" s="5" t="s">
        <v>4304</v>
      </c>
      <c r="E1561" s="5" t="s">
        <v>4305</v>
      </c>
      <c r="F1561" s="6" t="s">
        <v>4306</v>
      </c>
      <c r="G1561" s="6" t="s">
        <v>282</v>
      </c>
    </row>
    <row r="1562" spans="1:7" ht="15.75" customHeight="1">
      <c r="A1562" s="3">
        <v>245249063</v>
      </c>
      <c r="B1562" s="4" t="s">
        <v>4307</v>
      </c>
      <c r="C1562" s="3" t="s">
        <v>4308</v>
      </c>
      <c r="D1562" s="3" t="s">
        <v>4309</v>
      </c>
      <c r="E1562" s="3" t="s">
        <v>4310</v>
      </c>
      <c r="F1562" s="4" t="s">
        <v>4306</v>
      </c>
      <c r="G1562" s="4" t="s">
        <v>282</v>
      </c>
    </row>
    <row r="1563" spans="1:7" ht="15.75" customHeight="1">
      <c r="A1563" s="5">
        <v>245346481</v>
      </c>
      <c r="B1563" s="6" t="s">
        <v>4311</v>
      </c>
      <c r="C1563" s="5" t="s">
        <v>4312</v>
      </c>
      <c r="D1563" s="5" t="s">
        <v>4313</v>
      </c>
      <c r="E1563" s="5" t="s">
        <v>4314</v>
      </c>
      <c r="F1563" s="6" t="s">
        <v>4306</v>
      </c>
      <c r="G1563" s="6" t="s">
        <v>282</v>
      </c>
    </row>
    <row r="1564" spans="1:7" ht="15.75" customHeight="1">
      <c r="A1564" s="3">
        <v>245382849</v>
      </c>
      <c r="B1564" s="4" t="s">
        <v>4315</v>
      </c>
      <c r="C1564" s="3" t="s">
        <v>4316</v>
      </c>
      <c r="D1564" s="3" t="s">
        <v>4317</v>
      </c>
      <c r="E1564" s="3" t="s">
        <v>4318</v>
      </c>
      <c r="F1564" s="4" t="s">
        <v>4306</v>
      </c>
      <c r="G1564" s="4" t="s">
        <v>282</v>
      </c>
    </row>
    <row r="1565" spans="1:7" ht="15.75" customHeight="1">
      <c r="A1565" s="5">
        <v>245459725</v>
      </c>
      <c r="B1565" s="6" t="s">
        <v>4319</v>
      </c>
      <c r="C1565" s="5" t="s">
        <v>4320</v>
      </c>
      <c r="D1565" s="5" t="s">
        <v>4321</v>
      </c>
      <c r="E1565" s="5" t="s">
        <v>4322</v>
      </c>
      <c r="F1565" s="6" t="s">
        <v>956</v>
      </c>
      <c r="G1565" s="6" t="s">
        <v>901</v>
      </c>
    </row>
    <row r="1566" spans="1:7" ht="15.75" customHeight="1">
      <c r="A1566" s="3">
        <v>245501868</v>
      </c>
      <c r="B1566" s="4" t="s">
        <v>4323</v>
      </c>
      <c r="C1566" s="3" t="s">
        <v>4324</v>
      </c>
      <c r="D1566" s="3" t="s">
        <v>4325</v>
      </c>
      <c r="E1566" s="3" t="s">
        <v>4326</v>
      </c>
      <c r="F1566" s="4" t="s">
        <v>936</v>
      </c>
      <c r="G1566" s="4" t="s">
        <v>937</v>
      </c>
    </row>
    <row r="1567" spans="1:7" ht="15.75" customHeight="1">
      <c r="A1567" s="5">
        <v>241989434</v>
      </c>
      <c r="B1567" s="6" t="s">
        <v>4117</v>
      </c>
      <c r="C1567" s="5" t="s">
        <v>4118</v>
      </c>
      <c r="D1567" s="5">
        <v>79160284757</v>
      </c>
      <c r="E1567" s="5" t="s">
        <v>4327</v>
      </c>
      <c r="F1567" s="6" t="s">
        <v>4306</v>
      </c>
      <c r="G1567" s="6" t="s">
        <v>282</v>
      </c>
    </row>
    <row r="1568" spans="1:7" ht="15.75" customHeight="1">
      <c r="A1568" s="3">
        <v>245004614</v>
      </c>
      <c r="B1568" s="4" t="s">
        <v>4328</v>
      </c>
      <c r="C1568" s="3" t="s">
        <v>4329</v>
      </c>
      <c r="D1568" s="3" t="s">
        <v>4330</v>
      </c>
      <c r="E1568" s="3" t="s">
        <v>4331</v>
      </c>
      <c r="F1568" s="4" t="s">
        <v>4332</v>
      </c>
      <c r="G1568" s="4" t="s">
        <v>4333</v>
      </c>
    </row>
    <row r="1569" spans="1:7" ht="15.75" customHeight="1">
      <c r="A1569" s="5">
        <v>245791651</v>
      </c>
      <c r="B1569" s="6" t="s">
        <v>4334</v>
      </c>
      <c r="C1569" s="5" t="s">
        <v>4335</v>
      </c>
      <c r="D1569" s="5" t="s">
        <v>4336</v>
      </c>
      <c r="E1569" s="5" t="s">
        <v>4337</v>
      </c>
      <c r="F1569" s="6" t="s">
        <v>960</v>
      </c>
      <c r="G1569" s="6" t="s">
        <v>961</v>
      </c>
    </row>
    <row r="1570" spans="1:7" ht="15.75" customHeight="1">
      <c r="A1570" s="3">
        <v>245813630</v>
      </c>
      <c r="B1570" s="4" t="s">
        <v>4338</v>
      </c>
      <c r="C1570" s="3" t="s">
        <v>4339</v>
      </c>
      <c r="D1570" s="3" t="s">
        <v>4340</v>
      </c>
      <c r="E1570" s="3" t="s">
        <v>4341</v>
      </c>
      <c r="F1570" s="4" t="s">
        <v>960</v>
      </c>
      <c r="G1570" s="4" t="s">
        <v>961</v>
      </c>
    </row>
    <row r="1571" spans="1:7" ht="15.75" customHeight="1">
      <c r="A1571" s="5">
        <v>245813922</v>
      </c>
      <c r="B1571" s="6" t="s">
        <v>4342</v>
      </c>
      <c r="C1571" s="5" t="s">
        <v>4343</v>
      </c>
      <c r="D1571" s="5" t="s">
        <v>4344</v>
      </c>
      <c r="E1571" s="5" t="s">
        <v>4345</v>
      </c>
      <c r="F1571" s="6" t="s">
        <v>960</v>
      </c>
      <c r="G1571" s="6" t="s">
        <v>961</v>
      </c>
    </row>
    <row r="1572" spans="1:7" ht="15.75" customHeight="1">
      <c r="A1572" s="3">
        <v>245822401</v>
      </c>
      <c r="B1572" s="4" t="s">
        <v>4346</v>
      </c>
      <c r="C1572" s="3" t="s">
        <v>4347</v>
      </c>
      <c r="D1572" s="3">
        <v>87786999562</v>
      </c>
      <c r="E1572" s="3" t="s">
        <v>4348</v>
      </c>
      <c r="F1572" s="4" t="s">
        <v>949</v>
      </c>
      <c r="G1572" s="4" t="s">
        <v>950</v>
      </c>
    </row>
    <row r="1573" spans="1:7" ht="15.75" customHeight="1">
      <c r="A1573" s="5">
        <v>245824294</v>
      </c>
      <c r="B1573" s="6" t="s">
        <v>230</v>
      </c>
      <c r="C1573" s="5" t="s">
        <v>4349</v>
      </c>
      <c r="D1573" s="5">
        <v>79049860544</v>
      </c>
      <c r="E1573" s="5" t="s">
        <v>4350</v>
      </c>
      <c r="F1573" s="6" t="s">
        <v>949</v>
      </c>
      <c r="G1573" s="6" t="s">
        <v>950</v>
      </c>
    </row>
    <row r="1574" spans="1:7" ht="15.75" customHeight="1">
      <c r="A1574" s="3">
        <v>245829969</v>
      </c>
      <c r="B1574" s="4" t="s">
        <v>4351</v>
      </c>
      <c r="C1574" s="3" t="s">
        <v>4352</v>
      </c>
      <c r="D1574" s="3">
        <v>79194067073</v>
      </c>
      <c r="E1574" s="3" t="s">
        <v>4353</v>
      </c>
      <c r="F1574" s="4" t="s">
        <v>960</v>
      </c>
      <c r="G1574" s="4" t="s">
        <v>961</v>
      </c>
    </row>
    <row r="1575" spans="1:7" ht="15.75" customHeight="1">
      <c r="A1575" s="5">
        <v>245850556</v>
      </c>
      <c r="B1575" s="6" t="s">
        <v>4354</v>
      </c>
      <c r="C1575" s="5" t="s">
        <v>4355</v>
      </c>
      <c r="D1575" s="5" t="s">
        <v>4356</v>
      </c>
      <c r="E1575" s="5" t="s">
        <v>4357</v>
      </c>
      <c r="F1575" s="6" t="s">
        <v>949</v>
      </c>
      <c r="G1575" s="6" t="s">
        <v>950</v>
      </c>
    </row>
    <row r="1576" spans="1:7" ht="15.75" customHeight="1">
      <c r="A1576" s="3">
        <v>245865513</v>
      </c>
      <c r="B1576" s="4" t="s">
        <v>1500</v>
      </c>
      <c r="C1576" s="3" t="s">
        <v>4358</v>
      </c>
      <c r="D1576" s="3" t="s">
        <v>4359</v>
      </c>
      <c r="E1576" s="3" t="s">
        <v>4360</v>
      </c>
      <c r="F1576" s="4" t="s">
        <v>960</v>
      </c>
      <c r="G1576" s="4" t="s">
        <v>961</v>
      </c>
    </row>
    <row r="1577" spans="1:7" ht="15.75" customHeight="1">
      <c r="A1577" s="5">
        <v>245866731</v>
      </c>
      <c r="B1577" s="6" t="s">
        <v>4361</v>
      </c>
      <c r="C1577" s="5" t="s">
        <v>4362</v>
      </c>
      <c r="D1577" s="5" t="s">
        <v>4363</v>
      </c>
      <c r="E1577" s="5" t="s">
        <v>4364</v>
      </c>
      <c r="F1577" s="6" t="s">
        <v>960</v>
      </c>
      <c r="G1577" s="6" t="s">
        <v>961</v>
      </c>
    </row>
    <row r="1578" spans="1:7" ht="15.75" customHeight="1">
      <c r="A1578" s="3">
        <v>245882148</v>
      </c>
      <c r="B1578" s="4" t="s">
        <v>4365</v>
      </c>
      <c r="C1578" s="3" t="s">
        <v>4366</v>
      </c>
      <c r="D1578" s="3">
        <v>79780837648</v>
      </c>
      <c r="E1578" s="3" t="s">
        <v>4367</v>
      </c>
      <c r="F1578" s="4" t="s">
        <v>960</v>
      </c>
      <c r="G1578" s="4" t="s">
        <v>961</v>
      </c>
    </row>
    <row r="1579" spans="1:7" ht="15.75" customHeight="1">
      <c r="A1579" s="5">
        <v>245896191</v>
      </c>
      <c r="B1579" s="6" t="s">
        <v>4368</v>
      </c>
      <c r="C1579" s="5" t="s">
        <v>4369</v>
      </c>
      <c r="D1579" s="5" t="s">
        <v>4370</v>
      </c>
      <c r="E1579" s="5" t="s">
        <v>4371</v>
      </c>
      <c r="F1579" s="6" t="s">
        <v>960</v>
      </c>
      <c r="G1579" s="6" t="s">
        <v>961</v>
      </c>
    </row>
    <row r="1580" spans="1:7" ht="15.75" customHeight="1">
      <c r="A1580" s="3">
        <v>245903693</v>
      </c>
      <c r="B1580" s="4" t="s">
        <v>4372</v>
      </c>
      <c r="C1580" s="3" t="s">
        <v>4373</v>
      </c>
      <c r="D1580" s="3" t="s">
        <v>4374</v>
      </c>
      <c r="E1580" s="3" t="s">
        <v>4375</v>
      </c>
      <c r="F1580" s="4" t="s">
        <v>960</v>
      </c>
      <c r="G1580" s="4" t="s">
        <v>961</v>
      </c>
    </row>
    <row r="1581" spans="1:7" ht="15.75" customHeight="1">
      <c r="A1581" s="5">
        <v>245923150</v>
      </c>
      <c r="B1581" s="6" t="s">
        <v>4376</v>
      </c>
      <c r="C1581" s="5" t="s">
        <v>4377</v>
      </c>
      <c r="D1581" s="5" t="s">
        <v>4378</v>
      </c>
      <c r="E1581" s="5" t="s">
        <v>4379</v>
      </c>
      <c r="F1581" s="6" t="s">
        <v>960</v>
      </c>
      <c r="G1581" s="6" t="s">
        <v>961</v>
      </c>
    </row>
    <row r="1582" spans="1:7" ht="15.75" customHeight="1">
      <c r="A1582" s="3">
        <v>245927135</v>
      </c>
      <c r="B1582" s="4" t="s">
        <v>4380</v>
      </c>
      <c r="C1582" s="3" t="s">
        <v>4381</v>
      </c>
      <c r="D1582" s="3">
        <v>79183580605</v>
      </c>
      <c r="E1582" s="3" t="s">
        <v>4382</v>
      </c>
      <c r="F1582" s="4" t="s">
        <v>1484</v>
      </c>
      <c r="G1582" s="4" t="s">
        <v>1485</v>
      </c>
    </row>
    <row r="1583" spans="1:7" ht="15.75" customHeight="1">
      <c r="A1583" s="5">
        <v>245938280</v>
      </c>
      <c r="B1583" s="6" t="s">
        <v>4383</v>
      </c>
      <c r="C1583" s="5" t="s">
        <v>4384</v>
      </c>
      <c r="D1583" s="5" t="s">
        <v>4385</v>
      </c>
      <c r="E1583" s="5" t="s">
        <v>4386</v>
      </c>
      <c r="F1583" s="6" t="s">
        <v>960</v>
      </c>
      <c r="G1583" s="6" t="s">
        <v>961</v>
      </c>
    </row>
    <row r="1584" spans="1:7" ht="15.75" customHeight="1">
      <c r="A1584" s="3">
        <v>246049785</v>
      </c>
      <c r="B1584" s="4" t="s">
        <v>4387</v>
      </c>
      <c r="C1584" s="3" t="s">
        <v>4388</v>
      </c>
      <c r="D1584" s="3" t="s">
        <v>4389</v>
      </c>
      <c r="E1584" s="3" t="s">
        <v>4390</v>
      </c>
      <c r="F1584" s="4" t="s">
        <v>960</v>
      </c>
      <c r="G1584" s="4" t="s">
        <v>961</v>
      </c>
    </row>
    <row r="1585" spans="1:7" ht="15.75" customHeight="1">
      <c r="A1585" s="5">
        <v>246049936</v>
      </c>
      <c r="B1585" s="6" t="s">
        <v>4391</v>
      </c>
      <c r="C1585" s="5" t="s">
        <v>4392</v>
      </c>
      <c r="D1585" s="5" t="s">
        <v>4393</v>
      </c>
      <c r="E1585" s="5" t="s">
        <v>4394</v>
      </c>
      <c r="F1585" s="6" t="s">
        <v>949</v>
      </c>
      <c r="G1585" s="6" t="s">
        <v>950</v>
      </c>
    </row>
    <row r="1586" spans="1:7" ht="15.75" customHeight="1">
      <c r="A1586" s="3">
        <v>246064611</v>
      </c>
      <c r="B1586" s="4" t="s">
        <v>4395</v>
      </c>
      <c r="C1586" s="3" t="s">
        <v>4396</v>
      </c>
      <c r="D1586" s="3">
        <v>8909914333</v>
      </c>
      <c r="E1586" s="3" t="s">
        <v>4397</v>
      </c>
      <c r="F1586" s="4" t="s">
        <v>949</v>
      </c>
      <c r="G1586" s="4" t="s">
        <v>950</v>
      </c>
    </row>
    <row r="1587" spans="1:7" ht="15.75" customHeight="1">
      <c r="A1587" s="5">
        <v>246077490</v>
      </c>
      <c r="B1587" s="6" t="s">
        <v>4398</v>
      </c>
      <c r="C1587" s="5" t="s">
        <v>4399</v>
      </c>
      <c r="D1587" s="5" t="s">
        <v>4400</v>
      </c>
      <c r="E1587" s="5" t="s">
        <v>4401</v>
      </c>
      <c r="F1587" s="6" t="s">
        <v>949</v>
      </c>
      <c r="G1587" s="6" t="s">
        <v>950</v>
      </c>
    </row>
    <row r="1588" spans="1:7" ht="15.75" customHeight="1">
      <c r="A1588" s="3">
        <v>245824294</v>
      </c>
      <c r="B1588" s="4" t="s">
        <v>230</v>
      </c>
      <c r="C1588" s="3" t="s">
        <v>4349</v>
      </c>
      <c r="D1588" s="3">
        <v>79049860544</v>
      </c>
      <c r="E1588" s="3" t="s">
        <v>4402</v>
      </c>
      <c r="F1588" s="4" t="s">
        <v>1061</v>
      </c>
      <c r="G1588" s="4" t="s">
        <v>1048</v>
      </c>
    </row>
    <row r="1589" spans="1:7" ht="15.75" customHeight="1">
      <c r="A1589" s="5">
        <v>246092286</v>
      </c>
      <c r="B1589" s="6" t="s">
        <v>4403</v>
      </c>
      <c r="C1589" s="5" t="s">
        <v>4404</v>
      </c>
      <c r="D1589" s="5" t="s">
        <v>4405</v>
      </c>
      <c r="E1589" s="5" t="s">
        <v>4406</v>
      </c>
      <c r="F1589" s="6" t="s">
        <v>949</v>
      </c>
      <c r="G1589" s="6" t="s">
        <v>950</v>
      </c>
    </row>
    <row r="1590" spans="1:7" ht="15.75" customHeight="1">
      <c r="A1590" s="3">
        <v>246105019</v>
      </c>
      <c r="B1590" s="4" t="s">
        <v>4407</v>
      </c>
      <c r="C1590" s="3" t="s">
        <v>4408</v>
      </c>
      <c r="D1590" s="3" t="s">
        <v>4409</v>
      </c>
      <c r="E1590" s="3" t="s">
        <v>4410</v>
      </c>
      <c r="F1590" s="4" t="s">
        <v>936</v>
      </c>
      <c r="G1590" s="4" t="s">
        <v>937</v>
      </c>
    </row>
    <row r="1591" spans="1:7" ht="15.75" customHeight="1">
      <c r="A1591" s="5">
        <v>246110214</v>
      </c>
      <c r="B1591" s="6" t="s">
        <v>4411</v>
      </c>
      <c r="C1591" s="5" t="s">
        <v>4412</v>
      </c>
      <c r="D1591" s="5">
        <v>79262229771</v>
      </c>
      <c r="E1591" s="5" t="s">
        <v>4413</v>
      </c>
      <c r="F1591" s="6" t="s">
        <v>4306</v>
      </c>
      <c r="G1591" s="6" t="s">
        <v>282</v>
      </c>
    </row>
    <row r="1592" spans="1:7" ht="15.75" customHeight="1">
      <c r="A1592" s="3">
        <v>246114037</v>
      </c>
      <c r="B1592" s="4" t="s">
        <v>4414</v>
      </c>
      <c r="C1592" s="3" t="s">
        <v>4415</v>
      </c>
      <c r="D1592" s="3" t="s">
        <v>4416</v>
      </c>
      <c r="E1592" s="3" t="s">
        <v>4417</v>
      </c>
      <c r="F1592" s="4" t="s">
        <v>960</v>
      </c>
      <c r="G1592" s="4" t="s">
        <v>961</v>
      </c>
    </row>
    <row r="1593" spans="1:7" ht="15.75" customHeight="1">
      <c r="A1593" s="5">
        <v>246114577</v>
      </c>
      <c r="B1593" s="6" t="s">
        <v>4418</v>
      </c>
      <c r="C1593" s="5" t="s">
        <v>4419</v>
      </c>
      <c r="D1593" s="5" t="s">
        <v>4420</v>
      </c>
      <c r="E1593" s="5" t="s">
        <v>4421</v>
      </c>
      <c r="F1593" s="6" t="s">
        <v>960</v>
      </c>
      <c r="G1593" s="6" t="s">
        <v>961</v>
      </c>
    </row>
    <row r="1594" spans="1:7" ht="15.75" customHeight="1">
      <c r="A1594" s="3">
        <v>246114872</v>
      </c>
      <c r="B1594" s="4" t="s">
        <v>4422</v>
      </c>
      <c r="C1594" s="3" t="s">
        <v>4423</v>
      </c>
      <c r="D1594" s="3" t="s">
        <v>4424</v>
      </c>
      <c r="E1594" s="3" t="s">
        <v>4425</v>
      </c>
      <c r="F1594" s="4" t="s">
        <v>960</v>
      </c>
      <c r="G1594" s="4" t="s">
        <v>961</v>
      </c>
    </row>
    <row r="1595" spans="1:7" ht="15.75" customHeight="1">
      <c r="A1595" s="5">
        <v>246120293</v>
      </c>
      <c r="B1595" s="6" t="s">
        <v>4426</v>
      </c>
      <c r="C1595" s="5" t="s">
        <v>4427</v>
      </c>
      <c r="D1595" s="5" t="s">
        <v>4428</v>
      </c>
      <c r="E1595" s="5" t="s">
        <v>4429</v>
      </c>
      <c r="F1595" s="6" t="s">
        <v>960</v>
      </c>
      <c r="G1595" s="6" t="s">
        <v>961</v>
      </c>
    </row>
    <row r="1596" spans="1:7" ht="15.75" customHeight="1">
      <c r="A1596" s="3">
        <v>246138787</v>
      </c>
      <c r="B1596" s="4" t="s">
        <v>4430</v>
      </c>
      <c r="C1596" s="3" t="s">
        <v>4431</v>
      </c>
      <c r="D1596" s="3" t="s">
        <v>4432</v>
      </c>
      <c r="E1596" s="3" t="s">
        <v>4433</v>
      </c>
      <c r="F1596" s="4" t="s">
        <v>960</v>
      </c>
      <c r="G1596" s="4" t="s">
        <v>961</v>
      </c>
    </row>
    <row r="1597" spans="1:7" ht="15.75" customHeight="1">
      <c r="A1597" s="5">
        <v>246144362</v>
      </c>
      <c r="B1597" s="6" t="s">
        <v>4434</v>
      </c>
      <c r="C1597" s="5" t="s">
        <v>4435</v>
      </c>
      <c r="D1597" s="5">
        <v>79897098175</v>
      </c>
      <c r="E1597" s="5" t="s">
        <v>4436</v>
      </c>
      <c r="F1597" s="6" t="s">
        <v>960</v>
      </c>
      <c r="G1597" s="6" t="s">
        <v>961</v>
      </c>
    </row>
    <row r="1598" spans="1:7" ht="15.75" customHeight="1">
      <c r="A1598" s="3">
        <v>246146430</v>
      </c>
      <c r="B1598" s="4" t="s">
        <v>4437</v>
      </c>
      <c r="C1598" s="3" t="s">
        <v>4438</v>
      </c>
      <c r="D1598" s="3" t="s">
        <v>4439</v>
      </c>
      <c r="E1598" s="3" t="s">
        <v>4440</v>
      </c>
      <c r="F1598" s="4" t="s">
        <v>960</v>
      </c>
      <c r="G1598" s="4" t="s">
        <v>961</v>
      </c>
    </row>
    <row r="1599" spans="1:7" ht="15.75" customHeight="1">
      <c r="A1599" s="5">
        <v>246148985</v>
      </c>
      <c r="B1599" s="6" t="s">
        <v>4441</v>
      </c>
      <c r="C1599" s="5" t="s">
        <v>4442</v>
      </c>
      <c r="D1599" s="5" t="s">
        <v>4443</v>
      </c>
      <c r="E1599" s="5" t="s">
        <v>4444</v>
      </c>
      <c r="F1599" s="6" t="s">
        <v>960</v>
      </c>
      <c r="G1599" s="6" t="s">
        <v>961</v>
      </c>
    </row>
    <row r="1600" spans="1:7" ht="15.75" customHeight="1">
      <c r="A1600" s="3">
        <v>246149127</v>
      </c>
      <c r="B1600" s="4" t="s">
        <v>4445</v>
      </c>
      <c r="C1600" s="3" t="s">
        <v>4446</v>
      </c>
      <c r="D1600" s="3" t="s">
        <v>4447</v>
      </c>
      <c r="E1600" s="3" t="s">
        <v>4448</v>
      </c>
      <c r="F1600" s="4" t="s">
        <v>960</v>
      </c>
      <c r="G1600" s="4" t="s">
        <v>961</v>
      </c>
    </row>
    <row r="1601" spans="1:7" ht="15.75" customHeight="1">
      <c r="A1601" s="5">
        <v>246149337</v>
      </c>
      <c r="B1601" s="6" t="s">
        <v>4449</v>
      </c>
      <c r="C1601" s="5" t="s">
        <v>4450</v>
      </c>
      <c r="D1601" s="5">
        <v>79271322355</v>
      </c>
      <c r="E1601" s="5" t="s">
        <v>4451</v>
      </c>
      <c r="F1601" s="6" t="s">
        <v>960</v>
      </c>
      <c r="G1601" s="6" t="s">
        <v>961</v>
      </c>
    </row>
    <row r="1602" spans="1:7" ht="15.75" customHeight="1">
      <c r="A1602" s="3">
        <v>246149912</v>
      </c>
      <c r="B1602" s="4" t="s">
        <v>4452</v>
      </c>
      <c r="C1602" s="3" t="s">
        <v>4453</v>
      </c>
      <c r="D1602" s="3" t="s">
        <v>4454</v>
      </c>
      <c r="E1602" s="3" t="s">
        <v>4455</v>
      </c>
      <c r="F1602" s="4" t="s">
        <v>960</v>
      </c>
      <c r="G1602" s="4" t="s">
        <v>961</v>
      </c>
    </row>
    <row r="1603" spans="1:7" ht="15.75" customHeight="1">
      <c r="A1603" s="5">
        <v>246150047</v>
      </c>
      <c r="B1603" s="6" t="s">
        <v>4456</v>
      </c>
      <c r="C1603" s="5" t="s">
        <v>4457</v>
      </c>
      <c r="D1603" s="5" t="s">
        <v>4458</v>
      </c>
      <c r="E1603" s="5" t="s">
        <v>4459</v>
      </c>
      <c r="F1603" s="6" t="s">
        <v>960</v>
      </c>
      <c r="G1603" s="6" t="s">
        <v>961</v>
      </c>
    </row>
    <row r="1604" spans="1:7" ht="15.75" customHeight="1">
      <c r="A1604" s="3">
        <v>246150198</v>
      </c>
      <c r="B1604" s="4" t="s">
        <v>4460</v>
      </c>
      <c r="C1604" s="3" t="s">
        <v>4461</v>
      </c>
      <c r="D1604" s="3" t="s">
        <v>4462</v>
      </c>
      <c r="E1604" s="3" t="s">
        <v>4463</v>
      </c>
      <c r="F1604" s="4" t="s">
        <v>960</v>
      </c>
      <c r="G1604" s="4" t="s">
        <v>961</v>
      </c>
    </row>
    <row r="1605" spans="1:7" ht="15.75" customHeight="1">
      <c r="A1605" s="5">
        <v>246150438</v>
      </c>
      <c r="B1605" s="6" t="s">
        <v>4464</v>
      </c>
      <c r="C1605" s="5" t="s">
        <v>4465</v>
      </c>
      <c r="D1605" s="5" t="s">
        <v>4466</v>
      </c>
      <c r="E1605" s="5" t="s">
        <v>4467</v>
      </c>
      <c r="F1605" s="6" t="s">
        <v>960</v>
      </c>
      <c r="G1605" s="6" t="s">
        <v>961</v>
      </c>
    </row>
    <row r="1606" spans="1:7" ht="15.75" customHeight="1">
      <c r="A1606" s="3">
        <v>246151575</v>
      </c>
      <c r="B1606" s="4" t="s">
        <v>4468</v>
      </c>
      <c r="C1606" s="3" t="s">
        <v>4469</v>
      </c>
      <c r="D1606" s="3" t="s">
        <v>4470</v>
      </c>
      <c r="E1606" s="3" t="s">
        <v>4471</v>
      </c>
      <c r="F1606" s="4" t="s">
        <v>960</v>
      </c>
      <c r="G1606" s="4" t="s">
        <v>961</v>
      </c>
    </row>
    <row r="1607" spans="1:7" ht="15.75" customHeight="1">
      <c r="A1607" s="5">
        <v>246154408</v>
      </c>
      <c r="B1607" s="6" t="s">
        <v>4472</v>
      </c>
      <c r="C1607" s="5" t="s">
        <v>4473</v>
      </c>
      <c r="D1607" s="5">
        <v>79517331777</v>
      </c>
      <c r="E1607" s="5" t="s">
        <v>4474</v>
      </c>
      <c r="F1607" s="6" t="s">
        <v>960</v>
      </c>
      <c r="G1607" s="6" t="s">
        <v>961</v>
      </c>
    </row>
    <row r="1608" spans="1:7" ht="15.75" customHeight="1">
      <c r="A1608" s="3">
        <v>246154652</v>
      </c>
      <c r="B1608" s="4" t="s">
        <v>4475</v>
      </c>
      <c r="C1608" s="3" t="s">
        <v>4476</v>
      </c>
      <c r="D1608" s="3">
        <v>79276962637</v>
      </c>
      <c r="E1608" s="3" t="s">
        <v>4477</v>
      </c>
      <c r="F1608" s="4" t="s">
        <v>960</v>
      </c>
      <c r="G1608" s="4" t="s">
        <v>961</v>
      </c>
    </row>
    <row r="1609" spans="1:7" ht="15.75" customHeight="1">
      <c r="A1609" s="5">
        <v>246156459</v>
      </c>
      <c r="B1609" s="6" t="s">
        <v>4478</v>
      </c>
      <c r="C1609" s="5" t="s">
        <v>4479</v>
      </c>
      <c r="D1609" s="5">
        <v>79680146965</v>
      </c>
      <c r="E1609" s="5" t="s">
        <v>4480</v>
      </c>
      <c r="F1609" s="6" t="s">
        <v>960</v>
      </c>
      <c r="G1609" s="6" t="s">
        <v>961</v>
      </c>
    </row>
    <row r="1610" spans="1:7" ht="15.75" customHeight="1">
      <c r="A1610" s="3">
        <v>246157177</v>
      </c>
      <c r="B1610" s="4" t="s">
        <v>4481</v>
      </c>
      <c r="C1610" s="3" t="s">
        <v>4482</v>
      </c>
      <c r="D1610" s="3" t="s">
        <v>4483</v>
      </c>
      <c r="E1610" s="3" t="s">
        <v>4484</v>
      </c>
      <c r="F1610" s="4" t="s">
        <v>960</v>
      </c>
      <c r="G1610" s="4" t="s">
        <v>961</v>
      </c>
    </row>
    <row r="1611" spans="1:7" ht="15.75" customHeight="1">
      <c r="A1611" s="5">
        <v>246160836</v>
      </c>
      <c r="B1611" s="6" t="s">
        <v>4485</v>
      </c>
      <c r="C1611" s="5" t="s">
        <v>4486</v>
      </c>
      <c r="D1611" s="5" t="s">
        <v>4487</v>
      </c>
      <c r="E1611" s="5" t="s">
        <v>4488</v>
      </c>
      <c r="F1611" s="6" t="s">
        <v>960</v>
      </c>
      <c r="G1611" s="6" t="s">
        <v>961</v>
      </c>
    </row>
    <row r="1612" spans="1:7" ht="15.75" customHeight="1">
      <c r="A1612" s="3">
        <v>246162329</v>
      </c>
      <c r="B1612" s="4" t="s">
        <v>4489</v>
      </c>
      <c r="C1612" s="3" t="s">
        <v>4490</v>
      </c>
      <c r="D1612" s="3">
        <v>79169069467</v>
      </c>
      <c r="E1612" s="3" t="s">
        <v>4491</v>
      </c>
      <c r="F1612" s="4" t="s">
        <v>960</v>
      </c>
      <c r="G1612" s="4" t="s">
        <v>961</v>
      </c>
    </row>
    <row r="1613" spans="1:7" ht="15.75" customHeight="1">
      <c r="A1613" s="5">
        <v>246162803</v>
      </c>
      <c r="B1613" s="6" t="s">
        <v>4492</v>
      </c>
      <c r="C1613" s="5" t="s">
        <v>4493</v>
      </c>
      <c r="D1613" s="5" t="s">
        <v>4494</v>
      </c>
      <c r="E1613" s="5" t="s">
        <v>4495</v>
      </c>
      <c r="F1613" s="6" t="s">
        <v>960</v>
      </c>
      <c r="G1613" s="6" t="s">
        <v>961</v>
      </c>
    </row>
    <row r="1614" spans="1:7" ht="15.75" customHeight="1">
      <c r="A1614" s="3">
        <v>246163574</v>
      </c>
      <c r="B1614" s="4" t="s">
        <v>4496</v>
      </c>
      <c r="C1614" s="3" t="s">
        <v>4497</v>
      </c>
      <c r="D1614" s="3" t="s">
        <v>4498</v>
      </c>
      <c r="E1614" s="3" t="s">
        <v>4499</v>
      </c>
      <c r="F1614" s="4" t="s">
        <v>960</v>
      </c>
      <c r="G1614" s="4" t="s">
        <v>961</v>
      </c>
    </row>
    <row r="1615" spans="1:7" ht="15.75" customHeight="1">
      <c r="A1615" s="5">
        <v>246167104</v>
      </c>
      <c r="B1615" s="6" t="s">
        <v>4500</v>
      </c>
      <c r="C1615" s="5" t="s">
        <v>4501</v>
      </c>
      <c r="D1615" s="5" t="s">
        <v>4502</v>
      </c>
      <c r="E1615" s="5" t="s">
        <v>4503</v>
      </c>
      <c r="F1615" s="6" t="s">
        <v>960</v>
      </c>
      <c r="G1615" s="6" t="s">
        <v>961</v>
      </c>
    </row>
    <row r="1616" spans="1:7" ht="15.75" customHeight="1">
      <c r="A1616" s="3">
        <v>246172938</v>
      </c>
      <c r="B1616" s="4" t="s">
        <v>4504</v>
      </c>
      <c r="C1616" s="3" t="s">
        <v>4505</v>
      </c>
      <c r="D1616" s="3" t="s">
        <v>4506</v>
      </c>
      <c r="E1616" s="3" t="s">
        <v>4507</v>
      </c>
      <c r="F1616" s="4" t="s">
        <v>960</v>
      </c>
      <c r="G1616" s="4" t="s">
        <v>961</v>
      </c>
    </row>
    <row r="1617" spans="1:7" ht="15.75" customHeight="1">
      <c r="A1617" s="5">
        <v>246177027</v>
      </c>
      <c r="B1617" s="6" t="s">
        <v>4508</v>
      </c>
      <c r="C1617" s="5" t="s">
        <v>4509</v>
      </c>
      <c r="D1617" s="5" t="s">
        <v>4510</v>
      </c>
      <c r="E1617" s="5" t="s">
        <v>4511</v>
      </c>
      <c r="F1617" s="6" t="s">
        <v>949</v>
      </c>
      <c r="G1617" s="6" t="s">
        <v>950</v>
      </c>
    </row>
    <row r="1618" spans="1:7" ht="15.75" customHeight="1">
      <c r="A1618" s="3">
        <v>246184089</v>
      </c>
      <c r="B1618" s="4" t="s">
        <v>4512</v>
      </c>
      <c r="C1618" s="3" t="s">
        <v>4513</v>
      </c>
      <c r="D1618" s="3" t="s">
        <v>4514</v>
      </c>
      <c r="E1618" s="3" t="s">
        <v>4515</v>
      </c>
      <c r="F1618" s="4" t="s">
        <v>949</v>
      </c>
      <c r="G1618" s="4" t="s">
        <v>950</v>
      </c>
    </row>
    <row r="1619" spans="1:7" ht="15.75" customHeight="1">
      <c r="A1619" s="5">
        <v>246188158</v>
      </c>
      <c r="B1619" s="6" t="s">
        <v>4516</v>
      </c>
      <c r="C1619" s="5" t="s">
        <v>4517</v>
      </c>
      <c r="D1619" s="5" t="s">
        <v>4518</v>
      </c>
      <c r="E1619" s="5" t="s">
        <v>4519</v>
      </c>
      <c r="F1619" s="6" t="s">
        <v>960</v>
      </c>
      <c r="G1619" s="6" t="s">
        <v>961</v>
      </c>
    </row>
    <row r="1620" spans="1:7" ht="15.75" customHeight="1">
      <c r="A1620" s="3">
        <v>246190981</v>
      </c>
      <c r="B1620" s="4" t="s">
        <v>4520</v>
      </c>
      <c r="C1620" s="3" t="s">
        <v>4521</v>
      </c>
      <c r="D1620" s="3" t="s">
        <v>4522</v>
      </c>
      <c r="E1620" s="3" t="s">
        <v>4523</v>
      </c>
      <c r="F1620" s="4" t="s">
        <v>949</v>
      </c>
      <c r="G1620" s="4" t="s">
        <v>950</v>
      </c>
    </row>
    <row r="1621" spans="1:7" ht="15.75" customHeight="1">
      <c r="A1621" s="5">
        <v>246191347</v>
      </c>
      <c r="B1621" s="6" t="s">
        <v>4524</v>
      </c>
      <c r="C1621" s="5" t="s">
        <v>4525</v>
      </c>
      <c r="D1621" s="5" t="s">
        <v>4526</v>
      </c>
      <c r="E1621" s="5" t="s">
        <v>4527</v>
      </c>
      <c r="F1621" s="6" t="s">
        <v>960</v>
      </c>
      <c r="G1621" s="6" t="s">
        <v>961</v>
      </c>
    </row>
    <row r="1622" spans="1:7" ht="15.75" customHeight="1">
      <c r="A1622" s="3">
        <v>246197085</v>
      </c>
      <c r="B1622" s="4" t="s">
        <v>4528</v>
      </c>
      <c r="C1622" s="3" t="s">
        <v>4529</v>
      </c>
      <c r="D1622" s="3">
        <v>79999999999</v>
      </c>
      <c r="E1622" s="3" t="s">
        <v>4530</v>
      </c>
      <c r="F1622" s="4" t="s">
        <v>960</v>
      </c>
      <c r="G1622" s="4" t="s">
        <v>961</v>
      </c>
    </row>
    <row r="1623" spans="1:7" ht="15.75" customHeight="1">
      <c r="A1623" s="5">
        <v>246200657</v>
      </c>
      <c r="B1623" s="6" t="s">
        <v>4531</v>
      </c>
      <c r="C1623" s="5" t="s">
        <v>4532</v>
      </c>
      <c r="D1623" s="5">
        <v>79312331849</v>
      </c>
      <c r="E1623" s="5" t="s">
        <v>4533</v>
      </c>
      <c r="F1623" s="6" t="s">
        <v>960</v>
      </c>
      <c r="G1623" s="6" t="s">
        <v>961</v>
      </c>
    </row>
    <row r="1624" spans="1:7" ht="15.75" customHeight="1">
      <c r="A1624" s="3">
        <v>246202188</v>
      </c>
      <c r="B1624" s="4" t="s">
        <v>4534</v>
      </c>
      <c r="C1624" s="3" t="s">
        <v>4535</v>
      </c>
      <c r="D1624" s="3">
        <v>79085729595</v>
      </c>
      <c r="E1624" s="3" t="s">
        <v>4536</v>
      </c>
      <c r="F1624" s="4" t="s">
        <v>960</v>
      </c>
      <c r="G1624" s="4" t="s">
        <v>961</v>
      </c>
    </row>
    <row r="1625" spans="1:7" ht="15.75" customHeight="1">
      <c r="A1625" s="5">
        <v>246203080</v>
      </c>
      <c r="B1625" s="6" t="s">
        <v>4537</v>
      </c>
      <c r="C1625" s="5" t="s">
        <v>4538</v>
      </c>
      <c r="D1625" s="5" t="s">
        <v>4539</v>
      </c>
      <c r="E1625" s="5" t="s">
        <v>4540</v>
      </c>
      <c r="F1625" s="6" t="s">
        <v>960</v>
      </c>
      <c r="G1625" s="6" t="s">
        <v>961</v>
      </c>
    </row>
    <row r="1626" spans="1:7" ht="15.75" customHeight="1">
      <c r="A1626" s="3">
        <v>246204374</v>
      </c>
      <c r="B1626" s="4" t="s">
        <v>4541</v>
      </c>
      <c r="C1626" s="3" t="s">
        <v>4542</v>
      </c>
      <c r="D1626" s="3">
        <v>79103681391</v>
      </c>
      <c r="E1626" s="3" t="s">
        <v>4543</v>
      </c>
      <c r="F1626" s="4" t="s">
        <v>960</v>
      </c>
      <c r="G1626" s="4" t="s">
        <v>961</v>
      </c>
    </row>
    <row r="1627" spans="1:7" ht="15.75" customHeight="1">
      <c r="A1627" s="5">
        <v>246204515</v>
      </c>
      <c r="B1627" s="6" t="s">
        <v>4544</v>
      </c>
      <c r="C1627" s="5" t="s">
        <v>4545</v>
      </c>
      <c r="D1627" s="5">
        <v>79081233883</v>
      </c>
      <c r="E1627" s="5" t="s">
        <v>4546</v>
      </c>
      <c r="F1627" s="6" t="s">
        <v>960</v>
      </c>
      <c r="G1627" s="6" t="s">
        <v>961</v>
      </c>
    </row>
    <row r="1628" spans="1:7" ht="15.75" customHeight="1">
      <c r="A1628" s="3">
        <v>246216648</v>
      </c>
      <c r="B1628" s="4" t="s">
        <v>4547</v>
      </c>
      <c r="C1628" s="3" t="s">
        <v>4548</v>
      </c>
      <c r="D1628" s="3" t="s">
        <v>4549</v>
      </c>
      <c r="E1628" s="3" t="s">
        <v>4550</v>
      </c>
      <c r="F1628" s="4" t="s">
        <v>949</v>
      </c>
      <c r="G1628" s="4" t="s">
        <v>950</v>
      </c>
    </row>
    <row r="1629" spans="1:7" ht="15.75" customHeight="1">
      <c r="A1629" s="5">
        <v>246221085</v>
      </c>
      <c r="B1629" s="6" t="s">
        <v>4551</v>
      </c>
      <c r="C1629" s="5" t="s">
        <v>4552</v>
      </c>
      <c r="D1629" s="5" t="s">
        <v>4553</v>
      </c>
      <c r="E1629" s="5" t="s">
        <v>4554</v>
      </c>
      <c r="F1629" s="6" t="s">
        <v>960</v>
      </c>
      <c r="G1629" s="6" t="s">
        <v>961</v>
      </c>
    </row>
    <row r="1630" spans="1:7" ht="15.75" customHeight="1">
      <c r="A1630" s="3">
        <v>246221583</v>
      </c>
      <c r="B1630" s="4" t="s">
        <v>4555</v>
      </c>
      <c r="C1630" s="3" t="s">
        <v>4556</v>
      </c>
      <c r="D1630" s="3">
        <v>79276030535</v>
      </c>
      <c r="E1630" s="3" t="s">
        <v>4557</v>
      </c>
      <c r="F1630" s="4" t="s">
        <v>960</v>
      </c>
      <c r="G1630" s="4" t="s">
        <v>961</v>
      </c>
    </row>
    <row r="1631" spans="1:7" ht="15.75" customHeight="1">
      <c r="A1631" s="5">
        <v>246226741</v>
      </c>
      <c r="B1631" s="6" t="s">
        <v>4558</v>
      </c>
      <c r="C1631" s="5" t="s">
        <v>4559</v>
      </c>
      <c r="D1631" s="5" t="s">
        <v>4560</v>
      </c>
      <c r="E1631" s="5" t="s">
        <v>4561</v>
      </c>
      <c r="F1631" s="6" t="s">
        <v>949</v>
      </c>
      <c r="G1631" s="6" t="s">
        <v>950</v>
      </c>
    </row>
    <row r="1632" spans="1:7" ht="15.75" customHeight="1">
      <c r="A1632" s="3">
        <v>246226894</v>
      </c>
      <c r="B1632" s="4" t="s">
        <v>4562</v>
      </c>
      <c r="C1632" s="3" t="s">
        <v>4563</v>
      </c>
      <c r="D1632" s="3">
        <v>87771688116</v>
      </c>
      <c r="E1632" s="3" t="s">
        <v>4564</v>
      </c>
      <c r="F1632" s="4" t="s">
        <v>949</v>
      </c>
      <c r="G1632" s="4" t="s">
        <v>950</v>
      </c>
    </row>
    <row r="1633" spans="1:7" ht="15.75" customHeight="1">
      <c r="A1633" s="5">
        <v>246227167</v>
      </c>
      <c r="B1633" s="6" t="s">
        <v>4565</v>
      </c>
      <c r="C1633" s="5" t="s">
        <v>4566</v>
      </c>
      <c r="D1633" s="5" t="s">
        <v>4567</v>
      </c>
      <c r="E1633" s="5" t="s">
        <v>4568</v>
      </c>
      <c r="F1633" s="6" t="s">
        <v>949</v>
      </c>
      <c r="G1633" s="6" t="s">
        <v>950</v>
      </c>
    </row>
    <row r="1634" spans="1:7" ht="15.75" customHeight="1">
      <c r="A1634" s="3">
        <v>246227247</v>
      </c>
      <c r="B1634" s="4" t="s">
        <v>4569</v>
      </c>
      <c r="C1634" s="3" t="s">
        <v>4570</v>
      </c>
      <c r="D1634" s="3">
        <v>87051837757</v>
      </c>
      <c r="E1634" s="3" t="s">
        <v>4571</v>
      </c>
      <c r="F1634" s="4" t="s">
        <v>949</v>
      </c>
      <c r="G1634" s="4" t="s">
        <v>950</v>
      </c>
    </row>
    <row r="1635" spans="1:7" ht="15.75" customHeight="1">
      <c r="A1635" s="5">
        <v>246227284</v>
      </c>
      <c r="B1635" s="6" t="s">
        <v>4572</v>
      </c>
      <c r="C1635" s="5" t="s">
        <v>4573</v>
      </c>
      <c r="D1635" s="5" t="s">
        <v>4574</v>
      </c>
      <c r="E1635" s="5" t="s">
        <v>4575</v>
      </c>
      <c r="F1635" s="6" t="s">
        <v>949</v>
      </c>
      <c r="G1635" s="6" t="s">
        <v>950</v>
      </c>
    </row>
    <row r="1636" spans="1:7" ht="15.75" customHeight="1">
      <c r="A1636" s="3">
        <v>246227795</v>
      </c>
      <c r="B1636" s="4" t="s">
        <v>4576</v>
      </c>
      <c r="C1636" s="3" t="s">
        <v>4577</v>
      </c>
      <c r="D1636" s="3" t="s">
        <v>4578</v>
      </c>
      <c r="E1636" s="3" t="s">
        <v>4579</v>
      </c>
      <c r="F1636" s="4" t="s">
        <v>949</v>
      </c>
      <c r="G1636" s="4" t="s">
        <v>950</v>
      </c>
    </row>
    <row r="1637" spans="1:7" ht="15.75" customHeight="1">
      <c r="A1637" s="5">
        <v>246228188</v>
      </c>
      <c r="B1637" s="6" t="s">
        <v>4580</v>
      </c>
      <c r="C1637" s="5" t="s">
        <v>4581</v>
      </c>
      <c r="D1637" s="5" t="s">
        <v>4582</v>
      </c>
      <c r="E1637" s="5" t="s">
        <v>4583</v>
      </c>
      <c r="F1637" s="6" t="s">
        <v>949</v>
      </c>
      <c r="G1637" s="6" t="s">
        <v>950</v>
      </c>
    </row>
    <row r="1638" spans="1:7" ht="15.75" customHeight="1">
      <c r="A1638" s="3">
        <v>246228254</v>
      </c>
      <c r="B1638" s="4" t="s">
        <v>4584</v>
      </c>
      <c r="C1638" s="3" t="s">
        <v>4585</v>
      </c>
      <c r="D1638" s="3">
        <v>88058286181</v>
      </c>
      <c r="E1638" s="3" t="s">
        <v>4586</v>
      </c>
      <c r="F1638" s="4" t="s">
        <v>949</v>
      </c>
      <c r="G1638" s="4" t="s">
        <v>950</v>
      </c>
    </row>
    <row r="1639" spans="1:7" ht="15.75" customHeight="1">
      <c r="A1639" s="5">
        <v>246228444</v>
      </c>
      <c r="B1639" s="6" t="s">
        <v>4587</v>
      </c>
      <c r="C1639" s="5" t="s">
        <v>4588</v>
      </c>
      <c r="D1639" s="5">
        <v>9098909085002</v>
      </c>
      <c r="E1639" s="5" t="s">
        <v>4589</v>
      </c>
      <c r="F1639" s="6" t="s">
        <v>949</v>
      </c>
      <c r="G1639" s="6" t="s">
        <v>950</v>
      </c>
    </row>
    <row r="1640" spans="1:7" ht="15.75" customHeight="1">
      <c r="A1640" s="3">
        <v>246228712</v>
      </c>
      <c r="B1640" s="4" t="s">
        <v>4590</v>
      </c>
      <c r="C1640" s="3" t="s">
        <v>4591</v>
      </c>
      <c r="D1640" s="3" t="s">
        <v>4592</v>
      </c>
      <c r="E1640" s="3" t="s">
        <v>4593</v>
      </c>
      <c r="F1640" s="4" t="s">
        <v>949</v>
      </c>
      <c r="G1640" s="4" t="s">
        <v>950</v>
      </c>
    </row>
    <row r="1641" spans="1:7" ht="15.75" customHeight="1">
      <c r="A1641" s="5">
        <v>246228796</v>
      </c>
      <c r="B1641" s="6" t="s">
        <v>4594</v>
      </c>
      <c r="C1641" s="5" t="s">
        <v>4595</v>
      </c>
      <c r="D1641" s="5" t="s">
        <v>4596</v>
      </c>
      <c r="E1641" s="5" t="s">
        <v>4597</v>
      </c>
      <c r="F1641" s="6" t="s">
        <v>949</v>
      </c>
      <c r="G1641" s="6" t="s">
        <v>950</v>
      </c>
    </row>
    <row r="1642" spans="1:7" ht="15.75" customHeight="1">
      <c r="A1642" s="3">
        <v>246228829</v>
      </c>
      <c r="B1642" s="4" t="s">
        <v>4598</v>
      </c>
      <c r="C1642" s="3" t="s">
        <v>4599</v>
      </c>
      <c r="D1642" s="3" t="s">
        <v>4600</v>
      </c>
      <c r="E1642" s="3" t="s">
        <v>4601</v>
      </c>
      <c r="F1642" s="4" t="s">
        <v>949</v>
      </c>
      <c r="G1642" s="4" t="s">
        <v>950</v>
      </c>
    </row>
    <row r="1643" spans="1:7" ht="15.75" customHeight="1">
      <c r="A1643" s="5">
        <v>246229039</v>
      </c>
      <c r="B1643" s="6" t="s">
        <v>4602</v>
      </c>
      <c r="C1643" s="5" t="s">
        <v>4603</v>
      </c>
      <c r="D1643" s="5">
        <v>87718492128</v>
      </c>
      <c r="E1643" s="5" t="s">
        <v>4604</v>
      </c>
      <c r="F1643" s="6" t="s">
        <v>949</v>
      </c>
      <c r="G1643" s="6" t="s">
        <v>950</v>
      </c>
    </row>
    <row r="1644" spans="1:7" ht="15.75" customHeight="1">
      <c r="A1644" s="3">
        <v>246229366</v>
      </c>
      <c r="B1644" s="4" t="s">
        <v>4605</v>
      </c>
      <c r="C1644" s="3" t="s">
        <v>4606</v>
      </c>
      <c r="D1644" s="3">
        <v>972725727</v>
      </c>
      <c r="E1644" s="3" t="s">
        <v>4607</v>
      </c>
      <c r="F1644" s="4" t="s">
        <v>949</v>
      </c>
      <c r="G1644" s="4" t="s">
        <v>950</v>
      </c>
    </row>
    <row r="1645" spans="1:7" ht="15.75" customHeight="1">
      <c r="A1645" s="5">
        <v>246229932</v>
      </c>
      <c r="B1645" s="6" t="s">
        <v>4608</v>
      </c>
      <c r="C1645" s="5" t="s">
        <v>4609</v>
      </c>
      <c r="D1645" s="5" t="s">
        <v>4610</v>
      </c>
      <c r="E1645" s="5" t="s">
        <v>4611</v>
      </c>
      <c r="F1645" s="6" t="s">
        <v>949</v>
      </c>
      <c r="G1645" s="6" t="s">
        <v>950</v>
      </c>
    </row>
    <row r="1646" spans="1:7" ht="15.75" customHeight="1">
      <c r="A1646" s="3">
        <v>246230299</v>
      </c>
      <c r="B1646" s="4" t="s">
        <v>4612</v>
      </c>
      <c r="C1646" s="3" t="s">
        <v>4613</v>
      </c>
      <c r="D1646" s="3" t="s">
        <v>4614</v>
      </c>
      <c r="E1646" s="3" t="s">
        <v>4615</v>
      </c>
      <c r="F1646" s="4" t="s">
        <v>949</v>
      </c>
      <c r="G1646" s="4" t="s">
        <v>950</v>
      </c>
    </row>
    <row r="1647" spans="1:7" ht="15.75" customHeight="1">
      <c r="A1647" s="5">
        <v>246231060</v>
      </c>
      <c r="B1647" s="6" t="s">
        <v>4616</v>
      </c>
      <c r="C1647" s="5" t="s">
        <v>4617</v>
      </c>
      <c r="D1647" s="5" t="s">
        <v>4618</v>
      </c>
      <c r="E1647" s="5" t="s">
        <v>4619</v>
      </c>
      <c r="F1647" s="6" t="s">
        <v>949</v>
      </c>
      <c r="G1647" s="6" t="s">
        <v>950</v>
      </c>
    </row>
    <row r="1648" spans="1:7" ht="15.75" customHeight="1">
      <c r="A1648" s="3">
        <v>246231158</v>
      </c>
      <c r="B1648" s="4" t="s">
        <v>4620</v>
      </c>
      <c r="C1648" s="3" t="s">
        <v>4621</v>
      </c>
      <c r="D1648" s="3" t="s">
        <v>4622</v>
      </c>
      <c r="E1648" s="3" t="s">
        <v>4623</v>
      </c>
      <c r="F1648" s="4" t="s">
        <v>949</v>
      </c>
      <c r="G1648" s="4" t="s">
        <v>950</v>
      </c>
    </row>
    <row r="1649" spans="1:7" ht="15.75" customHeight="1">
      <c r="A1649" s="5">
        <v>246231595</v>
      </c>
      <c r="B1649" s="6" t="s">
        <v>4624</v>
      </c>
      <c r="C1649" s="5" t="s">
        <v>4625</v>
      </c>
      <c r="D1649" s="5">
        <v>995469549</v>
      </c>
      <c r="E1649" s="5" t="s">
        <v>4626</v>
      </c>
      <c r="F1649" s="6" t="s">
        <v>949</v>
      </c>
      <c r="G1649" s="6" t="s">
        <v>950</v>
      </c>
    </row>
    <row r="1650" spans="1:7" ht="15.75" customHeight="1">
      <c r="A1650" s="3">
        <v>246231790</v>
      </c>
      <c r="B1650" s="4" t="s">
        <v>4627</v>
      </c>
      <c r="C1650" s="3" t="s">
        <v>4628</v>
      </c>
      <c r="D1650" s="3">
        <v>87009157963</v>
      </c>
      <c r="E1650" s="3" t="s">
        <v>4629</v>
      </c>
      <c r="F1650" s="4" t="s">
        <v>949</v>
      </c>
      <c r="G1650" s="4" t="s">
        <v>950</v>
      </c>
    </row>
    <row r="1651" spans="1:7" ht="15.75" customHeight="1">
      <c r="A1651" s="5">
        <v>246231872</v>
      </c>
      <c r="B1651" s="6" t="s">
        <v>4630</v>
      </c>
      <c r="C1651" s="5" t="s">
        <v>4631</v>
      </c>
      <c r="D1651" s="5">
        <v>77787011157</v>
      </c>
      <c r="E1651" s="5" t="s">
        <v>4632</v>
      </c>
      <c r="F1651" s="6" t="s">
        <v>949</v>
      </c>
      <c r="G1651" s="6" t="s">
        <v>950</v>
      </c>
    </row>
    <row r="1652" spans="1:7" ht="15.75" customHeight="1">
      <c r="A1652" s="3">
        <v>246231954</v>
      </c>
      <c r="B1652" s="4" t="s">
        <v>4633</v>
      </c>
      <c r="C1652" s="3" t="s">
        <v>4634</v>
      </c>
      <c r="D1652" s="3" t="s">
        <v>4635</v>
      </c>
      <c r="E1652" s="3" t="s">
        <v>4636</v>
      </c>
      <c r="F1652" s="4" t="s">
        <v>949</v>
      </c>
      <c r="G1652" s="4" t="s">
        <v>950</v>
      </c>
    </row>
    <row r="1653" spans="1:7" ht="15.75" customHeight="1">
      <c r="A1653" s="5">
        <v>246231988</v>
      </c>
      <c r="B1653" s="6" t="s">
        <v>4637</v>
      </c>
      <c r="C1653" s="5" t="s">
        <v>4638</v>
      </c>
      <c r="D1653" s="5" t="s">
        <v>4639</v>
      </c>
      <c r="E1653" s="5" t="s">
        <v>4640</v>
      </c>
      <c r="F1653" s="6" t="s">
        <v>949</v>
      </c>
      <c r="G1653" s="6" t="s">
        <v>950</v>
      </c>
    </row>
    <row r="1654" spans="1:7" ht="15.75" customHeight="1">
      <c r="A1654" s="3">
        <v>246232335</v>
      </c>
      <c r="B1654" s="4" t="s">
        <v>4641</v>
      </c>
      <c r="C1654" s="3" t="s">
        <v>4642</v>
      </c>
      <c r="D1654" s="3">
        <v>87011366119</v>
      </c>
      <c r="E1654" s="3" t="s">
        <v>4643</v>
      </c>
      <c r="F1654" s="4" t="s">
        <v>949</v>
      </c>
      <c r="G1654" s="4" t="s">
        <v>950</v>
      </c>
    </row>
    <row r="1655" spans="1:7" ht="15.75" customHeight="1">
      <c r="A1655" s="5">
        <v>246232451</v>
      </c>
      <c r="B1655" s="6" t="s">
        <v>4644</v>
      </c>
      <c r="C1655" s="5" t="s">
        <v>4645</v>
      </c>
      <c r="D1655" s="5" t="s">
        <v>4646</v>
      </c>
      <c r="E1655" s="5" t="s">
        <v>4647</v>
      </c>
      <c r="F1655" s="6" t="s">
        <v>949</v>
      </c>
      <c r="G1655" s="6" t="s">
        <v>950</v>
      </c>
    </row>
    <row r="1656" spans="1:7" ht="15.75" customHeight="1">
      <c r="A1656" s="3">
        <v>246232505</v>
      </c>
      <c r="B1656" s="4" t="s">
        <v>4648</v>
      </c>
      <c r="C1656" s="3" t="s">
        <v>4649</v>
      </c>
      <c r="D1656" s="3" t="s">
        <v>4650</v>
      </c>
      <c r="E1656" s="3" t="s">
        <v>4651</v>
      </c>
      <c r="F1656" s="4" t="s">
        <v>949</v>
      </c>
      <c r="G1656" s="4" t="s">
        <v>950</v>
      </c>
    </row>
    <row r="1657" spans="1:7" ht="15.75" customHeight="1">
      <c r="A1657" s="5">
        <v>246232539</v>
      </c>
      <c r="B1657" s="6" t="s">
        <v>4652</v>
      </c>
      <c r="C1657" s="5" t="s">
        <v>4653</v>
      </c>
      <c r="D1657" s="5" t="s">
        <v>4654</v>
      </c>
      <c r="E1657" s="5" t="s">
        <v>4655</v>
      </c>
      <c r="F1657" s="6" t="s">
        <v>949</v>
      </c>
      <c r="G1657" s="6" t="s">
        <v>950</v>
      </c>
    </row>
    <row r="1658" spans="1:7" ht="15.75" customHeight="1">
      <c r="A1658" s="3">
        <v>246232787</v>
      </c>
      <c r="B1658" s="4" t="s">
        <v>4656</v>
      </c>
      <c r="C1658" s="3" t="s">
        <v>4657</v>
      </c>
      <c r="D1658" s="3" t="s">
        <v>4658</v>
      </c>
      <c r="E1658" s="3" t="s">
        <v>4659</v>
      </c>
      <c r="F1658" s="4" t="s">
        <v>949</v>
      </c>
      <c r="G1658" s="4" t="s">
        <v>950</v>
      </c>
    </row>
    <row r="1659" spans="1:7" ht="15.75" customHeight="1">
      <c r="A1659" s="5">
        <v>246232816</v>
      </c>
      <c r="B1659" s="6" t="s">
        <v>4660</v>
      </c>
      <c r="C1659" s="5" t="s">
        <v>4661</v>
      </c>
      <c r="D1659" s="5">
        <v>87767574747</v>
      </c>
      <c r="E1659" s="5" t="s">
        <v>4662</v>
      </c>
      <c r="F1659" s="6" t="s">
        <v>949</v>
      </c>
      <c r="G1659" s="6" t="s">
        <v>950</v>
      </c>
    </row>
    <row r="1660" spans="1:7" ht="15.75" customHeight="1">
      <c r="A1660" s="3">
        <v>246232832</v>
      </c>
      <c r="B1660" s="4" t="s">
        <v>4663</v>
      </c>
      <c r="C1660" s="3" t="s">
        <v>4664</v>
      </c>
      <c r="D1660" s="3" t="s">
        <v>4665</v>
      </c>
      <c r="E1660" s="3" t="s">
        <v>4666</v>
      </c>
      <c r="F1660" s="4" t="s">
        <v>949</v>
      </c>
      <c r="G1660" s="4" t="s">
        <v>950</v>
      </c>
    </row>
    <row r="1661" spans="1:7" ht="15.75" customHeight="1">
      <c r="A1661" s="5">
        <v>246232936</v>
      </c>
      <c r="B1661" s="6" t="s">
        <v>4667</v>
      </c>
      <c r="C1661" s="5" t="s">
        <v>4668</v>
      </c>
      <c r="D1661" s="5" t="s">
        <v>4669</v>
      </c>
      <c r="E1661" s="5" t="s">
        <v>4670</v>
      </c>
      <c r="F1661" s="6" t="s">
        <v>949</v>
      </c>
      <c r="G1661" s="6" t="s">
        <v>950</v>
      </c>
    </row>
    <row r="1662" spans="1:7" ht="15.75" customHeight="1">
      <c r="A1662" s="3">
        <v>246233290</v>
      </c>
      <c r="B1662" s="4" t="s">
        <v>4671</v>
      </c>
      <c r="C1662" s="3" t="s">
        <v>4672</v>
      </c>
      <c r="D1662" s="3" t="s">
        <v>4673</v>
      </c>
      <c r="E1662" s="3" t="s">
        <v>4674</v>
      </c>
      <c r="F1662" s="4" t="s">
        <v>949</v>
      </c>
      <c r="G1662" s="4" t="s">
        <v>950</v>
      </c>
    </row>
    <row r="1663" spans="1:7" ht="15.75" customHeight="1">
      <c r="A1663" s="5">
        <v>246233315</v>
      </c>
      <c r="B1663" s="6" t="s">
        <v>4675</v>
      </c>
      <c r="C1663" s="5" t="s">
        <v>4676</v>
      </c>
      <c r="D1663" s="5" t="s">
        <v>4677</v>
      </c>
      <c r="E1663" s="5" t="s">
        <v>4678</v>
      </c>
      <c r="F1663" s="6" t="s">
        <v>949</v>
      </c>
      <c r="G1663" s="6" t="s">
        <v>950</v>
      </c>
    </row>
    <row r="1664" spans="1:7" ht="15.75" customHeight="1">
      <c r="A1664" s="3">
        <v>246233326</v>
      </c>
      <c r="B1664" s="4" t="s">
        <v>4679</v>
      </c>
      <c r="C1664" s="3" t="s">
        <v>4680</v>
      </c>
      <c r="D1664" s="3" t="s">
        <v>4681</v>
      </c>
      <c r="E1664" s="3" t="s">
        <v>4682</v>
      </c>
      <c r="F1664" s="4" t="s">
        <v>949</v>
      </c>
      <c r="G1664" s="4" t="s">
        <v>950</v>
      </c>
    </row>
    <row r="1665" spans="1:7" ht="15.75" customHeight="1">
      <c r="A1665" s="5">
        <v>246233421</v>
      </c>
      <c r="B1665" s="6" t="s">
        <v>4683</v>
      </c>
      <c r="C1665" s="5" t="s">
        <v>4684</v>
      </c>
      <c r="D1665" s="5">
        <v>87476002593</v>
      </c>
      <c r="E1665" s="5" t="s">
        <v>4685</v>
      </c>
      <c r="F1665" s="6" t="s">
        <v>949</v>
      </c>
      <c r="G1665" s="6" t="s">
        <v>950</v>
      </c>
    </row>
    <row r="1666" spans="1:7" ht="15.75" customHeight="1">
      <c r="A1666" s="3">
        <v>246233668</v>
      </c>
      <c r="B1666" s="4" t="s">
        <v>4686</v>
      </c>
      <c r="C1666" s="3" t="s">
        <v>4687</v>
      </c>
      <c r="D1666" s="3" t="s">
        <v>4688</v>
      </c>
      <c r="E1666" s="3" t="s">
        <v>4689</v>
      </c>
      <c r="F1666" s="4" t="s">
        <v>960</v>
      </c>
      <c r="G1666" s="4" t="s">
        <v>961</v>
      </c>
    </row>
    <row r="1667" spans="1:7" ht="15.75" customHeight="1">
      <c r="A1667" s="5">
        <v>246233695</v>
      </c>
      <c r="B1667" s="6" t="s">
        <v>4690</v>
      </c>
      <c r="C1667" s="5" t="s">
        <v>4691</v>
      </c>
      <c r="D1667" s="5">
        <v>87011014113</v>
      </c>
      <c r="E1667" s="5" t="s">
        <v>4692</v>
      </c>
      <c r="F1667" s="6" t="s">
        <v>949</v>
      </c>
      <c r="G1667" s="6" t="s">
        <v>950</v>
      </c>
    </row>
    <row r="1668" spans="1:7" ht="15.75" customHeight="1">
      <c r="A1668" s="3">
        <v>246233733</v>
      </c>
      <c r="B1668" s="4" t="s">
        <v>4693</v>
      </c>
      <c r="C1668" s="3" t="s">
        <v>4694</v>
      </c>
      <c r="D1668" s="3">
        <v>87026027992</v>
      </c>
      <c r="E1668" s="3" t="s">
        <v>4695</v>
      </c>
      <c r="F1668" s="4" t="s">
        <v>949</v>
      </c>
      <c r="G1668" s="4" t="s">
        <v>950</v>
      </c>
    </row>
    <row r="1669" spans="1:7" ht="15.75" customHeight="1">
      <c r="A1669" s="5">
        <v>246233760</v>
      </c>
      <c r="B1669" s="6" t="s">
        <v>4696</v>
      </c>
      <c r="C1669" s="5" t="s">
        <v>4697</v>
      </c>
      <c r="D1669" s="5">
        <v>87017286886</v>
      </c>
      <c r="E1669" s="5" t="s">
        <v>4698</v>
      </c>
      <c r="F1669" s="6" t="s">
        <v>949</v>
      </c>
      <c r="G1669" s="6" t="s">
        <v>950</v>
      </c>
    </row>
    <row r="1670" spans="1:7" ht="15.75" customHeight="1">
      <c r="A1670" s="3">
        <v>246234009</v>
      </c>
      <c r="B1670" s="4" t="s">
        <v>4699</v>
      </c>
      <c r="C1670" s="3" t="s">
        <v>4700</v>
      </c>
      <c r="D1670" s="3" t="s">
        <v>4701</v>
      </c>
      <c r="E1670" s="3" t="s">
        <v>4702</v>
      </c>
      <c r="F1670" s="4" t="s">
        <v>949</v>
      </c>
      <c r="G1670" s="4" t="s">
        <v>950</v>
      </c>
    </row>
    <row r="1671" spans="1:7" ht="15.75" customHeight="1">
      <c r="A1671" s="5">
        <v>246234304</v>
      </c>
      <c r="B1671" s="6" t="s">
        <v>4703</v>
      </c>
      <c r="C1671" s="5" t="s">
        <v>4704</v>
      </c>
      <c r="D1671" s="5" t="s">
        <v>4705</v>
      </c>
      <c r="E1671" s="5" t="s">
        <v>4706</v>
      </c>
      <c r="F1671" s="6" t="s">
        <v>949</v>
      </c>
      <c r="G1671" s="6" t="s">
        <v>950</v>
      </c>
    </row>
    <row r="1672" spans="1:7" ht="15.75" customHeight="1">
      <c r="A1672" s="3">
        <v>246234340</v>
      </c>
      <c r="B1672" s="4" t="s">
        <v>4707</v>
      </c>
      <c r="C1672" s="3" t="s">
        <v>4708</v>
      </c>
      <c r="D1672" s="3" t="s">
        <v>4709</v>
      </c>
      <c r="E1672" s="3" t="s">
        <v>4710</v>
      </c>
      <c r="F1672" s="4" t="s">
        <v>949</v>
      </c>
      <c r="G1672" s="4" t="s">
        <v>950</v>
      </c>
    </row>
    <row r="1673" spans="1:7" ht="15.75" customHeight="1">
      <c r="A1673" s="5">
        <v>246234364</v>
      </c>
      <c r="B1673" s="6" t="s">
        <v>4711</v>
      </c>
      <c r="C1673" s="5" t="s">
        <v>4712</v>
      </c>
      <c r="D1673" s="5" t="s">
        <v>4713</v>
      </c>
      <c r="E1673" s="5" t="s">
        <v>4714</v>
      </c>
      <c r="F1673" s="6" t="s">
        <v>949</v>
      </c>
      <c r="G1673" s="6" t="s">
        <v>950</v>
      </c>
    </row>
    <row r="1674" spans="1:7" ht="15.75" customHeight="1">
      <c r="A1674" s="3">
        <v>246234495</v>
      </c>
      <c r="B1674" s="4" t="s">
        <v>4715</v>
      </c>
      <c r="C1674" s="3" t="s">
        <v>4716</v>
      </c>
      <c r="D1674" s="3">
        <v>79523977792</v>
      </c>
      <c r="E1674" s="3" t="s">
        <v>4717</v>
      </c>
      <c r="F1674" s="4" t="s">
        <v>960</v>
      </c>
      <c r="G1674" s="4" t="s">
        <v>961</v>
      </c>
    </row>
    <row r="1675" spans="1:7" ht="15.75" customHeight="1">
      <c r="A1675" s="5">
        <v>246234506</v>
      </c>
      <c r="B1675" s="6" t="s">
        <v>4718</v>
      </c>
      <c r="C1675" s="5" t="s">
        <v>4719</v>
      </c>
      <c r="D1675" s="5">
        <v>909611303</v>
      </c>
      <c r="E1675" s="5" t="s">
        <v>4720</v>
      </c>
      <c r="F1675" s="6" t="s">
        <v>949</v>
      </c>
      <c r="G1675" s="6" t="s">
        <v>950</v>
      </c>
    </row>
    <row r="1676" spans="1:7" ht="15.75" customHeight="1">
      <c r="A1676" s="3">
        <v>246234551</v>
      </c>
      <c r="B1676" s="4" t="s">
        <v>4721</v>
      </c>
      <c r="C1676" s="3" t="s">
        <v>4722</v>
      </c>
      <c r="D1676" s="3">
        <v>990109248</v>
      </c>
      <c r="E1676" s="3" t="s">
        <v>4723</v>
      </c>
      <c r="F1676" s="4" t="s">
        <v>949</v>
      </c>
      <c r="G1676" s="4" t="s">
        <v>950</v>
      </c>
    </row>
    <row r="1677" spans="1:7" ht="15.75" customHeight="1">
      <c r="A1677" s="5">
        <v>246234721</v>
      </c>
      <c r="B1677" s="6" t="s">
        <v>4724</v>
      </c>
      <c r="C1677" s="5" t="s">
        <v>4725</v>
      </c>
      <c r="D1677" s="5" t="s">
        <v>4726</v>
      </c>
      <c r="E1677" s="5" t="s">
        <v>4727</v>
      </c>
      <c r="F1677" s="6" t="s">
        <v>949</v>
      </c>
      <c r="G1677" s="6" t="s">
        <v>950</v>
      </c>
    </row>
    <row r="1678" spans="1:7" ht="15.75" customHeight="1">
      <c r="A1678" s="3">
        <v>246234814</v>
      </c>
      <c r="B1678" s="4" t="s">
        <v>4728</v>
      </c>
      <c r="C1678" s="3" t="s">
        <v>4729</v>
      </c>
      <c r="D1678" s="3">
        <v>87771429559</v>
      </c>
      <c r="E1678" s="3" t="s">
        <v>4730</v>
      </c>
      <c r="F1678" s="4" t="s">
        <v>949</v>
      </c>
      <c r="G1678" s="4" t="s">
        <v>950</v>
      </c>
    </row>
    <row r="1679" spans="1:7" ht="15.75" customHeight="1">
      <c r="A1679" s="5">
        <v>246235795</v>
      </c>
      <c r="B1679" s="6" t="s">
        <v>4731</v>
      </c>
      <c r="C1679" s="5" t="s">
        <v>4732</v>
      </c>
      <c r="D1679" s="5" t="s">
        <v>4733</v>
      </c>
      <c r="E1679" s="5" t="s">
        <v>4734</v>
      </c>
      <c r="F1679" s="6" t="s">
        <v>949</v>
      </c>
      <c r="G1679" s="6" t="s">
        <v>950</v>
      </c>
    </row>
    <row r="1680" spans="1:7" ht="15.75" customHeight="1">
      <c r="A1680" s="3">
        <v>246235847</v>
      </c>
      <c r="B1680" s="4" t="s">
        <v>4735</v>
      </c>
      <c r="C1680" s="3" t="s">
        <v>4736</v>
      </c>
      <c r="D1680" s="3" t="s">
        <v>4737</v>
      </c>
      <c r="E1680" s="3" t="s">
        <v>4738</v>
      </c>
      <c r="F1680" s="4" t="s">
        <v>949</v>
      </c>
      <c r="G1680" s="4" t="s">
        <v>950</v>
      </c>
    </row>
    <row r="1681" spans="1:7" ht="15.75" customHeight="1">
      <c r="A1681" s="5">
        <v>246236433</v>
      </c>
      <c r="B1681" s="6" t="s">
        <v>4739</v>
      </c>
      <c r="C1681" s="5" t="s">
        <v>4740</v>
      </c>
      <c r="D1681" s="5">
        <v>87059876021</v>
      </c>
      <c r="E1681" s="5" t="s">
        <v>4741</v>
      </c>
      <c r="F1681" s="6" t="s">
        <v>949</v>
      </c>
      <c r="G1681" s="6" t="s">
        <v>950</v>
      </c>
    </row>
    <row r="1682" spans="1:7" ht="15.75" customHeight="1">
      <c r="A1682" s="3">
        <v>246236544</v>
      </c>
      <c r="B1682" s="4" t="s">
        <v>4742</v>
      </c>
      <c r="C1682" s="3" t="s">
        <v>4743</v>
      </c>
      <c r="D1682" s="3" t="s">
        <v>4744</v>
      </c>
      <c r="E1682" s="3" t="s">
        <v>4745</v>
      </c>
      <c r="F1682" s="4" t="s">
        <v>949</v>
      </c>
      <c r="G1682" s="4" t="s">
        <v>950</v>
      </c>
    </row>
    <row r="1683" spans="1:7" ht="15.75" customHeight="1">
      <c r="A1683" s="5">
        <v>246236571</v>
      </c>
      <c r="B1683" s="6" t="s">
        <v>4746</v>
      </c>
      <c r="C1683" s="5" t="s">
        <v>4747</v>
      </c>
      <c r="D1683" s="5">
        <v>293408804</v>
      </c>
      <c r="E1683" s="5" t="s">
        <v>4748</v>
      </c>
      <c r="F1683" s="6" t="s">
        <v>960</v>
      </c>
      <c r="G1683" s="6" t="s">
        <v>961</v>
      </c>
    </row>
    <row r="1684" spans="1:7" ht="15.75" customHeight="1">
      <c r="A1684" s="3">
        <v>246236605</v>
      </c>
      <c r="B1684" s="4" t="s">
        <v>4749</v>
      </c>
      <c r="C1684" s="3" t="s">
        <v>4750</v>
      </c>
      <c r="D1684" s="3" t="s">
        <v>4751</v>
      </c>
      <c r="E1684" s="3" t="s">
        <v>4752</v>
      </c>
      <c r="F1684" s="4" t="s">
        <v>949</v>
      </c>
      <c r="G1684" s="4" t="s">
        <v>950</v>
      </c>
    </row>
    <row r="1685" spans="1:7" ht="15.75" customHeight="1">
      <c r="A1685" s="5">
        <v>246236633</v>
      </c>
      <c r="B1685" s="6" t="s">
        <v>4753</v>
      </c>
      <c r="C1685" s="5" t="s">
        <v>4754</v>
      </c>
      <c r="D1685" s="5" t="s">
        <v>4755</v>
      </c>
      <c r="E1685" s="5" t="s">
        <v>4756</v>
      </c>
      <c r="F1685" s="6" t="s">
        <v>949</v>
      </c>
      <c r="G1685" s="6" t="s">
        <v>950</v>
      </c>
    </row>
    <row r="1686" spans="1:7" ht="15.75" customHeight="1">
      <c r="A1686" s="3">
        <v>246236692</v>
      </c>
      <c r="B1686" s="4" t="s">
        <v>4757</v>
      </c>
      <c r="C1686" s="3" t="s">
        <v>4758</v>
      </c>
      <c r="D1686" s="3" t="s">
        <v>4759</v>
      </c>
      <c r="E1686" s="3" t="s">
        <v>4760</v>
      </c>
      <c r="F1686" s="4" t="s">
        <v>949</v>
      </c>
      <c r="G1686" s="4" t="s">
        <v>950</v>
      </c>
    </row>
    <row r="1687" spans="1:7" ht="15.75" customHeight="1">
      <c r="A1687" s="5">
        <v>246236794</v>
      </c>
      <c r="B1687" s="6" t="s">
        <v>4761</v>
      </c>
      <c r="C1687" s="5" t="s">
        <v>4762</v>
      </c>
      <c r="D1687" s="5">
        <v>998974551860</v>
      </c>
      <c r="E1687" s="5" t="s">
        <v>4763</v>
      </c>
      <c r="F1687" s="6" t="s">
        <v>949</v>
      </c>
      <c r="G1687" s="6" t="s">
        <v>950</v>
      </c>
    </row>
    <row r="1688" spans="1:7" ht="15.75" customHeight="1">
      <c r="A1688" s="3">
        <v>246237048</v>
      </c>
      <c r="B1688" s="4" t="s">
        <v>4764</v>
      </c>
      <c r="C1688" s="3" t="s">
        <v>4765</v>
      </c>
      <c r="D1688" s="3" t="s">
        <v>4766</v>
      </c>
      <c r="E1688" s="3" t="s">
        <v>4767</v>
      </c>
      <c r="F1688" s="4" t="s">
        <v>949</v>
      </c>
      <c r="G1688" s="4" t="s">
        <v>950</v>
      </c>
    </row>
    <row r="1689" spans="1:7" ht="15.75" customHeight="1">
      <c r="A1689" s="5">
        <v>246237086</v>
      </c>
      <c r="B1689" s="6" t="s">
        <v>4768</v>
      </c>
      <c r="C1689" s="5" t="s">
        <v>4769</v>
      </c>
      <c r="D1689" s="5">
        <v>87761448080</v>
      </c>
      <c r="E1689" s="5" t="s">
        <v>4770</v>
      </c>
      <c r="F1689" s="6" t="s">
        <v>949</v>
      </c>
      <c r="G1689" s="6" t="s">
        <v>950</v>
      </c>
    </row>
    <row r="1690" spans="1:7" ht="15.75" customHeight="1">
      <c r="A1690" s="3">
        <v>246237105</v>
      </c>
      <c r="B1690" s="4" t="s">
        <v>4771</v>
      </c>
      <c r="C1690" s="3" t="s">
        <v>4772</v>
      </c>
      <c r="D1690" s="3" t="s">
        <v>4773</v>
      </c>
      <c r="E1690" s="3" t="s">
        <v>4774</v>
      </c>
      <c r="F1690" s="4" t="s">
        <v>949</v>
      </c>
      <c r="G1690" s="4" t="s">
        <v>950</v>
      </c>
    </row>
    <row r="1691" spans="1:7" ht="15.75" customHeight="1">
      <c r="A1691" s="5">
        <v>246237115</v>
      </c>
      <c r="B1691" s="6" t="s">
        <v>4775</v>
      </c>
      <c r="C1691" s="5" t="s">
        <v>4776</v>
      </c>
      <c r="D1691" s="5">
        <v>77017290594</v>
      </c>
      <c r="E1691" s="5" t="s">
        <v>4777</v>
      </c>
      <c r="F1691" s="6" t="s">
        <v>949</v>
      </c>
      <c r="G1691" s="6" t="s">
        <v>950</v>
      </c>
    </row>
    <row r="1692" spans="1:7" ht="15.75" customHeight="1">
      <c r="A1692" s="3">
        <v>246237151</v>
      </c>
      <c r="B1692" s="4" t="s">
        <v>4778</v>
      </c>
      <c r="C1692" s="3" t="s">
        <v>4779</v>
      </c>
      <c r="D1692" s="3" t="s">
        <v>4780</v>
      </c>
      <c r="E1692" s="3" t="s">
        <v>4781</v>
      </c>
      <c r="F1692" s="4" t="s">
        <v>949</v>
      </c>
      <c r="G1692" s="4" t="s">
        <v>950</v>
      </c>
    </row>
    <row r="1693" spans="1:7" ht="15.75" customHeight="1">
      <c r="A1693" s="5">
        <v>246237466</v>
      </c>
      <c r="B1693" s="6" t="s">
        <v>4782</v>
      </c>
      <c r="C1693" s="5" t="s">
        <v>4783</v>
      </c>
      <c r="D1693" s="5">
        <v>87773789117</v>
      </c>
      <c r="E1693" s="5" t="s">
        <v>4784</v>
      </c>
      <c r="F1693" s="6" t="s">
        <v>949</v>
      </c>
      <c r="G1693" s="6" t="s">
        <v>950</v>
      </c>
    </row>
    <row r="1694" spans="1:7" ht="15.75" customHeight="1">
      <c r="A1694" s="3">
        <v>246237519</v>
      </c>
      <c r="B1694" s="4" t="s">
        <v>4785</v>
      </c>
      <c r="C1694" s="3" t="s">
        <v>4786</v>
      </c>
      <c r="D1694" s="3" t="s">
        <v>4787</v>
      </c>
      <c r="E1694" s="3" t="s">
        <v>4788</v>
      </c>
      <c r="F1694" s="4" t="s">
        <v>960</v>
      </c>
      <c r="G1694" s="4" t="s">
        <v>961</v>
      </c>
    </row>
    <row r="1695" spans="1:7" ht="15.75" customHeight="1">
      <c r="A1695" s="5">
        <v>246237536</v>
      </c>
      <c r="B1695" s="6" t="s">
        <v>4789</v>
      </c>
      <c r="C1695" s="5" t="s">
        <v>4790</v>
      </c>
      <c r="D1695" s="5" t="s">
        <v>4791</v>
      </c>
      <c r="E1695" s="5" t="s">
        <v>4792</v>
      </c>
      <c r="F1695" s="6" t="s">
        <v>949</v>
      </c>
      <c r="G1695" s="6" t="s">
        <v>950</v>
      </c>
    </row>
    <row r="1696" spans="1:7" ht="15.75" customHeight="1">
      <c r="A1696" s="3">
        <v>246237873</v>
      </c>
      <c r="B1696" s="4" t="s">
        <v>4793</v>
      </c>
      <c r="C1696" s="3" t="s">
        <v>4794</v>
      </c>
      <c r="D1696" s="3" t="s">
        <v>4795</v>
      </c>
      <c r="E1696" s="3" t="s">
        <v>4796</v>
      </c>
      <c r="F1696" s="4" t="s">
        <v>949</v>
      </c>
      <c r="G1696" s="4" t="s">
        <v>950</v>
      </c>
    </row>
    <row r="1697" spans="1:7" ht="15.75" customHeight="1">
      <c r="A1697" s="5">
        <v>246237897</v>
      </c>
      <c r="B1697" s="6" t="s">
        <v>4797</v>
      </c>
      <c r="C1697" s="5" t="s">
        <v>4798</v>
      </c>
      <c r="D1697" s="5">
        <v>79051559717</v>
      </c>
      <c r="E1697" s="5" t="s">
        <v>4799</v>
      </c>
      <c r="F1697" s="6" t="s">
        <v>960</v>
      </c>
      <c r="G1697" s="6" t="s">
        <v>961</v>
      </c>
    </row>
    <row r="1698" spans="1:7" ht="15.75" customHeight="1">
      <c r="A1698" s="3">
        <v>246237940</v>
      </c>
      <c r="B1698" s="4" t="s">
        <v>4800</v>
      </c>
      <c r="C1698" s="3" t="s">
        <v>4801</v>
      </c>
      <c r="D1698" s="3" t="s">
        <v>4802</v>
      </c>
      <c r="E1698" s="3" t="s">
        <v>4803</v>
      </c>
      <c r="F1698" s="4" t="s">
        <v>949</v>
      </c>
      <c r="G1698" s="4" t="s">
        <v>950</v>
      </c>
    </row>
    <row r="1699" spans="1:7" ht="15.75" customHeight="1">
      <c r="A1699" s="5">
        <v>246238734</v>
      </c>
      <c r="B1699" s="6" t="s">
        <v>4804</v>
      </c>
      <c r="C1699" s="5" t="s">
        <v>4805</v>
      </c>
      <c r="D1699" s="5" t="s">
        <v>4806</v>
      </c>
      <c r="E1699" s="5" t="s">
        <v>4807</v>
      </c>
      <c r="F1699" s="6" t="s">
        <v>949</v>
      </c>
      <c r="G1699" s="6" t="s">
        <v>950</v>
      </c>
    </row>
    <row r="1700" spans="1:7" ht="15.75" customHeight="1">
      <c r="A1700" s="3">
        <v>246238918</v>
      </c>
      <c r="B1700" s="4" t="s">
        <v>4808</v>
      </c>
      <c r="C1700" s="3" t="s">
        <v>4809</v>
      </c>
      <c r="D1700" s="3" t="s">
        <v>4810</v>
      </c>
      <c r="E1700" s="3" t="s">
        <v>4811</v>
      </c>
      <c r="F1700" s="4" t="s">
        <v>960</v>
      </c>
      <c r="G1700" s="4" t="s">
        <v>961</v>
      </c>
    </row>
    <row r="1701" spans="1:7" ht="15.75" customHeight="1">
      <c r="A1701" s="5">
        <v>246239037</v>
      </c>
      <c r="B1701" s="6" t="s">
        <v>4812</v>
      </c>
      <c r="C1701" s="5" t="s">
        <v>4813</v>
      </c>
      <c r="D1701" s="5" t="s">
        <v>4814</v>
      </c>
      <c r="E1701" s="5" t="s">
        <v>4815</v>
      </c>
      <c r="F1701" s="6" t="s">
        <v>949</v>
      </c>
      <c r="G1701" s="6" t="s">
        <v>950</v>
      </c>
    </row>
    <row r="1702" spans="1:7" ht="15.75" customHeight="1">
      <c r="A1702" s="3">
        <v>246239109</v>
      </c>
      <c r="B1702" s="4" t="s">
        <v>4816</v>
      </c>
      <c r="C1702" s="3" t="s">
        <v>4817</v>
      </c>
      <c r="D1702" s="3" t="s">
        <v>4818</v>
      </c>
      <c r="E1702" s="3" t="s">
        <v>4819</v>
      </c>
      <c r="F1702" s="4" t="s">
        <v>949</v>
      </c>
      <c r="G1702" s="4" t="s">
        <v>950</v>
      </c>
    </row>
    <row r="1703" spans="1:7" ht="15.75" customHeight="1">
      <c r="A1703" s="5">
        <v>246239133</v>
      </c>
      <c r="B1703" s="6" t="s">
        <v>4820</v>
      </c>
      <c r="C1703" s="5" t="s">
        <v>4821</v>
      </c>
      <c r="D1703" s="5">
        <v>77073941293</v>
      </c>
      <c r="E1703" s="5" t="s">
        <v>4822</v>
      </c>
      <c r="F1703" s="6" t="s">
        <v>949</v>
      </c>
      <c r="G1703" s="6" t="s">
        <v>950</v>
      </c>
    </row>
    <row r="1704" spans="1:7" ht="15.75" customHeight="1">
      <c r="A1704" s="3">
        <v>246239249</v>
      </c>
      <c r="B1704" s="4" t="s">
        <v>4823</v>
      </c>
      <c r="C1704" s="3" t="s">
        <v>4824</v>
      </c>
      <c r="D1704" s="3" t="s">
        <v>4825</v>
      </c>
      <c r="E1704" s="3" t="s">
        <v>4826</v>
      </c>
      <c r="F1704" s="4" t="s">
        <v>949</v>
      </c>
      <c r="G1704" s="4" t="s">
        <v>950</v>
      </c>
    </row>
    <row r="1705" spans="1:7" ht="15.75" customHeight="1">
      <c r="A1705" s="5">
        <v>246239350</v>
      </c>
      <c r="B1705" s="6" t="s">
        <v>4827</v>
      </c>
      <c r="C1705" s="5" t="s">
        <v>4828</v>
      </c>
      <c r="D1705" s="5">
        <v>87713504188</v>
      </c>
      <c r="E1705" s="5" t="s">
        <v>4829</v>
      </c>
      <c r="F1705" s="6" t="s">
        <v>949</v>
      </c>
      <c r="G1705" s="6" t="s">
        <v>950</v>
      </c>
    </row>
    <row r="1706" spans="1:7" ht="15.75" customHeight="1">
      <c r="A1706" s="3">
        <v>246239425</v>
      </c>
      <c r="B1706" s="4" t="s">
        <v>4830</v>
      </c>
      <c r="C1706" s="3" t="s">
        <v>4831</v>
      </c>
      <c r="D1706" s="3" t="s">
        <v>4832</v>
      </c>
      <c r="E1706" s="3" t="s">
        <v>4833</v>
      </c>
      <c r="F1706" s="4" t="s">
        <v>949</v>
      </c>
      <c r="G1706" s="4" t="s">
        <v>950</v>
      </c>
    </row>
    <row r="1707" spans="1:7" ht="15.75" customHeight="1">
      <c r="A1707" s="5">
        <v>246239429</v>
      </c>
      <c r="B1707" s="6" t="s">
        <v>4834</v>
      </c>
      <c r="C1707" s="5" t="s">
        <v>4835</v>
      </c>
      <c r="D1707" s="5" t="s">
        <v>4836</v>
      </c>
      <c r="E1707" s="5" t="s">
        <v>4837</v>
      </c>
      <c r="F1707" s="6" t="s">
        <v>949</v>
      </c>
      <c r="G1707" s="6" t="s">
        <v>950</v>
      </c>
    </row>
    <row r="1708" spans="1:7" ht="15.75" customHeight="1">
      <c r="A1708" s="3">
        <v>246239484</v>
      </c>
      <c r="B1708" s="4" t="s">
        <v>4838</v>
      </c>
      <c r="C1708" s="3" t="s">
        <v>4839</v>
      </c>
      <c r="D1708" s="3">
        <v>998909652347</v>
      </c>
      <c r="E1708" s="3" t="s">
        <v>4840</v>
      </c>
      <c r="F1708" s="4" t="s">
        <v>949</v>
      </c>
      <c r="G1708" s="4" t="s">
        <v>950</v>
      </c>
    </row>
    <row r="1709" spans="1:7" ht="15.75" customHeight="1">
      <c r="A1709" s="5">
        <v>246239579</v>
      </c>
      <c r="B1709" s="6" t="s">
        <v>4841</v>
      </c>
      <c r="C1709" s="5" t="s">
        <v>4842</v>
      </c>
      <c r="D1709" s="5">
        <v>998909587558</v>
      </c>
      <c r="E1709" s="5" t="s">
        <v>4843</v>
      </c>
      <c r="F1709" s="6" t="s">
        <v>949</v>
      </c>
      <c r="G1709" s="6" t="s">
        <v>950</v>
      </c>
    </row>
    <row r="1710" spans="1:7" ht="15.75" customHeight="1">
      <c r="A1710" s="3">
        <v>246239647</v>
      </c>
      <c r="B1710" s="4" t="s">
        <v>4844</v>
      </c>
      <c r="C1710" s="3" t="s">
        <v>4845</v>
      </c>
      <c r="D1710" s="3">
        <v>87013004008</v>
      </c>
      <c r="E1710" s="3" t="s">
        <v>4846</v>
      </c>
      <c r="F1710" s="4" t="s">
        <v>949</v>
      </c>
      <c r="G1710" s="4" t="s">
        <v>950</v>
      </c>
    </row>
    <row r="1711" spans="1:7" ht="15.75" customHeight="1">
      <c r="A1711" s="5">
        <v>246239975</v>
      </c>
      <c r="B1711" s="6" t="s">
        <v>4847</v>
      </c>
      <c r="C1711" s="5" t="s">
        <v>4848</v>
      </c>
      <c r="D1711" s="5" t="s">
        <v>4849</v>
      </c>
      <c r="E1711" s="5" t="s">
        <v>4850</v>
      </c>
      <c r="F1711" s="6" t="s">
        <v>949</v>
      </c>
      <c r="G1711" s="6" t="s">
        <v>950</v>
      </c>
    </row>
    <row r="1712" spans="1:7" ht="15.75" customHeight="1">
      <c r="A1712" s="3">
        <v>246240888</v>
      </c>
      <c r="B1712" s="4" t="s">
        <v>4851</v>
      </c>
      <c r="C1712" s="3" t="s">
        <v>4852</v>
      </c>
      <c r="D1712" s="3">
        <v>998911620399</v>
      </c>
      <c r="E1712" s="3" t="s">
        <v>4853</v>
      </c>
      <c r="F1712" s="4" t="s">
        <v>949</v>
      </c>
      <c r="G1712" s="4" t="s">
        <v>950</v>
      </c>
    </row>
    <row r="1713" spans="1:7" ht="15.75" customHeight="1">
      <c r="A1713" s="5">
        <v>246240935</v>
      </c>
      <c r="B1713" s="6" t="s">
        <v>4854</v>
      </c>
      <c r="C1713" s="5" t="s">
        <v>4855</v>
      </c>
      <c r="D1713" s="5" t="s">
        <v>4856</v>
      </c>
      <c r="E1713" s="5" t="s">
        <v>4857</v>
      </c>
      <c r="F1713" s="6" t="s">
        <v>949</v>
      </c>
      <c r="G1713" s="6" t="s">
        <v>950</v>
      </c>
    </row>
    <row r="1714" spans="1:7" ht="15.75" customHeight="1">
      <c r="A1714" s="3">
        <v>246240944</v>
      </c>
      <c r="B1714" s="4" t="s">
        <v>4858</v>
      </c>
      <c r="C1714" s="3" t="s">
        <v>4859</v>
      </c>
      <c r="D1714" s="3" t="s">
        <v>4860</v>
      </c>
      <c r="E1714" s="3" t="s">
        <v>4861</v>
      </c>
      <c r="F1714" s="4" t="s">
        <v>949</v>
      </c>
      <c r="G1714" s="4" t="s">
        <v>950</v>
      </c>
    </row>
    <row r="1715" spans="1:7" ht="15.75" customHeight="1">
      <c r="A1715" s="5">
        <v>246241098</v>
      </c>
      <c r="B1715" s="6" t="s">
        <v>4862</v>
      </c>
      <c r="C1715" s="5" t="s">
        <v>4863</v>
      </c>
      <c r="D1715" s="5" t="s">
        <v>4864</v>
      </c>
      <c r="E1715" s="5" t="s">
        <v>4865</v>
      </c>
      <c r="F1715" s="6" t="s">
        <v>949</v>
      </c>
      <c r="G1715" s="6" t="s">
        <v>950</v>
      </c>
    </row>
    <row r="1716" spans="1:7" ht="15.75" customHeight="1">
      <c r="A1716" s="3">
        <v>246241162</v>
      </c>
      <c r="B1716" s="4" t="s">
        <v>4866</v>
      </c>
      <c r="C1716" s="3" t="s">
        <v>4867</v>
      </c>
      <c r="D1716" s="3" t="s">
        <v>4868</v>
      </c>
      <c r="E1716" s="3" t="s">
        <v>4869</v>
      </c>
      <c r="F1716" s="4" t="s">
        <v>949</v>
      </c>
      <c r="G1716" s="4" t="s">
        <v>950</v>
      </c>
    </row>
    <row r="1717" spans="1:7" ht="15.75" customHeight="1">
      <c r="A1717" s="5">
        <v>246241273</v>
      </c>
      <c r="B1717" s="6" t="s">
        <v>4870</v>
      </c>
      <c r="C1717" s="5" t="s">
        <v>4871</v>
      </c>
      <c r="D1717" s="5" t="s">
        <v>4872</v>
      </c>
      <c r="E1717" s="5" t="s">
        <v>4873</v>
      </c>
      <c r="F1717" s="6" t="s">
        <v>949</v>
      </c>
      <c r="G1717" s="6" t="s">
        <v>950</v>
      </c>
    </row>
    <row r="1718" spans="1:7" ht="15.75" customHeight="1">
      <c r="A1718" s="3">
        <v>246241345</v>
      </c>
      <c r="B1718" s="4" t="s">
        <v>4874</v>
      </c>
      <c r="C1718" s="3" t="s">
        <v>4875</v>
      </c>
      <c r="D1718" s="3" t="s">
        <v>4876</v>
      </c>
      <c r="E1718" s="3" t="s">
        <v>4877</v>
      </c>
      <c r="F1718" s="4" t="s">
        <v>949</v>
      </c>
      <c r="G1718" s="4" t="s">
        <v>950</v>
      </c>
    </row>
    <row r="1719" spans="1:7" ht="15.75" customHeight="1">
      <c r="A1719" s="5">
        <v>246241581</v>
      </c>
      <c r="B1719" s="6" t="s">
        <v>4878</v>
      </c>
      <c r="C1719" s="5" t="s">
        <v>4879</v>
      </c>
      <c r="D1719" s="5" t="s">
        <v>4880</v>
      </c>
      <c r="E1719" s="5" t="s">
        <v>4881</v>
      </c>
      <c r="F1719" s="6" t="s">
        <v>949</v>
      </c>
      <c r="G1719" s="6" t="s">
        <v>950</v>
      </c>
    </row>
    <row r="1720" spans="1:7" ht="15.75" customHeight="1">
      <c r="A1720" s="3">
        <v>246241612</v>
      </c>
      <c r="B1720" s="4" t="s">
        <v>4882</v>
      </c>
      <c r="C1720" s="3" t="s">
        <v>4883</v>
      </c>
      <c r="D1720" s="3" t="s">
        <v>4884</v>
      </c>
      <c r="E1720" s="3" t="s">
        <v>4885</v>
      </c>
      <c r="F1720" s="4" t="s">
        <v>949</v>
      </c>
      <c r="G1720" s="4" t="s">
        <v>950</v>
      </c>
    </row>
    <row r="1721" spans="1:7" ht="15.75" customHeight="1">
      <c r="A1721" s="5">
        <v>246241992</v>
      </c>
      <c r="B1721" s="6" t="s">
        <v>4886</v>
      </c>
      <c r="C1721" s="5" t="s">
        <v>4887</v>
      </c>
      <c r="D1721" s="5" t="s">
        <v>4888</v>
      </c>
      <c r="E1721" s="5" t="s">
        <v>4889</v>
      </c>
      <c r="F1721" s="6" t="s">
        <v>949</v>
      </c>
      <c r="G1721" s="6" t="s">
        <v>950</v>
      </c>
    </row>
    <row r="1722" spans="1:7" ht="15.75" customHeight="1">
      <c r="A1722" s="3">
        <v>246242083</v>
      </c>
      <c r="B1722" s="4" t="s">
        <v>4890</v>
      </c>
      <c r="C1722" s="3" t="s">
        <v>4891</v>
      </c>
      <c r="D1722" s="3" t="s">
        <v>4892</v>
      </c>
      <c r="E1722" s="3" t="s">
        <v>4893</v>
      </c>
      <c r="F1722" s="4" t="s">
        <v>949</v>
      </c>
      <c r="G1722" s="4" t="s">
        <v>950</v>
      </c>
    </row>
    <row r="1723" spans="1:7" ht="15.75" customHeight="1">
      <c r="A1723" s="5">
        <v>246242087</v>
      </c>
      <c r="B1723" s="6" t="s">
        <v>4894</v>
      </c>
      <c r="C1723" s="5" t="s">
        <v>4895</v>
      </c>
      <c r="D1723" s="5" t="s">
        <v>4896</v>
      </c>
      <c r="E1723" s="5" t="s">
        <v>4897</v>
      </c>
      <c r="F1723" s="6" t="s">
        <v>949</v>
      </c>
      <c r="G1723" s="6" t="s">
        <v>950</v>
      </c>
    </row>
    <row r="1724" spans="1:7" ht="15.75" customHeight="1">
      <c r="A1724" s="3">
        <v>246242196</v>
      </c>
      <c r="B1724" s="4" t="s">
        <v>4898</v>
      </c>
      <c r="C1724" s="3" t="s">
        <v>4899</v>
      </c>
      <c r="D1724" s="3" t="s">
        <v>4900</v>
      </c>
      <c r="E1724" s="3" t="s">
        <v>4901</v>
      </c>
      <c r="F1724" s="4" t="s">
        <v>949</v>
      </c>
      <c r="G1724" s="4" t="s">
        <v>950</v>
      </c>
    </row>
    <row r="1725" spans="1:7" ht="15.75" customHeight="1">
      <c r="A1725" s="5">
        <v>246242285</v>
      </c>
      <c r="B1725" s="6" t="s">
        <v>4902</v>
      </c>
      <c r="C1725" s="5" t="s">
        <v>4903</v>
      </c>
      <c r="D1725" s="5">
        <v>87082376564</v>
      </c>
      <c r="E1725" s="5" t="s">
        <v>4904</v>
      </c>
      <c r="F1725" s="6" t="s">
        <v>949</v>
      </c>
      <c r="G1725" s="6" t="s">
        <v>950</v>
      </c>
    </row>
    <row r="1726" spans="1:7" ht="15.75" customHeight="1">
      <c r="A1726" s="3">
        <v>246242678</v>
      </c>
      <c r="B1726" s="4" t="s">
        <v>4905</v>
      </c>
      <c r="C1726" s="3" t="s">
        <v>4906</v>
      </c>
      <c r="D1726" s="3" t="s">
        <v>4907</v>
      </c>
      <c r="E1726" s="3" t="s">
        <v>4908</v>
      </c>
      <c r="F1726" s="4" t="s">
        <v>949</v>
      </c>
      <c r="G1726" s="4" t="s">
        <v>950</v>
      </c>
    </row>
    <row r="1727" spans="1:7" ht="15.75" customHeight="1">
      <c r="A1727" s="5">
        <v>246242811</v>
      </c>
      <c r="B1727" s="6" t="s">
        <v>4909</v>
      </c>
      <c r="C1727" s="5" t="s">
        <v>4910</v>
      </c>
      <c r="D1727" s="5">
        <v>87082170938</v>
      </c>
      <c r="E1727" s="5" t="s">
        <v>4911</v>
      </c>
      <c r="F1727" s="6" t="s">
        <v>949</v>
      </c>
      <c r="G1727" s="6" t="s">
        <v>950</v>
      </c>
    </row>
    <row r="1728" spans="1:7" ht="15.75" customHeight="1">
      <c r="A1728" s="3">
        <v>246243124</v>
      </c>
      <c r="B1728" s="4" t="s">
        <v>4912</v>
      </c>
      <c r="C1728" s="3" t="s">
        <v>4913</v>
      </c>
      <c r="D1728" s="3">
        <v>79154106422</v>
      </c>
      <c r="E1728" s="3" t="s">
        <v>4914</v>
      </c>
      <c r="F1728" s="4" t="s">
        <v>960</v>
      </c>
      <c r="G1728" s="4" t="s">
        <v>961</v>
      </c>
    </row>
    <row r="1729" spans="1:7" ht="15.75" customHeight="1">
      <c r="A1729" s="5">
        <v>246243227</v>
      </c>
      <c r="B1729" s="6" t="s">
        <v>4915</v>
      </c>
      <c r="C1729" s="5" t="s">
        <v>4916</v>
      </c>
      <c r="D1729" s="5">
        <v>87014620202</v>
      </c>
      <c r="E1729" s="5" t="s">
        <v>4917</v>
      </c>
      <c r="F1729" s="6" t="s">
        <v>949</v>
      </c>
      <c r="G1729" s="6" t="s">
        <v>950</v>
      </c>
    </row>
    <row r="1730" spans="1:7" ht="15.75" customHeight="1">
      <c r="A1730" s="3">
        <v>246243387</v>
      </c>
      <c r="B1730" s="4" t="s">
        <v>4918</v>
      </c>
      <c r="C1730" s="3" t="s">
        <v>4919</v>
      </c>
      <c r="D1730" s="3">
        <v>87717452516</v>
      </c>
      <c r="E1730" s="3" t="s">
        <v>4920</v>
      </c>
      <c r="F1730" s="4" t="s">
        <v>949</v>
      </c>
      <c r="G1730" s="4" t="s">
        <v>950</v>
      </c>
    </row>
    <row r="1731" spans="1:7" ht="15.75" customHeight="1">
      <c r="A1731" s="5">
        <v>246243445</v>
      </c>
      <c r="B1731" s="6" t="s">
        <v>4921</v>
      </c>
      <c r="C1731" s="5" t="s">
        <v>4922</v>
      </c>
      <c r="D1731" s="5" t="s">
        <v>4923</v>
      </c>
      <c r="E1731" s="5" t="s">
        <v>4924</v>
      </c>
      <c r="F1731" s="6" t="s">
        <v>949</v>
      </c>
      <c r="G1731" s="6" t="s">
        <v>950</v>
      </c>
    </row>
    <row r="1732" spans="1:7" ht="15.75" customHeight="1">
      <c r="A1732" s="3">
        <v>246243505</v>
      </c>
      <c r="B1732" s="4" t="s">
        <v>4925</v>
      </c>
      <c r="C1732" s="3" t="s">
        <v>4926</v>
      </c>
      <c r="D1732" s="3" t="s">
        <v>4927</v>
      </c>
      <c r="E1732" s="3" t="s">
        <v>4928</v>
      </c>
      <c r="F1732" s="4" t="s">
        <v>949</v>
      </c>
      <c r="G1732" s="4" t="s">
        <v>950</v>
      </c>
    </row>
    <row r="1733" spans="1:7" ht="15.75" customHeight="1">
      <c r="A1733" s="5">
        <v>246243579</v>
      </c>
      <c r="B1733" s="6" t="s">
        <v>4929</v>
      </c>
      <c r="C1733" s="5" t="s">
        <v>4930</v>
      </c>
      <c r="D1733" s="5">
        <v>87015310151</v>
      </c>
      <c r="E1733" s="5" t="s">
        <v>4931</v>
      </c>
      <c r="F1733" s="6" t="s">
        <v>949</v>
      </c>
      <c r="G1733" s="6" t="s">
        <v>950</v>
      </c>
    </row>
    <row r="1734" spans="1:7" ht="15.75" customHeight="1">
      <c r="A1734" s="3">
        <v>246243636</v>
      </c>
      <c r="B1734" s="4" t="s">
        <v>4932</v>
      </c>
      <c r="C1734" s="3" t="s">
        <v>4933</v>
      </c>
      <c r="D1734" s="3">
        <v>87476743927</v>
      </c>
      <c r="E1734" s="3" t="s">
        <v>4934</v>
      </c>
      <c r="F1734" s="4" t="s">
        <v>949</v>
      </c>
      <c r="G1734" s="4" t="s">
        <v>950</v>
      </c>
    </row>
    <row r="1735" spans="1:7" ht="15.75" customHeight="1">
      <c r="A1735" s="5">
        <v>246243865</v>
      </c>
      <c r="B1735" s="6" t="s">
        <v>4935</v>
      </c>
      <c r="C1735" s="5" t="s">
        <v>4936</v>
      </c>
      <c r="D1735" s="5" t="s">
        <v>4937</v>
      </c>
      <c r="E1735" s="5" t="s">
        <v>4938</v>
      </c>
      <c r="F1735" s="6" t="s">
        <v>949</v>
      </c>
      <c r="G1735" s="6" t="s">
        <v>950</v>
      </c>
    </row>
    <row r="1736" spans="1:7" ht="15.75" customHeight="1">
      <c r="A1736" s="3">
        <v>246243983</v>
      </c>
      <c r="B1736" s="4" t="s">
        <v>4939</v>
      </c>
      <c r="C1736" s="3" t="s">
        <v>4940</v>
      </c>
      <c r="D1736" s="3">
        <v>998933175838</v>
      </c>
      <c r="E1736" s="3" t="s">
        <v>4941</v>
      </c>
      <c r="F1736" s="4" t="s">
        <v>949</v>
      </c>
      <c r="G1736" s="4" t="s">
        <v>950</v>
      </c>
    </row>
    <row r="1737" spans="1:7" ht="15.75" customHeight="1">
      <c r="A1737" s="5">
        <v>246244107</v>
      </c>
      <c r="B1737" s="6" t="s">
        <v>4942</v>
      </c>
      <c r="C1737" s="5" t="s">
        <v>4943</v>
      </c>
      <c r="D1737" s="5">
        <v>998901888088</v>
      </c>
      <c r="E1737" s="5" t="s">
        <v>4944</v>
      </c>
      <c r="F1737" s="6" t="s">
        <v>949</v>
      </c>
      <c r="G1737" s="6" t="s">
        <v>950</v>
      </c>
    </row>
    <row r="1738" spans="1:7" ht="15.75" customHeight="1">
      <c r="A1738" s="3">
        <v>246244217</v>
      </c>
      <c r="B1738" s="4" t="s">
        <v>3870</v>
      </c>
      <c r="C1738" s="3" t="s">
        <v>4945</v>
      </c>
      <c r="D1738" s="3" t="s">
        <v>4946</v>
      </c>
      <c r="E1738" s="3" t="s">
        <v>4947</v>
      </c>
      <c r="F1738" s="4" t="s">
        <v>949</v>
      </c>
      <c r="G1738" s="4" t="s">
        <v>950</v>
      </c>
    </row>
    <row r="1739" spans="1:7" ht="15.75" customHeight="1">
      <c r="A1739" s="5">
        <v>246244437</v>
      </c>
      <c r="B1739" s="6" t="s">
        <v>4948</v>
      </c>
      <c r="C1739" s="5" t="s">
        <v>4949</v>
      </c>
      <c r="D1739" s="5" t="s">
        <v>4950</v>
      </c>
      <c r="E1739" s="5" t="s">
        <v>4951</v>
      </c>
      <c r="F1739" s="6" t="s">
        <v>949</v>
      </c>
      <c r="G1739" s="6" t="s">
        <v>950</v>
      </c>
    </row>
    <row r="1740" spans="1:7" ht="15.75" customHeight="1">
      <c r="A1740" s="3">
        <v>246244942</v>
      </c>
      <c r="B1740" s="4" t="s">
        <v>4952</v>
      </c>
      <c r="C1740" s="3" t="s">
        <v>4953</v>
      </c>
      <c r="D1740" s="3" t="s">
        <v>4954</v>
      </c>
      <c r="E1740" s="3" t="s">
        <v>4955</v>
      </c>
      <c r="F1740" s="4" t="s">
        <v>949</v>
      </c>
      <c r="G1740" s="4" t="s">
        <v>950</v>
      </c>
    </row>
    <row r="1741" spans="1:7" ht="15.75" customHeight="1">
      <c r="A1741" s="5">
        <v>246245091</v>
      </c>
      <c r="B1741" s="6" t="s">
        <v>4956</v>
      </c>
      <c r="C1741" s="5" t="s">
        <v>4957</v>
      </c>
      <c r="D1741" s="5" t="s">
        <v>4958</v>
      </c>
      <c r="E1741" s="5" t="s">
        <v>4959</v>
      </c>
      <c r="F1741" s="6" t="s">
        <v>949</v>
      </c>
      <c r="G1741" s="6" t="s">
        <v>950</v>
      </c>
    </row>
    <row r="1742" spans="1:7" ht="15.75" customHeight="1">
      <c r="A1742" s="3">
        <v>246245423</v>
      </c>
      <c r="B1742" s="4" t="s">
        <v>4960</v>
      </c>
      <c r="C1742" s="3" t="s">
        <v>4961</v>
      </c>
      <c r="D1742" s="3" t="s">
        <v>4962</v>
      </c>
      <c r="E1742" s="3" t="s">
        <v>4963</v>
      </c>
      <c r="F1742" s="4" t="s">
        <v>949</v>
      </c>
      <c r="G1742" s="4" t="s">
        <v>950</v>
      </c>
    </row>
    <row r="1743" spans="1:7" ht="15.75" customHeight="1">
      <c r="A1743" s="5">
        <v>246245676</v>
      </c>
      <c r="B1743" s="6" t="s">
        <v>4964</v>
      </c>
      <c r="C1743" s="5" t="s">
        <v>4965</v>
      </c>
      <c r="D1743" s="5">
        <v>998909013123</v>
      </c>
      <c r="E1743" s="5" t="s">
        <v>4966</v>
      </c>
      <c r="F1743" s="6" t="s">
        <v>949</v>
      </c>
      <c r="G1743" s="6" t="s">
        <v>950</v>
      </c>
    </row>
    <row r="1744" spans="1:7" ht="15.75" customHeight="1">
      <c r="A1744" s="3">
        <v>246245973</v>
      </c>
      <c r="B1744" s="4" t="s">
        <v>4967</v>
      </c>
      <c r="C1744" s="3" t="s">
        <v>4968</v>
      </c>
      <c r="D1744" s="3" t="s">
        <v>4969</v>
      </c>
      <c r="E1744" s="3" t="s">
        <v>4970</v>
      </c>
      <c r="F1744" s="4" t="s">
        <v>949</v>
      </c>
      <c r="G1744" s="4" t="s">
        <v>950</v>
      </c>
    </row>
    <row r="1745" spans="1:7" ht="15.75" customHeight="1">
      <c r="A1745" s="5">
        <v>246246036</v>
      </c>
      <c r="B1745" s="6" t="s">
        <v>4971</v>
      </c>
      <c r="C1745" s="5" t="s">
        <v>4972</v>
      </c>
      <c r="D1745" s="5">
        <v>870220550666</v>
      </c>
      <c r="E1745" s="5" t="s">
        <v>4973</v>
      </c>
      <c r="F1745" s="6" t="s">
        <v>949</v>
      </c>
      <c r="G1745" s="6" t="s">
        <v>950</v>
      </c>
    </row>
    <row r="1746" spans="1:7" ht="15.75" customHeight="1">
      <c r="A1746" s="3">
        <v>246246104</v>
      </c>
      <c r="B1746" s="4" t="s">
        <v>4974</v>
      </c>
      <c r="C1746" s="3" t="s">
        <v>4975</v>
      </c>
      <c r="D1746" s="3" t="s">
        <v>4976</v>
      </c>
      <c r="E1746" s="3" t="s">
        <v>4977</v>
      </c>
      <c r="F1746" s="4" t="s">
        <v>949</v>
      </c>
      <c r="G1746" s="4" t="s">
        <v>950</v>
      </c>
    </row>
    <row r="1747" spans="1:7" ht="15.75" customHeight="1">
      <c r="A1747" s="5">
        <v>246246198</v>
      </c>
      <c r="B1747" s="6" t="s">
        <v>4978</v>
      </c>
      <c r="C1747" s="5" t="s">
        <v>4979</v>
      </c>
      <c r="D1747" s="5">
        <v>87753542479</v>
      </c>
      <c r="E1747" s="5" t="s">
        <v>4980</v>
      </c>
      <c r="F1747" s="6" t="s">
        <v>949</v>
      </c>
      <c r="G1747" s="6" t="s">
        <v>950</v>
      </c>
    </row>
    <row r="1748" spans="1:7" ht="15.75" customHeight="1">
      <c r="A1748" s="3">
        <v>246246227</v>
      </c>
      <c r="B1748" s="4" t="s">
        <v>4981</v>
      </c>
      <c r="C1748" s="3" t="s">
        <v>4982</v>
      </c>
      <c r="D1748" s="3" t="s">
        <v>4983</v>
      </c>
      <c r="E1748" s="3" t="s">
        <v>4984</v>
      </c>
      <c r="F1748" s="4" t="s">
        <v>949</v>
      </c>
      <c r="G1748" s="4" t="s">
        <v>950</v>
      </c>
    </row>
    <row r="1749" spans="1:7" ht="15.75" customHeight="1">
      <c r="A1749" s="5">
        <v>246246655</v>
      </c>
      <c r="B1749" s="6" t="s">
        <v>4985</v>
      </c>
      <c r="C1749" s="5" t="s">
        <v>4986</v>
      </c>
      <c r="D1749" s="5" t="s">
        <v>4987</v>
      </c>
      <c r="E1749" s="5" t="s">
        <v>4988</v>
      </c>
      <c r="F1749" s="6" t="s">
        <v>949</v>
      </c>
      <c r="G1749" s="6" t="s">
        <v>950</v>
      </c>
    </row>
    <row r="1750" spans="1:7" ht="15.75" customHeight="1">
      <c r="A1750" s="3">
        <v>246246896</v>
      </c>
      <c r="B1750" s="4" t="s">
        <v>4989</v>
      </c>
      <c r="C1750" s="3" t="s">
        <v>4990</v>
      </c>
      <c r="D1750" s="3" t="s">
        <v>4991</v>
      </c>
      <c r="E1750" s="3" t="s">
        <v>4992</v>
      </c>
      <c r="F1750" s="4" t="s">
        <v>949</v>
      </c>
      <c r="G1750" s="4" t="s">
        <v>950</v>
      </c>
    </row>
    <row r="1751" spans="1:7" ht="15.75" customHeight="1">
      <c r="A1751" s="5">
        <v>246247562</v>
      </c>
      <c r="B1751" s="6" t="s">
        <v>4993</v>
      </c>
      <c r="C1751" s="5" t="s">
        <v>4994</v>
      </c>
      <c r="D1751" s="5" t="s">
        <v>4995</v>
      </c>
      <c r="E1751" s="5" t="s">
        <v>4996</v>
      </c>
      <c r="F1751" s="6" t="s">
        <v>949</v>
      </c>
      <c r="G1751" s="6" t="s">
        <v>950</v>
      </c>
    </row>
    <row r="1752" spans="1:7" ht="15.75" customHeight="1">
      <c r="A1752" s="3">
        <v>246247600</v>
      </c>
      <c r="B1752" s="4" t="s">
        <v>4997</v>
      </c>
      <c r="C1752" s="3" t="s">
        <v>4998</v>
      </c>
      <c r="D1752" s="3">
        <v>87027596552</v>
      </c>
      <c r="E1752" s="3" t="s">
        <v>4999</v>
      </c>
      <c r="F1752" s="4" t="s">
        <v>949</v>
      </c>
      <c r="G1752" s="4" t="s">
        <v>950</v>
      </c>
    </row>
    <row r="1753" spans="1:7" ht="15.75" customHeight="1">
      <c r="A1753" s="5">
        <v>246248162</v>
      </c>
      <c r="B1753" s="6" t="s">
        <v>5000</v>
      </c>
      <c r="C1753" s="5" t="s">
        <v>5001</v>
      </c>
      <c r="D1753" s="5">
        <v>87710944615</v>
      </c>
      <c r="E1753" s="5" t="s">
        <v>5002</v>
      </c>
      <c r="F1753" s="6" t="s">
        <v>949</v>
      </c>
      <c r="G1753" s="6" t="s">
        <v>950</v>
      </c>
    </row>
    <row r="1754" spans="1:7" ht="15.75" customHeight="1">
      <c r="A1754" s="3">
        <v>246248487</v>
      </c>
      <c r="B1754" s="4" t="s">
        <v>5003</v>
      </c>
      <c r="C1754" s="3" t="s">
        <v>5004</v>
      </c>
      <c r="D1754" s="3">
        <v>87474646376</v>
      </c>
      <c r="E1754" s="3" t="s">
        <v>5005</v>
      </c>
      <c r="F1754" s="4" t="s">
        <v>949</v>
      </c>
      <c r="G1754" s="4" t="s">
        <v>950</v>
      </c>
    </row>
    <row r="1755" spans="1:7" ht="15.75" customHeight="1">
      <c r="A1755" s="5">
        <v>246248705</v>
      </c>
      <c r="B1755" s="6" t="s">
        <v>5006</v>
      </c>
      <c r="C1755" s="5" t="s">
        <v>5007</v>
      </c>
      <c r="D1755" s="5">
        <v>87474352661</v>
      </c>
      <c r="E1755" s="5" t="s">
        <v>5008</v>
      </c>
      <c r="F1755" s="6" t="s">
        <v>949</v>
      </c>
      <c r="G1755" s="6" t="s">
        <v>950</v>
      </c>
    </row>
    <row r="1756" spans="1:7" ht="15.75" customHeight="1">
      <c r="A1756" s="3">
        <v>246248804</v>
      </c>
      <c r="B1756" s="4" t="s">
        <v>5009</v>
      </c>
      <c r="C1756" s="3" t="s">
        <v>5010</v>
      </c>
      <c r="D1756" s="3" t="s">
        <v>5011</v>
      </c>
      <c r="E1756" s="3" t="s">
        <v>5012</v>
      </c>
      <c r="F1756" s="4" t="s">
        <v>949</v>
      </c>
      <c r="G1756" s="4" t="s">
        <v>950</v>
      </c>
    </row>
    <row r="1757" spans="1:7" ht="15.75" customHeight="1">
      <c r="A1757" s="5">
        <v>246249265</v>
      </c>
      <c r="B1757" s="6" t="s">
        <v>5013</v>
      </c>
      <c r="C1757" s="5" t="s">
        <v>5014</v>
      </c>
      <c r="D1757" s="5" t="s">
        <v>5015</v>
      </c>
      <c r="E1757" s="5" t="s">
        <v>5016</v>
      </c>
      <c r="F1757" s="6" t="s">
        <v>949</v>
      </c>
      <c r="G1757" s="6" t="s">
        <v>950</v>
      </c>
    </row>
    <row r="1758" spans="1:7" ht="15.75" customHeight="1">
      <c r="A1758" s="3">
        <v>246249278</v>
      </c>
      <c r="B1758" s="4" t="s">
        <v>5017</v>
      </c>
      <c r="C1758" s="3" t="s">
        <v>5018</v>
      </c>
      <c r="D1758" s="3">
        <v>87759041663</v>
      </c>
      <c r="E1758" s="3" t="s">
        <v>5019</v>
      </c>
      <c r="F1758" s="4" t="s">
        <v>949</v>
      </c>
      <c r="G1758" s="4" t="s">
        <v>950</v>
      </c>
    </row>
    <row r="1759" spans="1:7" ht="15.75" customHeight="1">
      <c r="A1759" s="5">
        <v>246249477</v>
      </c>
      <c r="B1759" s="6" t="s">
        <v>5020</v>
      </c>
      <c r="C1759" s="5" t="s">
        <v>5021</v>
      </c>
      <c r="D1759" s="5" t="s">
        <v>5022</v>
      </c>
      <c r="E1759" s="5" t="s">
        <v>5023</v>
      </c>
      <c r="F1759" s="6" t="s">
        <v>960</v>
      </c>
      <c r="G1759" s="6" t="s">
        <v>961</v>
      </c>
    </row>
    <row r="1760" spans="1:7" ht="15.75" customHeight="1">
      <c r="A1760" s="3">
        <v>246251547</v>
      </c>
      <c r="B1760" s="4" t="s">
        <v>5024</v>
      </c>
      <c r="C1760" s="3" t="s">
        <v>5025</v>
      </c>
      <c r="D1760" s="3">
        <v>87028569359</v>
      </c>
      <c r="E1760" s="3" t="s">
        <v>5026</v>
      </c>
      <c r="F1760" s="4" t="s">
        <v>949</v>
      </c>
      <c r="G1760" s="4" t="s">
        <v>950</v>
      </c>
    </row>
    <row r="1761" spans="1:7" ht="15.75" customHeight="1">
      <c r="A1761" s="5">
        <v>246251812</v>
      </c>
      <c r="B1761" s="6" t="s">
        <v>5027</v>
      </c>
      <c r="C1761" s="5" t="s">
        <v>5028</v>
      </c>
      <c r="D1761" s="5" t="s">
        <v>5029</v>
      </c>
      <c r="E1761" s="5" t="s">
        <v>5030</v>
      </c>
      <c r="F1761" s="6" t="s">
        <v>949</v>
      </c>
      <c r="G1761" s="6" t="s">
        <v>950</v>
      </c>
    </row>
    <row r="1762" spans="1:7" ht="15.75" customHeight="1">
      <c r="A1762" s="3">
        <v>246251926</v>
      </c>
      <c r="B1762" s="4" t="s">
        <v>5031</v>
      </c>
      <c r="C1762" s="3" t="s">
        <v>5032</v>
      </c>
      <c r="D1762" s="3" t="s">
        <v>5033</v>
      </c>
      <c r="E1762" s="3" t="s">
        <v>5034</v>
      </c>
      <c r="F1762" s="4" t="s">
        <v>949</v>
      </c>
      <c r="G1762" s="4" t="s">
        <v>950</v>
      </c>
    </row>
    <row r="1763" spans="1:7" ht="15.75" customHeight="1">
      <c r="A1763" s="5">
        <v>246253776</v>
      </c>
      <c r="B1763" s="6" t="s">
        <v>5035</v>
      </c>
      <c r="C1763" s="5" t="s">
        <v>5036</v>
      </c>
      <c r="D1763" s="5">
        <v>79213806562</v>
      </c>
      <c r="E1763" s="5" t="s">
        <v>5037</v>
      </c>
      <c r="F1763" s="6" t="s">
        <v>949</v>
      </c>
      <c r="G1763" s="6" t="s">
        <v>950</v>
      </c>
    </row>
    <row r="1764" spans="1:7" ht="15.75" customHeight="1">
      <c r="A1764" s="3">
        <v>246254501</v>
      </c>
      <c r="B1764" s="4" t="s">
        <v>5038</v>
      </c>
      <c r="C1764" s="3" t="s">
        <v>5039</v>
      </c>
      <c r="D1764" s="3" t="s">
        <v>5040</v>
      </c>
      <c r="E1764" s="3" t="s">
        <v>5041</v>
      </c>
      <c r="F1764" s="4" t="s">
        <v>949</v>
      </c>
      <c r="G1764" s="4" t="s">
        <v>950</v>
      </c>
    </row>
    <row r="1765" spans="1:7" ht="15.75" customHeight="1">
      <c r="A1765" s="5">
        <v>246254609</v>
      </c>
      <c r="B1765" s="6" t="s">
        <v>5042</v>
      </c>
      <c r="C1765" s="5" t="s">
        <v>5043</v>
      </c>
      <c r="D1765" s="5" t="s">
        <v>5044</v>
      </c>
      <c r="E1765" s="5" t="s">
        <v>5045</v>
      </c>
      <c r="F1765" s="6" t="s">
        <v>949</v>
      </c>
      <c r="G1765" s="6" t="s">
        <v>950</v>
      </c>
    </row>
    <row r="1766" spans="1:7" ht="15.75" customHeight="1">
      <c r="A1766" s="3">
        <v>246254829</v>
      </c>
      <c r="B1766" s="4" t="s">
        <v>5046</v>
      </c>
      <c r="C1766" s="3" t="s">
        <v>5047</v>
      </c>
      <c r="D1766" s="3" t="s">
        <v>5048</v>
      </c>
      <c r="E1766" s="3" t="s">
        <v>5049</v>
      </c>
      <c r="F1766" s="4" t="s">
        <v>949</v>
      </c>
      <c r="G1766" s="4" t="s">
        <v>950</v>
      </c>
    </row>
    <row r="1767" spans="1:7" ht="15.75" customHeight="1">
      <c r="A1767" s="5">
        <v>246255192</v>
      </c>
      <c r="B1767" s="6" t="s">
        <v>5050</v>
      </c>
      <c r="C1767" s="5" t="s">
        <v>5051</v>
      </c>
      <c r="D1767" s="5">
        <v>87027159558</v>
      </c>
      <c r="E1767" s="5" t="s">
        <v>5052</v>
      </c>
      <c r="F1767" s="6" t="s">
        <v>949</v>
      </c>
      <c r="G1767" s="6" t="s">
        <v>950</v>
      </c>
    </row>
    <row r="1768" spans="1:7" ht="15.75" customHeight="1">
      <c r="A1768" s="3">
        <v>246255366</v>
      </c>
      <c r="B1768" s="4" t="s">
        <v>1039</v>
      </c>
      <c r="C1768" s="3" t="s">
        <v>5053</v>
      </c>
      <c r="D1768" s="3">
        <v>79005618183</v>
      </c>
      <c r="E1768" s="3" t="s">
        <v>5054</v>
      </c>
      <c r="F1768" s="4" t="s">
        <v>960</v>
      </c>
      <c r="G1768" s="4" t="s">
        <v>961</v>
      </c>
    </row>
    <row r="1769" spans="1:7" ht="15.75" customHeight="1">
      <c r="A1769" s="5">
        <v>246255582</v>
      </c>
      <c r="B1769" s="6" t="s">
        <v>5055</v>
      </c>
      <c r="C1769" s="5" t="s">
        <v>5056</v>
      </c>
      <c r="D1769" s="5" t="s">
        <v>5057</v>
      </c>
      <c r="E1769" s="5" t="s">
        <v>5058</v>
      </c>
      <c r="F1769" s="6" t="s">
        <v>949</v>
      </c>
      <c r="G1769" s="6" t="s">
        <v>950</v>
      </c>
    </row>
    <row r="1770" spans="1:7" ht="15.75" customHeight="1">
      <c r="A1770" s="3">
        <v>246255706</v>
      </c>
      <c r="B1770" s="4" t="s">
        <v>5059</v>
      </c>
      <c r="C1770" s="3" t="s">
        <v>5060</v>
      </c>
      <c r="D1770" s="3" t="s">
        <v>5061</v>
      </c>
      <c r="E1770" s="3" t="s">
        <v>5062</v>
      </c>
      <c r="F1770" s="4" t="s">
        <v>949</v>
      </c>
      <c r="G1770" s="4" t="s">
        <v>950</v>
      </c>
    </row>
    <row r="1771" spans="1:7" ht="15.75" customHeight="1">
      <c r="A1771" s="5">
        <v>246255814</v>
      </c>
      <c r="B1771" s="6" t="s">
        <v>5063</v>
      </c>
      <c r="C1771" s="5" t="s">
        <v>5064</v>
      </c>
      <c r="D1771" s="5" t="s">
        <v>5065</v>
      </c>
      <c r="E1771" s="5" t="s">
        <v>5066</v>
      </c>
      <c r="F1771" s="6" t="s">
        <v>949</v>
      </c>
      <c r="G1771" s="6" t="s">
        <v>950</v>
      </c>
    </row>
    <row r="1772" spans="1:7" ht="15.75" customHeight="1">
      <c r="A1772" s="3">
        <v>246255992</v>
      </c>
      <c r="B1772" s="4" t="s">
        <v>5067</v>
      </c>
      <c r="C1772" s="3" t="s">
        <v>5068</v>
      </c>
      <c r="D1772" s="3">
        <v>87787111557</v>
      </c>
      <c r="E1772" s="3" t="s">
        <v>5069</v>
      </c>
      <c r="F1772" s="4" t="s">
        <v>949</v>
      </c>
      <c r="G1772" s="4" t="s">
        <v>950</v>
      </c>
    </row>
    <row r="1773" spans="1:7" ht="15.75" customHeight="1">
      <c r="A1773" s="5">
        <v>246256315</v>
      </c>
      <c r="B1773" s="6" t="s">
        <v>5070</v>
      </c>
      <c r="C1773" s="5" t="s">
        <v>5071</v>
      </c>
      <c r="D1773" s="5">
        <v>77021047208</v>
      </c>
      <c r="E1773" s="5" t="s">
        <v>5072</v>
      </c>
      <c r="F1773" s="6" t="s">
        <v>949</v>
      </c>
      <c r="G1773" s="6" t="s">
        <v>950</v>
      </c>
    </row>
    <row r="1774" spans="1:7" ht="15.75" customHeight="1">
      <c r="A1774" s="3">
        <v>246256326</v>
      </c>
      <c r="B1774" s="4" t="s">
        <v>5073</v>
      </c>
      <c r="C1774" s="3" t="s">
        <v>5074</v>
      </c>
      <c r="D1774" s="3">
        <v>87752641325</v>
      </c>
      <c r="E1774" s="3" t="s">
        <v>5075</v>
      </c>
      <c r="F1774" s="4" t="s">
        <v>949</v>
      </c>
      <c r="G1774" s="4" t="s">
        <v>950</v>
      </c>
    </row>
    <row r="1775" spans="1:7" ht="15.75" customHeight="1">
      <c r="A1775" s="5">
        <v>246256492</v>
      </c>
      <c r="B1775" s="6" t="s">
        <v>5076</v>
      </c>
      <c r="C1775" s="5" t="s">
        <v>5077</v>
      </c>
      <c r="D1775" s="5" t="s">
        <v>5078</v>
      </c>
      <c r="E1775" s="5" t="s">
        <v>5079</v>
      </c>
      <c r="F1775" s="6" t="s">
        <v>949</v>
      </c>
      <c r="G1775" s="6" t="s">
        <v>950</v>
      </c>
    </row>
    <row r="1776" spans="1:7" ht="15.75" customHeight="1">
      <c r="A1776" s="3">
        <v>246256968</v>
      </c>
      <c r="B1776" s="4" t="s">
        <v>5080</v>
      </c>
      <c r="C1776" s="3" t="s">
        <v>5081</v>
      </c>
      <c r="D1776" s="3">
        <v>87059707737</v>
      </c>
      <c r="E1776" s="3" t="s">
        <v>5082</v>
      </c>
      <c r="F1776" s="4" t="s">
        <v>949</v>
      </c>
      <c r="G1776" s="4" t="s">
        <v>950</v>
      </c>
    </row>
    <row r="1777" spans="1:7" ht="15.75" customHeight="1">
      <c r="A1777" s="5">
        <v>246257628</v>
      </c>
      <c r="B1777" s="6" t="s">
        <v>5083</v>
      </c>
      <c r="C1777" s="5" t="s">
        <v>5084</v>
      </c>
      <c r="D1777" s="5" t="s">
        <v>5085</v>
      </c>
      <c r="E1777" s="5" t="s">
        <v>5086</v>
      </c>
      <c r="F1777" s="6" t="s">
        <v>949</v>
      </c>
      <c r="G1777" s="6" t="s">
        <v>950</v>
      </c>
    </row>
    <row r="1778" spans="1:7" ht="15.75" customHeight="1">
      <c r="A1778" s="3">
        <v>246257719</v>
      </c>
      <c r="B1778" s="4" t="s">
        <v>5087</v>
      </c>
      <c r="C1778" s="3" t="s">
        <v>5088</v>
      </c>
      <c r="D1778" s="3" t="s">
        <v>5089</v>
      </c>
      <c r="E1778" s="3" t="s">
        <v>5090</v>
      </c>
      <c r="F1778" s="4" t="s">
        <v>949</v>
      </c>
      <c r="G1778" s="4" t="s">
        <v>950</v>
      </c>
    </row>
    <row r="1779" spans="1:7" ht="15.75" customHeight="1">
      <c r="A1779" s="5">
        <v>246257769</v>
      </c>
      <c r="B1779" s="6" t="s">
        <v>5091</v>
      </c>
      <c r="C1779" s="5" t="s">
        <v>5092</v>
      </c>
      <c r="D1779" s="5">
        <v>87028622956</v>
      </c>
      <c r="E1779" s="5" t="s">
        <v>5093</v>
      </c>
      <c r="F1779" s="6" t="s">
        <v>949</v>
      </c>
      <c r="G1779" s="6" t="s">
        <v>950</v>
      </c>
    </row>
    <row r="1780" spans="1:7" ht="15.75" customHeight="1">
      <c r="A1780" s="3">
        <v>246257961</v>
      </c>
      <c r="B1780" s="4" t="s">
        <v>5094</v>
      </c>
      <c r="C1780" s="3" t="s">
        <v>5095</v>
      </c>
      <c r="D1780" s="3">
        <v>933141468</v>
      </c>
      <c r="E1780" s="3" t="s">
        <v>5096</v>
      </c>
      <c r="F1780" s="4" t="s">
        <v>949</v>
      </c>
      <c r="G1780" s="4" t="s">
        <v>950</v>
      </c>
    </row>
    <row r="1781" spans="1:7" ht="15.75" customHeight="1">
      <c r="A1781" s="5">
        <v>246258066</v>
      </c>
      <c r="B1781" s="6" t="s">
        <v>5097</v>
      </c>
      <c r="C1781" s="5" t="s">
        <v>5098</v>
      </c>
      <c r="D1781" s="5">
        <v>87788715092</v>
      </c>
      <c r="E1781" s="5" t="s">
        <v>5099</v>
      </c>
      <c r="F1781" s="6" t="s">
        <v>949</v>
      </c>
      <c r="G1781" s="6" t="s">
        <v>950</v>
      </c>
    </row>
    <row r="1782" spans="1:7" ht="15.75" customHeight="1">
      <c r="A1782" s="3">
        <v>246258950</v>
      </c>
      <c r="B1782" s="4" t="s">
        <v>5100</v>
      </c>
      <c r="C1782" s="3" t="s">
        <v>5101</v>
      </c>
      <c r="D1782" s="3">
        <v>87011267320</v>
      </c>
      <c r="E1782" s="3" t="s">
        <v>5102</v>
      </c>
      <c r="F1782" s="4" t="s">
        <v>949</v>
      </c>
      <c r="G1782" s="4" t="s">
        <v>950</v>
      </c>
    </row>
    <row r="1783" spans="1:7" ht="15.75" customHeight="1">
      <c r="A1783" s="5">
        <v>246259675</v>
      </c>
      <c r="B1783" s="6" t="s">
        <v>5103</v>
      </c>
      <c r="C1783" s="5" t="s">
        <v>5104</v>
      </c>
      <c r="D1783" s="5" t="s">
        <v>5105</v>
      </c>
      <c r="E1783" s="5" t="s">
        <v>5106</v>
      </c>
      <c r="F1783" s="6" t="s">
        <v>949</v>
      </c>
      <c r="G1783" s="6" t="s">
        <v>950</v>
      </c>
    </row>
    <row r="1784" spans="1:7" ht="15.75" customHeight="1">
      <c r="A1784" s="3">
        <v>246260069</v>
      </c>
      <c r="B1784" s="4" t="s">
        <v>5107</v>
      </c>
      <c r="C1784" s="3" t="s">
        <v>5108</v>
      </c>
      <c r="D1784" s="3">
        <v>998977553836</v>
      </c>
      <c r="E1784" s="3" t="s">
        <v>5109</v>
      </c>
      <c r="F1784" s="4" t="s">
        <v>949</v>
      </c>
      <c r="G1784" s="4" t="s">
        <v>950</v>
      </c>
    </row>
    <row r="1785" spans="1:7" ht="15.75" customHeight="1">
      <c r="A1785" s="5">
        <v>246260263</v>
      </c>
      <c r="B1785" s="6" t="s">
        <v>5110</v>
      </c>
      <c r="C1785" s="5" t="s">
        <v>5111</v>
      </c>
      <c r="D1785" s="5">
        <v>87756323044</v>
      </c>
      <c r="E1785" s="5" t="s">
        <v>5112</v>
      </c>
      <c r="F1785" s="6" t="s">
        <v>949</v>
      </c>
      <c r="G1785" s="6" t="s">
        <v>950</v>
      </c>
    </row>
    <row r="1786" spans="1:7" ht="15.75" customHeight="1">
      <c r="A1786" s="3">
        <v>246261034</v>
      </c>
      <c r="B1786" s="4" t="s">
        <v>5113</v>
      </c>
      <c r="C1786" s="3" t="s">
        <v>5114</v>
      </c>
      <c r="D1786" s="3">
        <v>77012262240</v>
      </c>
      <c r="E1786" s="3" t="s">
        <v>5115</v>
      </c>
      <c r="F1786" s="4" t="s">
        <v>949</v>
      </c>
      <c r="G1786" s="4" t="s">
        <v>950</v>
      </c>
    </row>
    <row r="1787" spans="1:7" ht="15.75" customHeight="1">
      <c r="A1787" s="5">
        <v>246261345</v>
      </c>
      <c r="B1787" s="6" t="s">
        <v>5116</v>
      </c>
      <c r="C1787" s="5" t="s">
        <v>5117</v>
      </c>
      <c r="D1787" s="5" t="s">
        <v>5118</v>
      </c>
      <c r="E1787" s="5" t="s">
        <v>5119</v>
      </c>
      <c r="F1787" s="6" t="s">
        <v>949</v>
      </c>
      <c r="G1787" s="6" t="s">
        <v>950</v>
      </c>
    </row>
    <row r="1788" spans="1:7" ht="15.75" customHeight="1">
      <c r="A1788" s="3">
        <v>246261511</v>
      </c>
      <c r="B1788" s="4" t="s">
        <v>5120</v>
      </c>
      <c r="C1788" s="3" t="s">
        <v>5121</v>
      </c>
      <c r="D1788" s="3">
        <v>993731615</v>
      </c>
      <c r="E1788" s="3" t="s">
        <v>5122</v>
      </c>
      <c r="F1788" s="4" t="s">
        <v>949</v>
      </c>
      <c r="G1788" s="4" t="s">
        <v>950</v>
      </c>
    </row>
    <row r="1789" spans="1:7" ht="15.75" customHeight="1">
      <c r="A1789" s="5">
        <v>246261790</v>
      </c>
      <c r="B1789" s="6" t="s">
        <v>5123</v>
      </c>
      <c r="C1789" s="5" t="s">
        <v>5124</v>
      </c>
      <c r="D1789" s="5" t="s">
        <v>5125</v>
      </c>
      <c r="E1789" s="5" t="s">
        <v>5126</v>
      </c>
      <c r="F1789" s="6" t="s">
        <v>960</v>
      </c>
      <c r="G1789" s="6" t="s">
        <v>961</v>
      </c>
    </row>
    <row r="1790" spans="1:7" ht="15.75" customHeight="1">
      <c r="A1790" s="3">
        <v>246261999</v>
      </c>
      <c r="B1790" s="4" t="s">
        <v>5127</v>
      </c>
      <c r="C1790" s="3" t="s">
        <v>5128</v>
      </c>
      <c r="D1790" s="3">
        <v>7771366975</v>
      </c>
      <c r="E1790" s="3" t="s">
        <v>5129</v>
      </c>
      <c r="F1790" s="4" t="s">
        <v>949</v>
      </c>
      <c r="G1790" s="4" t="s">
        <v>950</v>
      </c>
    </row>
    <row r="1791" spans="1:7" ht="15.75" customHeight="1">
      <c r="A1791" s="5">
        <v>246262718</v>
      </c>
      <c r="B1791" s="6" t="s">
        <v>5130</v>
      </c>
      <c r="C1791" s="5" t="s">
        <v>5131</v>
      </c>
      <c r="D1791" s="5">
        <v>87013642524</v>
      </c>
      <c r="E1791" s="5" t="s">
        <v>5132</v>
      </c>
      <c r="F1791" s="6" t="s">
        <v>949</v>
      </c>
      <c r="G1791" s="6" t="s">
        <v>950</v>
      </c>
    </row>
    <row r="1792" spans="1:7" ht="15.75" customHeight="1">
      <c r="A1792" s="3">
        <v>246262769</v>
      </c>
      <c r="B1792" s="4" t="s">
        <v>5133</v>
      </c>
      <c r="C1792" s="3" t="s">
        <v>5134</v>
      </c>
      <c r="D1792" s="3">
        <v>87011814445</v>
      </c>
      <c r="E1792" s="3" t="s">
        <v>5135</v>
      </c>
      <c r="F1792" s="4" t="s">
        <v>949</v>
      </c>
      <c r="G1792" s="4" t="s">
        <v>950</v>
      </c>
    </row>
    <row r="1793" spans="1:7" ht="15.75" customHeight="1">
      <c r="A1793" s="5">
        <v>246263088</v>
      </c>
      <c r="B1793" s="6" t="s">
        <v>5136</v>
      </c>
      <c r="C1793" s="5" t="s">
        <v>5137</v>
      </c>
      <c r="D1793" s="5">
        <v>87779208901</v>
      </c>
      <c r="E1793" s="5" t="s">
        <v>5138</v>
      </c>
      <c r="F1793" s="6" t="s">
        <v>949</v>
      </c>
      <c r="G1793" s="6" t="s">
        <v>950</v>
      </c>
    </row>
    <row r="1794" spans="1:7" ht="15.75" customHeight="1">
      <c r="A1794" s="3">
        <v>246263223</v>
      </c>
      <c r="B1794" s="4" t="s">
        <v>5139</v>
      </c>
      <c r="C1794" s="3" t="s">
        <v>5140</v>
      </c>
      <c r="D1794" s="3" t="s">
        <v>5141</v>
      </c>
      <c r="E1794" s="3" t="s">
        <v>5142</v>
      </c>
      <c r="F1794" s="4" t="s">
        <v>949</v>
      </c>
      <c r="G1794" s="4" t="s">
        <v>950</v>
      </c>
    </row>
    <row r="1795" spans="1:7" ht="15.75" customHeight="1">
      <c r="A1795" s="5">
        <v>246264369</v>
      </c>
      <c r="B1795" s="6" t="s">
        <v>5143</v>
      </c>
      <c r="C1795" s="5" t="s">
        <v>5144</v>
      </c>
      <c r="D1795" s="5" t="s">
        <v>5145</v>
      </c>
      <c r="E1795" s="5" t="s">
        <v>5146</v>
      </c>
      <c r="F1795" s="6" t="s">
        <v>949</v>
      </c>
      <c r="G1795" s="6" t="s">
        <v>950</v>
      </c>
    </row>
    <row r="1796" spans="1:7" ht="15.75" customHeight="1">
      <c r="A1796" s="3">
        <v>246264712</v>
      </c>
      <c r="B1796" s="4" t="s">
        <v>5147</v>
      </c>
      <c r="C1796" s="3" t="s">
        <v>5148</v>
      </c>
      <c r="D1796" s="3" t="s">
        <v>5149</v>
      </c>
      <c r="E1796" s="3" t="s">
        <v>5150</v>
      </c>
      <c r="F1796" s="4" t="s">
        <v>949</v>
      </c>
      <c r="G1796" s="4" t="s">
        <v>950</v>
      </c>
    </row>
    <row r="1797" spans="1:7" ht="15.75" customHeight="1">
      <c r="A1797" s="5">
        <v>246264975</v>
      </c>
      <c r="B1797" s="6" t="s">
        <v>5151</v>
      </c>
      <c r="C1797" s="5" t="s">
        <v>5152</v>
      </c>
      <c r="D1797" s="5">
        <v>7015539311</v>
      </c>
      <c r="E1797" s="5" t="s">
        <v>5153</v>
      </c>
      <c r="F1797" s="6" t="s">
        <v>949</v>
      </c>
      <c r="G1797" s="6" t="s">
        <v>950</v>
      </c>
    </row>
    <row r="1798" spans="1:7" ht="15.75" customHeight="1">
      <c r="A1798" s="3">
        <v>246265021</v>
      </c>
      <c r="B1798" s="4" t="s">
        <v>5154</v>
      </c>
      <c r="C1798" s="3" t="s">
        <v>5155</v>
      </c>
      <c r="D1798" s="3" t="s">
        <v>5156</v>
      </c>
      <c r="E1798" s="3" t="s">
        <v>5157</v>
      </c>
      <c r="F1798" s="4" t="s">
        <v>960</v>
      </c>
      <c r="G1798" s="4" t="s">
        <v>961</v>
      </c>
    </row>
    <row r="1799" spans="1:7" ht="15.75" customHeight="1">
      <c r="A1799" s="5">
        <v>246265522</v>
      </c>
      <c r="B1799" s="6" t="s">
        <v>5158</v>
      </c>
      <c r="C1799" s="5" t="s">
        <v>5159</v>
      </c>
      <c r="D1799" s="5" t="s">
        <v>5160</v>
      </c>
      <c r="E1799" s="5" t="s">
        <v>5161</v>
      </c>
      <c r="F1799" s="6" t="s">
        <v>949</v>
      </c>
      <c r="G1799" s="6" t="s">
        <v>950</v>
      </c>
    </row>
    <row r="1800" spans="1:7" ht="15.75" customHeight="1">
      <c r="A1800" s="3">
        <v>246266080</v>
      </c>
      <c r="B1800" s="4" t="s">
        <v>5162</v>
      </c>
      <c r="C1800" s="3" t="s">
        <v>5163</v>
      </c>
      <c r="D1800" s="3">
        <v>87777777777</v>
      </c>
      <c r="E1800" s="3" t="s">
        <v>5164</v>
      </c>
      <c r="F1800" s="4" t="s">
        <v>949</v>
      </c>
      <c r="G1800" s="4" t="s">
        <v>950</v>
      </c>
    </row>
    <row r="1801" spans="1:7" ht="15.75" customHeight="1">
      <c r="A1801" s="5">
        <v>246266377</v>
      </c>
      <c r="B1801" s="6" t="s">
        <v>5165</v>
      </c>
      <c r="C1801" s="5" t="s">
        <v>5166</v>
      </c>
      <c r="D1801" s="5">
        <v>87055053768</v>
      </c>
      <c r="E1801" s="5" t="s">
        <v>5167</v>
      </c>
      <c r="F1801" s="6" t="s">
        <v>949</v>
      </c>
      <c r="G1801" s="6" t="s">
        <v>950</v>
      </c>
    </row>
    <row r="1802" spans="1:7" ht="15.75" customHeight="1">
      <c r="A1802" s="3">
        <v>246266548</v>
      </c>
      <c r="B1802" s="4" t="s">
        <v>5168</v>
      </c>
      <c r="C1802" s="3" t="s">
        <v>5169</v>
      </c>
      <c r="D1802" s="3" t="s">
        <v>5170</v>
      </c>
      <c r="E1802" s="3" t="s">
        <v>5171</v>
      </c>
      <c r="F1802" s="4" t="s">
        <v>949</v>
      </c>
      <c r="G1802" s="4" t="s">
        <v>950</v>
      </c>
    </row>
    <row r="1803" spans="1:7" ht="15.75" customHeight="1">
      <c r="A1803" s="5">
        <v>246266597</v>
      </c>
      <c r="B1803" s="6" t="s">
        <v>5172</v>
      </c>
      <c r="C1803" s="5" t="s">
        <v>5173</v>
      </c>
      <c r="D1803" s="5">
        <v>87081599579</v>
      </c>
      <c r="E1803" s="5" t="s">
        <v>5174</v>
      </c>
      <c r="F1803" s="6" t="s">
        <v>949</v>
      </c>
      <c r="G1803" s="6" t="s">
        <v>950</v>
      </c>
    </row>
    <row r="1804" spans="1:7" ht="15.75" customHeight="1">
      <c r="A1804" s="3">
        <v>246266660</v>
      </c>
      <c r="B1804" s="4" t="s">
        <v>5175</v>
      </c>
      <c r="C1804" s="3" t="s">
        <v>5176</v>
      </c>
      <c r="D1804" s="3">
        <v>87075505852</v>
      </c>
      <c r="E1804" s="3" t="s">
        <v>5177</v>
      </c>
      <c r="F1804" s="4" t="s">
        <v>949</v>
      </c>
      <c r="G1804" s="4" t="s">
        <v>950</v>
      </c>
    </row>
    <row r="1805" spans="1:7" ht="15.75" customHeight="1">
      <c r="A1805" s="5">
        <v>246267426</v>
      </c>
      <c r="B1805" s="6" t="s">
        <v>5178</v>
      </c>
      <c r="C1805" s="5" t="s">
        <v>5179</v>
      </c>
      <c r="D1805" s="5" t="s">
        <v>5180</v>
      </c>
      <c r="E1805" s="5" t="s">
        <v>5181</v>
      </c>
      <c r="F1805" s="6" t="s">
        <v>949</v>
      </c>
      <c r="G1805" s="6" t="s">
        <v>950</v>
      </c>
    </row>
    <row r="1806" spans="1:7" ht="15.75" customHeight="1">
      <c r="A1806" s="3">
        <v>246267456</v>
      </c>
      <c r="B1806" s="4" t="s">
        <v>5182</v>
      </c>
      <c r="C1806" s="3" t="s">
        <v>5183</v>
      </c>
      <c r="D1806" s="3">
        <v>87077663127</v>
      </c>
      <c r="E1806" s="3" t="s">
        <v>5184</v>
      </c>
      <c r="F1806" s="4" t="s">
        <v>949</v>
      </c>
      <c r="G1806" s="4" t="s">
        <v>950</v>
      </c>
    </row>
    <row r="1807" spans="1:7" ht="15.75" customHeight="1">
      <c r="A1807" s="5">
        <v>246267884</v>
      </c>
      <c r="B1807" s="6" t="s">
        <v>5185</v>
      </c>
      <c r="C1807" s="5" t="s">
        <v>5186</v>
      </c>
      <c r="D1807" s="5" t="s">
        <v>5187</v>
      </c>
      <c r="E1807" s="5" t="s">
        <v>5188</v>
      </c>
      <c r="F1807" s="6" t="s">
        <v>949</v>
      </c>
      <c r="G1807" s="6" t="s">
        <v>950</v>
      </c>
    </row>
    <row r="1808" spans="1:7" ht="15.75" customHeight="1">
      <c r="A1808" s="3">
        <v>246269048</v>
      </c>
      <c r="B1808" s="4" t="s">
        <v>5189</v>
      </c>
      <c r="C1808" s="3" t="s">
        <v>5190</v>
      </c>
      <c r="D1808" s="3">
        <v>903540424</v>
      </c>
      <c r="E1808" s="3" t="s">
        <v>5191</v>
      </c>
      <c r="F1808" s="4" t="s">
        <v>949</v>
      </c>
      <c r="G1808" s="4" t="s">
        <v>950</v>
      </c>
    </row>
    <row r="1809" spans="1:7" ht="15.75" customHeight="1">
      <c r="A1809" s="5">
        <v>246269162</v>
      </c>
      <c r="B1809" s="6" t="s">
        <v>5192</v>
      </c>
      <c r="C1809" s="5" t="s">
        <v>5193</v>
      </c>
      <c r="D1809" s="5">
        <v>87069062888</v>
      </c>
      <c r="E1809" s="5" t="s">
        <v>5194</v>
      </c>
      <c r="F1809" s="6" t="s">
        <v>949</v>
      </c>
      <c r="G1809" s="6" t="s">
        <v>950</v>
      </c>
    </row>
    <row r="1810" spans="1:7" ht="15.75" customHeight="1">
      <c r="A1810" s="3">
        <v>246269342</v>
      </c>
      <c r="B1810" s="4" t="s">
        <v>5195</v>
      </c>
      <c r="C1810" s="3" t="s">
        <v>5196</v>
      </c>
      <c r="D1810" s="3">
        <v>87772176138</v>
      </c>
      <c r="E1810" s="3" t="s">
        <v>5197</v>
      </c>
      <c r="F1810" s="4" t="s">
        <v>949</v>
      </c>
      <c r="G1810" s="4" t="s">
        <v>950</v>
      </c>
    </row>
    <row r="1811" spans="1:7" ht="15.75" customHeight="1">
      <c r="A1811" s="5">
        <v>244475594</v>
      </c>
      <c r="B1811" s="6" t="s">
        <v>4264</v>
      </c>
      <c r="C1811" s="5" t="s">
        <v>4265</v>
      </c>
      <c r="D1811" s="5" t="s">
        <v>4266</v>
      </c>
      <c r="E1811" s="5" t="s">
        <v>5198</v>
      </c>
      <c r="F1811" s="6" t="s">
        <v>949</v>
      </c>
      <c r="G1811" s="6" t="s">
        <v>950</v>
      </c>
    </row>
    <row r="1812" spans="1:7" ht="15.75" customHeight="1">
      <c r="A1812" s="3">
        <v>246269961</v>
      </c>
      <c r="B1812" s="4" t="s">
        <v>5199</v>
      </c>
      <c r="C1812" s="3" t="s">
        <v>5200</v>
      </c>
      <c r="D1812" s="3" t="s">
        <v>5201</v>
      </c>
      <c r="E1812" s="3" t="s">
        <v>5202</v>
      </c>
      <c r="F1812" s="4" t="s">
        <v>949</v>
      </c>
      <c r="G1812" s="4" t="s">
        <v>950</v>
      </c>
    </row>
    <row r="1813" spans="1:7" ht="15.75" customHeight="1">
      <c r="A1813" s="5">
        <v>246270077</v>
      </c>
      <c r="B1813" s="6" t="s">
        <v>5203</v>
      </c>
      <c r="C1813" s="5" t="s">
        <v>5204</v>
      </c>
      <c r="D1813" s="5" t="s">
        <v>5205</v>
      </c>
      <c r="E1813" s="5" t="s">
        <v>5206</v>
      </c>
      <c r="F1813" s="6" t="s">
        <v>949</v>
      </c>
      <c r="G1813" s="6" t="s">
        <v>950</v>
      </c>
    </row>
    <row r="1814" spans="1:7" ht="15.75" customHeight="1">
      <c r="A1814" s="3">
        <v>246270202</v>
      </c>
      <c r="B1814" s="4" t="s">
        <v>5207</v>
      </c>
      <c r="C1814" s="3" t="s">
        <v>5208</v>
      </c>
      <c r="D1814" s="3" t="s">
        <v>5209</v>
      </c>
      <c r="E1814" s="3" t="s">
        <v>5210</v>
      </c>
      <c r="F1814" s="4" t="s">
        <v>949</v>
      </c>
      <c r="G1814" s="4" t="s">
        <v>950</v>
      </c>
    </row>
    <row r="1815" spans="1:7" ht="15.75" customHeight="1">
      <c r="A1815" s="5">
        <v>246270659</v>
      </c>
      <c r="B1815" s="6" t="s">
        <v>5211</v>
      </c>
      <c r="C1815" s="5" t="s">
        <v>5212</v>
      </c>
      <c r="D1815" s="5" t="s">
        <v>5213</v>
      </c>
      <c r="E1815" s="5" t="s">
        <v>5214</v>
      </c>
      <c r="F1815" s="6" t="s">
        <v>949</v>
      </c>
      <c r="G1815" s="6" t="s">
        <v>950</v>
      </c>
    </row>
    <row r="1816" spans="1:7" ht="15.75" customHeight="1">
      <c r="A1816" s="3">
        <v>246270916</v>
      </c>
      <c r="B1816" s="4" t="s">
        <v>5215</v>
      </c>
      <c r="C1816" s="3" t="s">
        <v>5216</v>
      </c>
      <c r="D1816" s="3" t="s">
        <v>5217</v>
      </c>
      <c r="E1816" s="3" t="s">
        <v>5218</v>
      </c>
      <c r="F1816" s="4" t="s">
        <v>949</v>
      </c>
      <c r="G1816" s="4" t="s">
        <v>950</v>
      </c>
    </row>
    <row r="1817" spans="1:7" ht="15.75" customHeight="1">
      <c r="A1817" s="5">
        <v>246270926</v>
      </c>
      <c r="B1817" s="6" t="s">
        <v>5219</v>
      </c>
      <c r="C1817" s="5" t="s">
        <v>5220</v>
      </c>
      <c r="D1817" s="5" t="s">
        <v>5221</v>
      </c>
      <c r="E1817" s="5" t="s">
        <v>5222</v>
      </c>
      <c r="F1817" s="6" t="s">
        <v>949</v>
      </c>
      <c r="G1817" s="6" t="s">
        <v>950</v>
      </c>
    </row>
    <row r="1818" spans="1:7" ht="15.75" customHeight="1">
      <c r="A1818" s="3">
        <v>246271791</v>
      </c>
      <c r="B1818" s="4" t="s">
        <v>5223</v>
      </c>
      <c r="C1818" s="3" t="s">
        <v>5224</v>
      </c>
      <c r="D1818" s="3">
        <v>87477481077</v>
      </c>
      <c r="E1818" s="3" t="s">
        <v>5225</v>
      </c>
      <c r="F1818" s="4" t="s">
        <v>949</v>
      </c>
      <c r="G1818" s="4" t="s">
        <v>950</v>
      </c>
    </row>
    <row r="1819" spans="1:7" ht="15.75" customHeight="1">
      <c r="A1819" s="5">
        <v>246271933</v>
      </c>
      <c r="B1819" s="6" t="s">
        <v>5226</v>
      </c>
      <c r="C1819" s="5" t="s">
        <v>5227</v>
      </c>
      <c r="D1819" s="5">
        <v>77004480404</v>
      </c>
      <c r="E1819" s="5" t="s">
        <v>5228</v>
      </c>
      <c r="F1819" s="6" t="s">
        <v>949</v>
      </c>
      <c r="G1819" s="6" t="s">
        <v>950</v>
      </c>
    </row>
    <row r="1820" spans="1:7" ht="15.75" customHeight="1">
      <c r="A1820" s="3">
        <v>246272379</v>
      </c>
      <c r="B1820" s="4" t="s">
        <v>5229</v>
      </c>
      <c r="C1820" s="3" t="s">
        <v>5230</v>
      </c>
      <c r="D1820" s="3" t="s">
        <v>5231</v>
      </c>
      <c r="E1820" s="3" t="s">
        <v>5232</v>
      </c>
      <c r="F1820" s="4" t="s">
        <v>949</v>
      </c>
      <c r="G1820" s="4" t="s">
        <v>950</v>
      </c>
    </row>
    <row r="1821" spans="1:7" ht="15.75" customHeight="1">
      <c r="A1821" s="5">
        <v>246272630</v>
      </c>
      <c r="B1821" s="6" t="s">
        <v>5233</v>
      </c>
      <c r="C1821" s="5" t="s">
        <v>5234</v>
      </c>
      <c r="D1821" s="5" t="s">
        <v>5235</v>
      </c>
      <c r="E1821" s="5" t="s">
        <v>5236</v>
      </c>
      <c r="F1821" s="6" t="s">
        <v>949</v>
      </c>
      <c r="G1821" s="6" t="s">
        <v>950</v>
      </c>
    </row>
    <row r="1822" spans="1:7" ht="15.75" customHeight="1">
      <c r="A1822" s="3">
        <v>246272708</v>
      </c>
      <c r="B1822" s="4" t="s">
        <v>5237</v>
      </c>
      <c r="C1822" s="3" t="s">
        <v>5238</v>
      </c>
      <c r="D1822" s="3">
        <v>87783559875</v>
      </c>
      <c r="E1822" s="3" t="s">
        <v>5239</v>
      </c>
      <c r="F1822" s="4" t="s">
        <v>949</v>
      </c>
      <c r="G1822" s="4" t="s">
        <v>950</v>
      </c>
    </row>
    <row r="1823" spans="1:7" ht="15.75" customHeight="1">
      <c r="A1823" s="5">
        <v>246272834</v>
      </c>
      <c r="B1823" s="6" t="s">
        <v>5240</v>
      </c>
      <c r="C1823" s="5" t="s">
        <v>5241</v>
      </c>
      <c r="D1823" s="5">
        <v>87082956209</v>
      </c>
      <c r="E1823" s="5" t="s">
        <v>5242</v>
      </c>
      <c r="F1823" s="6" t="s">
        <v>949</v>
      </c>
      <c r="G1823" s="6" t="s">
        <v>950</v>
      </c>
    </row>
    <row r="1824" spans="1:7" ht="15.75" customHeight="1">
      <c r="A1824" s="3">
        <v>246272987</v>
      </c>
      <c r="B1824" s="4" t="s">
        <v>5243</v>
      </c>
      <c r="C1824" s="3" t="s">
        <v>5244</v>
      </c>
      <c r="D1824" s="3">
        <v>87470322087</v>
      </c>
      <c r="E1824" s="3" t="s">
        <v>5245</v>
      </c>
      <c r="F1824" s="4" t="s">
        <v>949</v>
      </c>
      <c r="G1824" s="4" t="s">
        <v>950</v>
      </c>
    </row>
    <row r="1825" spans="1:7" ht="15.75" customHeight="1">
      <c r="A1825" s="5">
        <v>246273018</v>
      </c>
      <c r="B1825" s="6" t="s">
        <v>5246</v>
      </c>
      <c r="C1825" s="5" t="s">
        <v>5247</v>
      </c>
      <c r="D1825" s="5" t="s">
        <v>5248</v>
      </c>
      <c r="E1825" s="5" t="s">
        <v>5249</v>
      </c>
      <c r="F1825" s="6" t="s">
        <v>949</v>
      </c>
      <c r="G1825" s="6" t="s">
        <v>950</v>
      </c>
    </row>
    <row r="1826" spans="1:7" ht="15.75" customHeight="1">
      <c r="A1826" s="3">
        <v>246273018</v>
      </c>
      <c r="B1826" s="4" t="s">
        <v>5246</v>
      </c>
      <c r="C1826" s="3" t="s">
        <v>5247</v>
      </c>
      <c r="D1826" s="3" t="s">
        <v>5248</v>
      </c>
      <c r="E1826" s="3" t="s">
        <v>5249</v>
      </c>
      <c r="F1826" s="4" t="s">
        <v>949</v>
      </c>
      <c r="G1826" s="4" t="s">
        <v>950</v>
      </c>
    </row>
    <row r="1827" spans="1:7" ht="15.75" customHeight="1">
      <c r="A1827" s="5">
        <v>246273020</v>
      </c>
      <c r="B1827" s="6" t="s">
        <v>5250</v>
      </c>
      <c r="C1827" s="5" t="s">
        <v>5251</v>
      </c>
      <c r="D1827" s="5" t="s">
        <v>5252</v>
      </c>
      <c r="E1827" s="5" t="s">
        <v>5253</v>
      </c>
      <c r="F1827" s="6" t="s">
        <v>949</v>
      </c>
      <c r="G1827" s="6" t="s">
        <v>950</v>
      </c>
    </row>
    <row r="1828" spans="1:7" ht="15.75" customHeight="1">
      <c r="A1828" s="3">
        <v>246273049</v>
      </c>
      <c r="B1828" s="4" t="s">
        <v>5254</v>
      </c>
      <c r="C1828" s="3" t="s">
        <v>5255</v>
      </c>
      <c r="D1828" s="3">
        <v>79871364660</v>
      </c>
      <c r="E1828" s="3" t="s">
        <v>5256</v>
      </c>
      <c r="F1828" s="4" t="s">
        <v>949</v>
      </c>
      <c r="G1828" s="4" t="s">
        <v>950</v>
      </c>
    </row>
    <row r="1829" spans="1:7" ht="15.75" customHeight="1">
      <c r="A1829" s="5">
        <v>246273153</v>
      </c>
      <c r="B1829" s="6" t="s">
        <v>5257</v>
      </c>
      <c r="C1829" s="5" t="s">
        <v>5258</v>
      </c>
      <c r="D1829" s="5" t="s">
        <v>5259</v>
      </c>
      <c r="E1829" s="5" t="s">
        <v>5260</v>
      </c>
      <c r="F1829" s="6" t="s">
        <v>949</v>
      </c>
      <c r="G1829" s="6" t="s">
        <v>950</v>
      </c>
    </row>
    <row r="1830" spans="1:7" ht="15.75" customHeight="1">
      <c r="A1830" s="3">
        <v>246273302</v>
      </c>
      <c r="B1830" s="4" t="s">
        <v>5261</v>
      </c>
      <c r="C1830" s="3" t="s">
        <v>5262</v>
      </c>
      <c r="D1830" s="3" t="s">
        <v>5263</v>
      </c>
      <c r="E1830" s="3" t="s">
        <v>5264</v>
      </c>
      <c r="F1830" s="4" t="s">
        <v>949</v>
      </c>
      <c r="G1830" s="4" t="s">
        <v>950</v>
      </c>
    </row>
    <row r="1831" spans="1:7" ht="15.75" customHeight="1">
      <c r="A1831" s="5">
        <v>246273350</v>
      </c>
      <c r="B1831" s="6" t="s">
        <v>5265</v>
      </c>
      <c r="C1831" s="5" t="s">
        <v>5266</v>
      </c>
      <c r="D1831" s="5">
        <v>998850646</v>
      </c>
      <c r="E1831" s="5" t="s">
        <v>5267</v>
      </c>
      <c r="F1831" s="6" t="s">
        <v>949</v>
      </c>
      <c r="G1831" s="6" t="s">
        <v>950</v>
      </c>
    </row>
    <row r="1832" spans="1:7" ht="15.75" customHeight="1">
      <c r="A1832" s="3">
        <v>245824294</v>
      </c>
      <c r="B1832" s="4" t="s">
        <v>230</v>
      </c>
      <c r="C1832" s="3" t="s">
        <v>4349</v>
      </c>
      <c r="D1832" s="3">
        <v>79049860544</v>
      </c>
      <c r="E1832" s="3" t="s">
        <v>5268</v>
      </c>
      <c r="F1832" s="4" t="s">
        <v>949</v>
      </c>
      <c r="G1832" s="4" t="s">
        <v>950</v>
      </c>
    </row>
    <row r="1833" spans="1:7" ht="15.75" customHeight="1">
      <c r="A1833" s="5">
        <v>246273858</v>
      </c>
      <c r="B1833" s="6" t="s">
        <v>5269</v>
      </c>
      <c r="C1833" s="5" t="s">
        <v>5270</v>
      </c>
      <c r="D1833" s="5">
        <v>87076100983</v>
      </c>
      <c r="E1833" s="5" t="s">
        <v>5271</v>
      </c>
      <c r="F1833" s="6" t="s">
        <v>949</v>
      </c>
      <c r="G1833" s="6" t="s">
        <v>950</v>
      </c>
    </row>
    <row r="1834" spans="1:7" ht="15.75" customHeight="1">
      <c r="A1834" s="3">
        <v>246273976</v>
      </c>
      <c r="B1834" s="4" t="s">
        <v>5272</v>
      </c>
      <c r="C1834" s="3" t="s">
        <v>5273</v>
      </c>
      <c r="D1834" s="3" t="s">
        <v>5274</v>
      </c>
      <c r="E1834" s="3" t="s">
        <v>5275</v>
      </c>
      <c r="F1834" s="4" t="s">
        <v>949</v>
      </c>
      <c r="G1834" s="4" t="s">
        <v>950</v>
      </c>
    </row>
    <row r="1835" spans="1:7" ht="15.75" customHeight="1">
      <c r="A1835" s="5">
        <v>246274146</v>
      </c>
      <c r="B1835" s="6" t="s">
        <v>5276</v>
      </c>
      <c r="C1835" s="5" t="s">
        <v>5277</v>
      </c>
      <c r="D1835" s="5" t="s">
        <v>5278</v>
      </c>
      <c r="E1835" s="5" t="s">
        <v>5279</v>
      </c>
      <c r="F1835" s="6" t="s">
        <v>949</v>
      </c>
      <c r="G1835" s="6" t="s">
        <v>950</v>
      </c>
    </row>
    <row r="1836" spans="1:7" ht="15.75" customHeight="1">
      <c r="A1836" s="3">
        <v>246275086</v>
      </c>
      <c r="B1836" s="4" t="s">
        <v>5280</v>
      </c>
      <c r="C1836" s="3" t="s">
        <v>5281</v>
      </c>
      <c r="D1836" s="3" t="s">
        <v>5282</v>
      </c>
      <c r="E1836" s="3" t="s">
        <v>5283</v>
      </c>
      <c r="F1836" s="4" t="s">
        <v>949</v>
      </c>
      <c r="G1836" s="4" t="s">
        <v>950</v>
      </c>
    </row>
    <row r="1837" spans="1:7" ht="15.75" customHeight="1">
      <c r="A1837" s="5">
        <v>246275110</v>
      </c>
      <c r="B1837" s="6" t="s">
        <v>5284</v>
      </c>
      <c r="C1837" s="5" t="s">
        <v>5285</v>
      </c>
      <c r="D1837" s="5">
        <v>87784091163</v>
      </c>
      <c r="E1837" s="5" t="s">
        <v>5286</v>
      </c>
      <c r="F1837" s="6" t="s">
        <v>949</v>
      </c>
      <c r="G1837" s="6" t="s">
        <v>950</v>
      </c>
    </row>
    <row r="1838" spans="1:7" ht="15.75" customHeight="1">
      <c r="A1838" s="3">
        <v>246275406</v>
      </c>
      <c r="B1838" s="4" t="s">
        <v>5287</v>
      </c>
      <c r="C1838" s="3" t="s">
        <v>5288</v>
      </c>
      <c r="D1838" s="3">
        <v>87089880158</v>
      </c>
      <c r="E1838" s="3" t="s">
        <v>5289</v>
      </c>
      <c r="F1838" s="4" t="s">
        <v>949</v>
      </c>
      <c r="G1838" s="4" t="s">
        <v>950</v>
      </c>
    </row>
    <row r="1839" spans="1:7" ht="15.75" customHeight="1">
      <c r="A1839" s="5">
        <v>246275466</v>
      </c>
      <c r="B1839" s="6" t="s">
        <v>5290</v>
      </c>
      <c r="C1839" s="5" t="s">
        <v>5291</v>
      </c>
      <c r="D1839" s="5">
        <v>87471529829</v>
      </c>
      <c r="E1839" s="5" t="s">
        <v>5292</v>
      </c>
      <c r="F1839" s="6" t="s">
        <v>949</v>
      </c>
      <c r="G1839" s="6" t="s">
        <v>950</v>
      </c>
    </row>
    <row r="1840" spans="1:7" ht="15.75" customHeight="1">
      <c r="A1840" s="3">
        <v>246275822</v>
      </c>
      <c r="B1840" s="4" t="s">
        <v>5293</v>
      </c>
      <c r="C1840" s="3" t="s">
        <v>5294</v>
      </c>
      <c r="D1840" s="3" t="s">
        <v>5295</v>
      </c>
      <c r="E1840" s="3" t="s">
        <v>5296</v>
      </c>
      <c r="F1840" s="4" t="s">
        <v>949</v>
      </c>
      <c r="G1840" s="4" t="s">
        <v>950</v>
      </c>
    </row>
    <row r="1841" spans="1:7" ht="15.75" customHeight="1">
      <c r="A1841" s="5">
        <v>246276005</v>
      </c>
      <c r="B1841" s="6" t="s">
        <v>5297</v>
      </c>
      <c r="C1841" s="5" t="s">
        <v>5298</v>
      </c>
      <c r="D1841" s="5" t="s">
        <v>5299</v>
      </c>
      <c r="E1841" s="5" t="s">
        <v>5300</v>
      </c>
      <c r="F1841" s="6" t="s">
        <v>949</v>
      </c>
      <c r="G1841" s="6" t="s">
        <v>950</v>
      </c>
    </row>
    <row r="1842" spans="1:7" ht="15.75" customHeight="1">
      <c r="A1842" s="3">
        <v>246276048</v>
      </c>
      <c r="B1842" s="4" t="s">
        <v>5301</v>
      </c>
      <c r="C1842" s="3" t="s">
        <v>5302</v>
      </c>
      <c r="D1842" s="3">
        <v>87014562141</v>
      </c>
      <c r="E1842" s="3" t="s">
        <v>5303</v>
      </c>
      <c r="F1842" s="4" t="s">
        <v>949</v>
      </c>
      <c r="G1842" s="4" t="s">
        <v>950</v>
      </c>
    </row>
    <row r="1843" spans="1:7" ht="15.75" customHeight="1">
      <c r="A1843" s="5">
        <v>246276224</v>
      </c>
      <c r="B1843" s="6" t="s">
        <v>5304</v>
      </c>
      <c r="C1843" s="5" t="s">
        <v>5305</v>
      </c>
      <c r="D1843" s="5" t="s">
        <v>5306</v>
      </c>
      <c r="E1843" s="5" t="s">
        <v>5307</v>
      </c>
      <c r="F1843" s="6" t="s">
        <v>949</v>
      </c>
      <c r="G1843" s="6" t="s">
        <v>950</v>
      </c>
    </row>
    <row r="1844" spans="1:7" ht="15.75" customHeight="1">
      <c r="A1844" s="3">
        <v>246276338</v>
      </c>
      <c r="B1844" s="4" t="s">
        <v>5308</v>
      </c>
      <c r="C1844" s="3" t="s">
        <v>5309</v>
      </c>
      <c r="D1844" s="3" t="s">
        <v>5310</v>
      </c>
      <c r="E1844" s="3" t="s">
        <v>5311</v>
      </c>
      <c r="F1844" s="4" t="s">
        <v>949</v>
      </c>
      <c r="G1844" s="4" t="s">
        <v>950</v>
      </c>
    </row>
    <row r="1845" spans="1:7" ht="15.75" customHeight="1">
      <c r="A1845" s="5">
        <v>246276483</v>
      </c>
      <c r="B1845" s="6" t="s">
        <v>5312</v>
      </c>
      <c r="C1845" s="5" t="s">
        <v>5313</v>
      </c>
      <c r="D1845" s="5">
        <v>87077673593</v>
      </c>
      <c r="E1845" s="5" t="s">
        <v>5314</v>
      </c>
      <c r="F1845" s="6" t="s">
        <v>949</v>
      </c>
      <c r="G1845" s="6" t="s">
        <v>950</v>
      </c>
    </row>
    <row r="1846" spans="1:7" ht="15.75" customHeight="1">
      <c r="A1846" s="3">
        <v>246276599</v>
      </c>
      <c r="B1846" s="4" t="s">
        <v>5315</v>
      </c>
      <c r="C1846" s="3" t="s">
        <v>5316</v>
      </c>
      <c r="D1846" s="3">
        <v>909971429</v>
      </c>
      <c r="E1846" s="3" t="s">
        <v>5317</v>
      </c>
      <c r="F1846" s="4" t="s">
        <v>949</v>
      </c>
      <c r="G1846" s="4" t="s">
        <v>950</v>
      </c>
    </row>
    <row r="1847" spans="1:7" ht="15.75" customHeight="1">
      <c r="A1847" s="5">
        <v>246277234</v>
      </c>
      <c r="B1847" s="6" t="s">
        <v>5318</v>
      </c>
      <c r="C1847" s="5" t="s">
        <v>5319</v>
      </c>
      <c r="D1847" s="5">
        <v>79103295589</v>
      </c>
      <c r="E1847" s="5" t="s">
        <v>5320</v>
      </c>
      <c r="F1847" s="6" t="s">
        <v>960</v>
      </c>
      <c r="G1847" s="6" t="s">
        <v>961</v>
      </c>
    </row>
    <row r="1848" spans="1:7" ht="15.75" customHeight="1">
      <c r="A1848" s="3">
        <v>246277307</v>
      </c>
      <c r="B1848" s="4" t="s">
        <v>5321</v>
      </c>
      <c r="C1848" s="3" t="s">
        <v>5322</v>
      </c>
      <c r="D1848" s="3">
        <v>87769163657</v>
      </c>
      <c r="E1848" s="3" t="s">
        <v>5323</v>
      </c>
      <c r="F1848" s="4" t="s">
        <v>949</v>
      </c>
      <c r="G1848" s="4" t="s">
        <v>950</v>
      </c>
    </row>
    <row r="1849" spans="1:7" ht="15.75" customHeight="1">
      <c r="A1849" s="5">
        <v>246277579</v>
      </c>
      <c r="B1849" s="6" t="s">
        <v>5324</v>
      </c>
      <c r="C1849" s="5" t="s">
        <v>5325</v>
      </c>
      <c r="D1849" s="5" t="s">
        <v>5326</v>
      </c>
      <c r="E1849" s="5" t="s">
        <v>5327</v>
      </c>
      <c r="F1849" s="6" t="s">
        <v>949</v>
      </c>
      <c r="G1849" s="6" t="s">
        <v>950</v>
      </c>
    </row>
    <row r="1850" spans="1:7" ht="15.75" customHeight="1">
      <c r="A1850" s="3">
        <v>246278167</v>
      </c>
      <c r="B1850" s="4" t="s">
        <v>5328</v>
      </c>
      <c r="C1850" s="3" t="s">
        <v>5329</v>
      </c>
      <c r="D1850" s="3">
        <v>87075959551</v>
      </c>
      <c r="E1850" s="3" t="s">
        <v>5330</v>
      </c>
      <c r="F1850" s="4" t="s">
        <v>949</v>
      </c>
      <c r="G1850" s="4" t="s">
        <v>950</v>
      </c>
    </row>
    <row r="1851" spans="1:7" ht="15.75" customHeight="1">
      <c r="A1851" s="5">
        <v>246279063</v>
      </c>
      <c r="B1851" s="6" t="s">
        <v>5331</v>
      </c>
      <c r="C1851" s="5" t="s">
        <v>5332</v>
      </c>
      <c r="D1851" s="5">
        <v>972360605</v>
      </c>
      <c r="E1851" s="5" t="s">
        <v>5333</v>
      </c>
      <c r="F1851" s="6" t="s">
        <v>949</v>
      </c>
      <c r="G1851" s="6" t="s">
        <v>950</v>
      </c>
    </row>
    <row r="1852" spans="1:7" ht="15.75" customHeight="1">
      <c r="A1852" s="3">
        <v>246279282</v>
      </c>
      <c r="B1852" s="4" t="s">
        <v>5334</v>
      </c>
      <c r="C1852" s="3" t="s">
        <v>5335</v>
      </c>
      <c r="D1852" s="3">
        <v>87017733203</v>
      </c>
      <c r="E1852" s="3" t="s">
        <v>5336</v>
      </c>
      <c r="F1852" s="4" t="s">
        <v>949</v>
      </c>
      <c r="G1852" s="4" t="s">
        <v>950</v>
      </c>
    </row>
    <row r="1853" spans="1:7" ht="15.75" customHeight="1">
      <c r="A1853" s="5">
        <v>246279363</v>
      </c>
      <c r="B1853" s="6" t="s">
        <v>5337</v>
      </c>
      <c r="C1853" s="5" t="s">
        <v>5338</v>
      </c>
      <c r="D1853" s="5">
        <v>77051803243</v>
      </c>
      <c r="E1853" s="5" t="s">
        <v>5339</v>
      </c>
      <c r="F1853" s="6" t="s">
        <v>949</v>
      </c>
      <c r="G1853" s="6" t="s">
        <v>950</v>
      </c>
    </row>
    <row r="1854" spans="1:7" ht="15.75" customHeight="1">
      <c r="A1854" s="3">
        <v>246279401</v>
      </c>
      <c r="B1854" s="4" t="s">
        <v>5340</v>
      </c>
      <c r="C1854" s="3" t="s">
        <v>5341</v>
      </c>
      <c r="D1854" s="3" t="s">
        <v>5342</v>
      </c>
      <c r="E1854" s="3" t="s">
        <v>5343</v>
      </c>
      <c r="F1854" s="4" t="s">
        <v>949</v>
      </c>
      <c r="G1854" s="4" t="s">
        <v>950</v>
      </c>
    </row>
    <row r="1855" spans="1:7" ht="15.75" customHeight="1">
      <c r="A1855" s="5">
        <v>246279411</v>
      </c>
      <c r="B1855" s="6" t="s">
        <v>5344</v>
      </c>
      <c r="C1855" s="5" t="s">
        <v>5345</v>
      </c>
      <c r="D1855" s="5">
        <v>87076870772</v>
      </c>
      <c r="E1855" s="5" t="s">
        <v>5346</v>
      </c>
      <c r="F1855" s="6" t="s">
        <v>949</v>
      </c>
      <c r="G1855" s="6" t="s">
        <v>950</v>
      </c>
    </row>
    <row r="1856" spans="1:7" ht="15.75" customHeight="1">
      <c r="A1856" s="3">
        <v>246279867</v>
      </c>
      <c r="B1856" s="4" t="s">
        <v>5347</v>
      </c>
      <c r="C1856" s="3" t="s">
        <v>5348</v>
      </c>
      <c r="D1856" s="3">
        <v>79530423449</v>
      </c>
      <c r="E1856" s="3" t="s">
        <v>5349</v>
      </c>
      <c r="F1856" s="4" t="s">
        <v>949</v>
      </c>
      <c r="G1856" s="4" t="s">
        <v>950</v>
      </c>
    </row>
    <row r="1857" spans="1:7" ht="15.75" customHeight="1">
      <c r="A1857" s="5">
        <v>246279988</v>
      </c>
      <c r="B1857" s="6" t="s">
        <v>5350</v>
      </c>
      <c r="C1857" s="5" t="s">
        <v>5351</v>
      </c>
      <c r="D1857" s="5">
        <v>87471159395</v>
      </c>
      <c r="E1857" s="5" t="s">
        <v>5352</v>
      </c>
      <c r="F1857" s="6" t="s">
        <v>949</v>
      </c>
      <c r="G1857" s="6" t="s">
        <v>950</v>
      </c>
    </row>
    <row r="1858" spans="1:7" ht="15.75" customHeight="1">
      <c r="A1858" s="3">
        <v>246280578</v>
      </c>
      <c r="B1858" s="4" t="s">
        <v>5353</v>
      </c>
      <c r="C1858" s="3" t="s">
        <v>5354</v>
      </c>
      <c r="D1858" s="3" t="s">
        <v>5355</v>
      </c>
      <c r="E1858" s="3" t="s">
        <v>5356</v>
      </c>
      <c r="F1858" s="4" t="s">
        <v>949</v>
      </c>
      <c r="G1858" s="4" t="s">
        <v>950</v>
      </c>
    </row>
    <row r="1859" spans="1:7" ht="15.75" customHeight="1">
      <c r="A1859" s="5">
        <v>246281208</v>
      </c>
      <c r="B1859" s="6" t="s">
        <v>5357</v>
      </c>
      <c r="C1859" s="5" t="s">
        <v>5358</v>
      </c>
      <c r="D1859" s="5" t="s">
        <v>5359</v>
      </c>
      <c r="E1859" s="5" t="s">
        <v>5360</v>
      </c>
      <c r="F1859" s="6" t="s">
        <v>949</v>
      </c>
      <c r="G1859" s="6" t="s">
        <v>950</v>
      </c>
    </row>
    <row r="1860" spans="1:7" ht="15.75" customHeight="1">
      <c r="A1860" s="3">
        <v>246281469</v>
      </c>
      <c r="B1860" s="4" t="s">
        <v>5361</v>
      </c>
      <c r="C1860" s="3" t="s">
        <v>5362</v>
      </c>
      <c r="D1860" s="3" t="s">
        <v>5363</v>
      </c>
      <c r="E1860" s="3" t="s">
        <v>5364</v>
      </c>
      <c r="F1860" s="4" t="s">
        <v>949</v>
      </c>
      <c r="G1860" s="4" t="s">
        <v>950</v>
      </c>
    </row>
    <row r="1861" spans="1:7" ht="15.75" customHeight="1">
      <c r="A1861" s="5">
        <v>246281739</v>
      </c>
      <c r="B1861" s="6" t="s">
        <v>5365</v>
      </c>
      <c r="C1861" s="5" t="s">
        <v>5366</v>
      </c>
      <c r="D1861" s="5" t="s">
        <v>5367</v>
      </c>
      <c r="E1861" s="5" t="s">
        <v>5368</v>
      </c>
      <c r="F1861" s="6" t="s">
        <v>949</v>
      </c>
      <c r="G1861" s="6" t="s">
        <v>950</v>
      </c>
    </row>
    <row r="1862" spans="1:7" ht="15.75" customHeight="1">
      <c r="A1862" s="3">
        <v>246282066</v>
      </c>
      <c r="B1862" s="4" t="s">
        <v>5369</v>
      </c>
      <c r="C1862" s="3" t="s">
        <v>5370</v>
      </c>
      <c r="D1862" s="3" t="s">
        <v>5371</v>
      </c>
      <c r="E1862" s="3" t="s">
        <v>5372</v>
      </c>
      <c r="F1862" s="4" t="s">
        <v>949</v>
      </c>
      <c r="G1862" s="4" t="s">
        <v>950</v>
      </c>
    </row>
    <row r="1863" spans="1:7" ht="15.75" customHeight="1">
      <c r="A1863" s="5">
        <v>246282142</v>
      </c>
      <c r="B1863" s="6" t="s">
        <v>5373</v>
      </c>
      <c r="C1863" s="5" t="s">
        <v>5374</v>
      </c>
      <c r="D1863" s="5" t="s">
        <v>5375</v>
      </c>
      <c r="E1863" s="5" t="s">
        <v>5376</v>
      </c>
      <c r="F1863" s="6" t="s">
        <v>949</v>
      </c>
      <c r="G1863" s="6" t="s">
        <v>950</v>
      </c>
    </row>
    <row r="1864" spans="1:7" ht="15.75" customHeight="1">
      <c r="A1864" s="3">
        <v>246282352</v>
      </c>
      <c r="B1864" s="4" t="s">
        <v>5377</v>
      </c>
      <c r="C1864" s="3" t="s">
        <v>5378</v>
      </c>
      <c r="D1864" s="3" t="s">
        <v>5379</v>
      </c>
      <c r="E1864" s="3" t="s">
        <v>5380</v>
      </c>
      <c r="F1864" s="4" t="s">
        <v>949</v>
      </c>
      <c r="G1864" s="4" t="s">
        <v>950</v>
      </c>
    </row>
    <row r="1865" spans="1:7" ht="15.75" customHeight="1">
      <c r="A1865" s="5">
        <v>246282437</v>
      </c>
      <c r="B1865" s="6" t="s">
        <v>5381</v>
      </c>
      <c r="C1865" s="5" t="s">
        <v>5382</v>
      </c>
      <c r="D1865" s="5">
        <v>79393778594</v>
      </c>
      <c r="E1865" s="5" t="s">
        <v>5383</v>
      </c>
      <c r="F1865" s="6" t="s">
        <v>960</v>
      </c>
      <c r="G1865" s="6" t="s">
        <v>961</v>
      </c>
    </row>
    <row r="1866" spans="1:7" ht="15.75" customHeight="1">
      <c r="A1866" s="3">
        <v>246282683</v>
      </c>
      <c r="B1866" s="4" t="s">
        <v>5384</v>
      </c>
      <c r="C1866" s="3" t="s">
        <v>5385</v>
      </c>
      <c r="D1866" s="3">
        <v>998909270462</v>
      </c>
      <c r="E1866" s="3" t="s">
        <v>5386</v>
      </c>
      <c r="F1866" s="4" t="s">
        <v>949</v>
      </c>
      <c r="G1866" s="4" t="s">
        <v>950</v>
      </c>
    </row>
    <row r="1867" spans="1:7" ht="15.75" customHeight="1">
      <c r="A1867" s="5">
        <v>246283121</v>
      </c>
      <c r="B1867" s="6" t="s">
        <v>5387</v>
      </c>
      <c r="C1867" s="5" t="s">
        <v>5388</v>
      </c>
      <c r="D1867" s="5" t="s">
        <v>5389</v>
      </c>
      <c r="E1867" s="5" t="s">
        <v>5390</v>
      </c>
      <c r="F1867" s="6" t="s">
        <v>949</v>
      </c>
      <c r="G1867" s="6" t="s">
        <v>950</v>
      </c>
    </row>
    <row r="1868" spans="1:7" ht="15.75" customHeight="1">
      <c r="A1868" s="3">
        <v>246283495</v>
      </c>
      <c r="B1868" s="4" t="s">
        <v>5391</v>
      </c>
      <c r="C1868" s="3" t="s">
        <v>5392</v>
      </c>
      <c r="D1868" s="3">
        <v>87015965085</v>
      </c>
      <c r="E1868" s="3" t="s">
        <v>5393</v>
      </c>
      <c r="F1868" s="4" t="s">
        <v>949</v>
      </c>
      <c r="G1868" s="4" t="s">
        <v>950</v>
      </c>
    </row>
    <row r="1869" spans="1:7" ht="15.75" customHeight="1">
      <c r="A1869" s="5">
        <v>246284219</v>
      </c>
      <c r="B1869" s="6" t="s">
        <v>5394</v>
      </c>
      <c r="C1869" s="5" t="s">
        <v>5395</v>
      </c>
      <c r="D1869" s="5">
        <v>909117979</v>
      </c>
      <c r="E1869" s="5" t="s">
        <v>5396</v>
      </c>
      <c r="F1869" s="6" t="s">
        <v>949</v>
      </c>
      <c r="G1869" s="6" t="s">
        <v>950</v>
      </c>
    </row>
    <row r="1870" spans="1:7" ht="15.75" customHeight="1">
      <c r="A1870" s="3">
        <v>246284334</v>
      </c>
      <c r="B1870" s="4" t="s">
        <v>5397</v>
      </c>
      <c r="C1870" s="3" t="s">
        <v>5398</v>
      </c>
      <c r="D1870" s="3">
        <v>903023325</v>
      </c>
      <c r="E1870" s="3" t="s">
        <v>5399</v>
      </c>
      <c r="F1870" s="4" t="s">
        <v>949</v>
      </c>
      <c r="G1870" s="4" t="s">
        <v>950</v>
      </c>
    </row>
    <row r="1871" spans="1:7" ht="15.75" customHeight="1">
      <c r="A1871" s="5">
        <v>246284655</v>
      </c>
      <c r="B1871" s="6" t="s">
        <v>5400</v>
      </c>
      <c r="C1871" s="5" t="s">
        <v>5401</v>
      </c>
      <c r="D1871" s="5" t="s">
        <v>5402</v>
      </c>
      <c r="E1871" s="5" t="s">
        <v>5403</v>
      </c>
      <c r="F1871" s="6" t="s">
        <v>949</v>
      </c>
      <c r="G1871" s="6" t="s">
        <v>950</v>
      </c>
    </row>
    <row r="1872" spans="1:7" ht="15.75" customHeight="1">
      <c r="A1872" s="3">
        <v>246284705</v>
      </c>
      <c r="B1872" s="4" t="s">
        <v>5404</v>
      </c>
      <c r="C1872" s="3" t="s">
        <v>5405</v>
      </c>
      <c r="D1872" s="3">
        <v>79642669422</v>
      </c>
      <c r="E1872" s="3" t="s">
        <v>5406</v>
      </c>
      <c r="F1872" s="4" t="s">
        <v>949</v>
      </c>
      <c r="G1872" s="4" t="s">
        <v>950</v>
      </c>
    </row>
    <row r="1873" spans="1:7" ht="15.75" customHeight="1">
      <c r="A1873" s="5">
        <v>246285056</v>
      </c>
      <c r="B1873" s="6" t="s">
        <v>5407</v>
      </c>
      <c r="C1873" s="5" t="s">
        <v>5408</v>
      </c>
      <c r="D1873" s="5" t="s">
        <v>5409</v>
      </c>
      <c r="E1873" s="5" t="s">
        <v>5410</v>
      </c>
      <c r="F1873" s="6" t="s">
        <v>949</v>
      </c>
      <c r="G1873" s="6" t="s">
        <v>950</v>
      </c>
    </row>
    <row r="1874" spans="1:7" ht="15.75" customHeight="1">
      <c r="A1874" s="3">
        <v>246285197</v>
      </c>
      <c r="B1874" s="4" t="s">
        <v>5411</v>
      </c>
      <c r="C1874" s="3" t="s">
        <v>5412</v>
      </c>
      <c r="D1874" s="3">
        <v>87475650768</v>
      </c>
      <c r="E1874" s="3" t="s">
        <v>5413</v>
      </c>
      <c r="F1874" s="4" t="s">
        <v>949</v>
      </c>
      <c r="G1874" s="4" t="s">
        <v>950</v>
      </c>
    </row>
    <row r="1875" spans="1:7" ht="15.75" customHeight="1">
      <c r="A1875" s="5">
        <v>246285511</v>
      </c>
      <c r="B1875" s="6" t="s">
        <v>5414</v>
      </c>
      <c r="C1875" s="5" t="s">
        <v>5415</v>
      </c>
      <c r="D1875" s="5">
        <v>998994320442</v>
      </c>
      <c r="E1875" s="5" t="s">
        <v>5416</v>
      </c>
      <c r="F1875" s="6" t="s">
        <v>949</v>
      </c>
      <c r="G1875" s="6" t="s">
        <v>950</v>
      </c>
    </row>
    <row r="1876" spans="1:7" ht="15.75" customHeight="1">
      <c r="A1876" s="3">
        <v>246285608</v>
      </c>
      <c r="B1876" s="4" t="s">
        <v>5417</v>
      </c>
      <c r="C1876" s="3" t="s">
        <v>5418</v>
      </c>
      <c r="D1876" s="3">
        <v>87017706070</v>
      </c>
      <c r="E1876" s="3" t="s">
        <v>5419</v>
      </c>
      <c r="F1876" s="4" t="s">
        <v>949</v>
      </c>
      <c r="G1876" s="4" t="s">
        <v>950</v>
      </c>
    </row>
    <row r="1877" spans="1:7" ht="15.75" customHeight="1">
      <c r="A1877" s="5">
        <v>246285695</v>
      </c>
      <c r="B1877" s="6" t="s">
        <v>5420</v>
      </c>
      <c r="C1877" s="5" t="s">
        <v>5421</v>
      </c>
      <c r="D1877" s="5">
        <v>87018184159</v>
      </c>
      <c r="E1877" s="5" t="s">
        <v>5422</v>
      </c>
      <c r="F1877" s="6" t="s">
        <v>949</v>
      </c>
      <c r="G1877" s="6" t="s">
        <v>950</v>
      </c>
    </row>
    <row r="1878" spans="1:7" ht="15.75" customHeight="1">
      <c r="A1878" s="3">
        <v>246285898</v>
      </c>
      <c r="B1878" s="4" t="s">
        <v>5423</v>
      </c>
      <c r="C1878" s="3" t="s">
        <v>5424</v>
      </c>
      <c r="D1878" s="3" t="s">
        <v>5425</v>
      </c>
      <c r="E1878" s="3" t="s">
        <v>5426</v>
      </c>
      <c r="F1878" s="4" t="s">
        <v>949</v>
      </c>
      <c r="G1878" s="4" t="s">
        <v>950</v>
      </c>
    </row>
    <row r="1879" spans="1:7" ht="15.75" customHeight="1">
      <c r="A1879" s="5">
        <v>246285926</v>
      </c>
      <c r="B1879" s="6" t="s">
        <v>5427</v>
      </c>
      <c r="C1879" s="5" t="s">
        <v>5428</v>
      </c>
      <c r="D1879" s="5">
        <v>87053733370</v>
      </c>
      <c r="E1879" s="5" t="s">
        <v>5429</v>
      </c>
      <c r="F1879" s="6" t="s">
        <v>949</v>
      </c>
      <c r="G1879" s="6" t="s">
        <v>950</v>
      </c>
    </row>
    <row r="1880" spans="1:7" ht="15.75" customHeight="1">
      <c r="A1880" s="3">
        <v>246285975</v>
      </c>
      <c r="B1880" s="4" t="s">
        <v>5430</v>
      </c>
      <c r="C1880" s="3" t="s">
        <v>5431</v>
      </c>
      <c r="D1880" s="3">
        <v>87055084661</v>
      </c>
      <c r="E1880" s="3" t="s">
        <v>5432</v>
      </c>
      <c r="F1880" s="4" t="s">
        <v>949</v>
      </c>
      <c r="G1880" s="4" t="s">
        <v>950</v>
      </c>
    </row>
    <row r="1881" spans="1:7" ht="15.75" customHeight="1">
      <c r="A1881" s="5">
        <v>246286047</v>
      </c>
      <c r="B1881" s="6" t="s">
        <v>5433</v>
      </c>
      <c r="C1881" s="5" t="s">
        <v>5434</v>
      </c>
      <c r="D1881" s="5" t="s">
        <v>5435</v>
      </c>
      <c r="E1881" s="5" t="s">
        <v>5436</v>
      </c>
      <c r="F1881" s="6" t="s">
        <v>949</v>
      </c>
      <c r="G1881" s="6" t="s">
        <v>950</v>
      </c>
    </row>
    <row r="1882" spans="1:7" ht="15.75" customHeight="1">
      <c r="A1882" s="3">
        <v>246286552</v>
      </c>
      <c r="B1882" s="4" t="s">
        <v>5437</v>
      </c>
      <c r="C1882" s="3" t="s">
        <v>5438</v>
      </c>
      <c r="D1882" s="3">
        <v>909903050</v>
      </c>
      <c r="E1882" s="3" t="s">
        <v>5439</v>
      </c>
      <c r="F1882" s="4" t="s">
        <v>949</v>
      </c>
      <c r="G1882" s="4" t="s">
        <v>950</v>
      </c>
    </row>
    <row r="1883" spans="1:7" ht="15.75" customHeight="1">
      <c r="A1883" s="5">
        <v>246287060</v>
      </c>
      <c r="B1883" s="6" t="s">
        <v>5440</v>
      </c>
      <c r="C1883" s="5" t="s">
        <v>5441</v>
      </c>
      <c r="D1883" s="5" t="s">
        <v>5442</v>
      </c>
      <c r="E1883" s="5" t="s">
        <v>5443</v>
      </c>
      <c r="F1883" s="6" t="s">
        <v>949</v>
      </c>
      <c r="G1883" s="6" t="s">
        <v>950</v>
      </c>
    </row>
    <row r="1884" spans="1:7" ht="15.75" customHeight="1">
      <c r="A1884" s="3">
        <v>246287196</v>
      </c>
      <c r="B1884" s="4" t="s">
        <v>5444</v>
      </c>
      <c r="C1884" s="3" t="s">
        <v>5445</v>
      </c>
      <c r="D1884" s="3">
        <v>87074303782</v>
      </c>
      <c r="E1884" s="3" t="s">
        <v>5446</v>
      </c>
      <c r="F1884" s="4" t="s">
        <v>949</v>
      </c>
      <c r="G1884" s="4" t="s">
        <v>950</v>
      </c>
    </row>
    <row r="1885" spans="1:7" ht="15.75" customHeight="1">
      <c r="A1885" s="5">
        <v>246287529</v>
      </c>
      <c r="B1885" s="6" t="s">
        <v>5447</v>
      </c>
      <c r="C1885" s="5" t="s">
        <v>5448</v>
      </c>
      <c r="D1885" s="5" t="s">
        <v>5449</v>
      </c>
      <c r="E1885" s="5" t="s">
        <v>5450</v>
      </c>
      <c r="F1885" s="6" t="s">
        <v>949</v>
      </c>
      <c r="G1885" s="6" t="s">
        <v>950</v>
      </c>
    </row>
    <row r="1886" spans="1:7" ht="15.75" customHeight="1">
      <c r="A1886" s="3">
        <v>246288419</v>
      </c>
      <c r="B1886" s="4" t="s">
        <v>5451</v>
      </c>
      <c r="C1886" s="3" t="s">
        <v>5452</v>
      </c>
      <c r="D1886" s="3">
        <v>87775096258</v>
      </c>
      <c r="E1886" s="3" t="s">
        <v>5453</v>
      </c>
      <c r="F1886" s="4" t="s">
        <v>949</v>
      </c>
      <c r="G1886" s="4" t="s">
        <v>950</v>
      </c>
    </row>
    <row r="1887" spans="1:7" ht="15.75" customHeight="1">
      <c r="A1887" s="5">
        <v>246288424</v>
      </c>
      <c r="B1887" s="6" t="s">
        <v>5454</v>
      </c>
      <c r="C1887" s="5" t="s">
        <v>5455</v>
      </c>
      <c r="D1887" s="5" t="s">
        <v>5456</v>
      </c>
      <c r="E1887" s="5" t="s">
        <v>5457</v>
      </c>
      <c r="F1887" s="6" t="s">
        <v>949</v>
      </c>
      <c r="G1887" s="6" t="s">
        <v>950</v>
      </c>
    </row>
    <row r="1888" spans="1:7" ht="15.75" customHeight="1">
      <c r="A1888" s="3">
        <v>246288899</v>
      </c>
      <c r="B1888" s="4" t="s">
        <v>5458</v>
      </c>
      <c r="C1888" s="3" t="s">
        <v>5459</v>
      </c>
      <c r="D1888" s="3">
        <v>87024339064</v>
      </c>
      <c r="E1888" s="3" t="s">
        <v>5460</v>
      </c>
      <c r="F1888" s="4" t="s">
        <v>949</v>
      </c>
      <c r="G1888" s="4" t="s">
        <v>950</v>
      </c>
    </row>
    <row r="1889" spans="1:7" ht="15.75" customHeight="1">
      <c r="A1889" s="5">
        <v>246289418</v>
      </c>
      <c r="B1889" s="6" t="s">
        <v>5461</v>
      </c>
      <c r="C1889" s="5" t="s">
        <v>5462</v>
      </c>
      <c r="D1889" s="5">
        <v>87055065829</v>
      </c>
      <c r="E1889" s="5" t="s">
        <v>5463</v>
      </c>
      <c r="F1889" s="6" t="s">
        <v>949</v>
      </c>
      <c r="G1889" s="6" t="s">
        <v>950</v>
      </c>
    </row>
    <row r="1890" spans="1:7" ht="15.75" customHeight="1">
      <c r="A1890" s="3">
        <v>246092286</v>
      </c>
      <c r="B1890" s="4" t="s">
        <v>4403</v>
      </c>
      <c r="C1890" s="3" t="s">
        <v>4404</v>
      </c>
      <c r="D1890" s="3" t="s">
        <v>4405</v>
      </c>
      <c r="E1890" s="3" t="s">
        <v>5464</v>
      </c>
      <c r="F1890" s="4" t="s">
        <v>949</v>
      </c>
      <c r="G1890" s="4" t="s">
        <v>950</v>
      </c>
    </row>
    <row r="1891" spans="1:7" ht="15.75" customHeight="1">
      <c r="A1891" s="5">
        <v>246289783</v>
      </c>
      <c r="B1891" s="6" t="s">
        <v>5465</v>
      </c>
      <c r="C1891" s="5" t="s">
        <v>5466</v>
      </c>
      <c r="D1891" s="5" t="s">
        <v>5467</v>
      </c>
      <c r="E1891" s="5" t="s">
        <v>5468</v>
      </c>
      <c r="F1891" s="6" t="s">
        <v>949</v>
      </c>
      <c r="G1891" s="6" t="s">
        <v>950</v>
      </c>
    </row>
    <row r="1892" spans="1:7" ht="15.75" customHeight="1">
      <c r="A1892" s="3">
        <v>246289837</v>
      </c>
      <c r="B1892" s="4" t="s">
        <v>5469</v>
      </c>
      <c r="C1892" s="3" t="s">
        <v>5470</v>
      </c>
      <c r="D1892" s="3" t="s">
        <v>5471</v>
      </c>
      <c r="E1892" s="3" t="s">
        <v>5472</v>
      </c>
      <c r="F1892" s="4" t="s">
        <v>949</v>
      </c>
      <c r="G1892" s="4" t="s">
        <v>950</v>
      </c>
    </row>
    <row r="1893" spans="1:7" ht="15.75" customHeight="1">
      <c r="A1893" s="5">
        <v>246289997</v>
      </c>
      <c r="B1893" s="6" t="s">
        <v>5473</v>
      </c>
      <c r="C1893" s="5" t="s">
        <v>5474</v>
      </c>
      <c r="D1893" s="5" t="s">
        <v>5475</v>
      </c>
      <c r="E1893" s="5" t="s">
        <v>5476</v>
      </c>
      <c r="F1893" s="6" t="s">
        <v>949</v>
      </c>
      <c r="G1893" s="6" t="s">
        <v>950</v>
      </c>
    </row>
    <row r="1894" spans="1:7" ht="15.75" customHeight="1">
      <c r="A1894" s="3">
        <v>246290095</v>
      </c>
      <c r="B1894" s="4" t="s">
        <v>5477</v>
      </c>
      <c r="C1894" s="3" t="s">
        <v>5478</v>
      </c>
      <c r="D1894" s="3">
        <v>87012187018</v>
      </c>
      <c r="E1894" s="3" t="s">
        <v>5479</v>
      </c>
      <c r="F1894" s="4" t="s">
        <v>949</v>
      </c>
      <c r="G1894" s="4" t="s">
        <v>950</v>
      </c>
    </row>
    <row r="1895" spans="1:7" ht="15.75" customHeight="1">
      <c r="A1895" s="5">
        <v>246290104</v>
      </c>
      <c r="B1895" s="6" t="s">
        <v>5480</v>
      </c>
      <c r="C1895" s="5" t="s">
        <v>5481</v>
      </c>
      <c r="D1895" s="5" t="s">
        <v>5482</v>
      </c>
      <c r="E1895" s="5" t="s">
        <v>5483</v>
      </c>
      <c r="F1895" s="6" t="s">
        <v>949</v>
      </c>
      <c r="G1895" s="6" t="s">
        <v>950</v>
      </c>
    </row>
    <row r="1896" spans="1:7" ht="15.75" customHeight="1">
      <c r="A1896" s="3">
        <v>246290881</v>
      </c>
      <c r="B1896" s="4" t="s">
        <v>5484</v>
      </c>
      <c r="C1896" s="3" t="s">
        <v>5485</v>
      </c>
      <c r="D1896" s="3">
        <v>87079047751</v>
      </c>
      <c r="E1896" s="3" t="s">
        <v>5486</v>
      </c>
      <c r="F1896" s="4" t="s">
        <v>949</v>
      </c>
      <c r="G1896" s="4" t="s">
        <v>950</v>
      </c>
    </row>
    <row r="1897" spans="1:7" ht="15.75" customHeight="1">
      <c r="A1897" s="5">
        <v>246290912</v>
      </c>
      <c r="B1897" s="6" t="s">
        <v>5487</v>
      </c>
      <c r="C1897" s="5" t="s">
        <v>5488</v>
      </c>
      <c r="D1897" s="5">
        <v>87770278118</v>
      </c>
      <c r="E1897" s="5" t="s">
        <v>5489</v>
      </c>
      <c r="F1897" s="6" t="s">
        <v>949</v>
      </c>
      <c r="G1897" s="6" t="s">
        <v>950</v>
      </c>
    </row>
    <row r="1898" spans="1:7" ht="15.75" customHeight="1">
      <c r="A1898" s="3">
        <v>246291113</v>
      </c>
      <c r="B1898" s="4" t="s">
        <v>5490</v>
      </c>
      <c r="C1898" s="3" t="s">
        <v>5491</v>
      </c>
      <c r="D1898" s="3">
        <v>909835350</v>
      </c>
      <c r="E1898" s="3" t="s">
        <v>5492</v>
      </c>
      <c r="F1898" s="4" t="s">
        <v>949</v>
      </c>
      <c r="G1898" s="4" t="s">
        <v>950</v>
      </c>
    </row>
    <row r="1899" spans="1:7" ht="15.75" customHeight="1">
      <c r="A1899" s="5">
        <v>246291241</v>
      </c>
      <c r="B1899" s="6" t="s">
        <v>5493</v>
      </c>
      <c r="C1899" s="5" t="s">
        <v>5494</v>
      </c>
      <c r="D1899" s="5">
        <v>87773500708</v>
      </c>
      <c r="E1899" s="5" t="s">
        <v>5495</v>
      </c>
      <c r="F1899" s="6" t="s">
        <v>949</v>
      </c>
      <c r="G1899" s="6" t="s">
        <v>950</v>
      </c>
    </row>
    <row r="1900" spans="1:7" ht="15.75" customHeight="1">
      <c r="A1900" s="3">
        <v>246291242</v>
      </c>
      <c r="B1900" s="4" t="s">
        <v>5496</v>
      </c>
      <c r="C1900" s="3" t="s">
        <v>5497</v>
      </c>
      <c r="D1900" s="3">
        <v>87072298487</v>
      </c>
      <c r="E1900" s="3" t="s">
        <v>5495</v>
      </c>
      <c r="F1900" s="4" t="s">
        <v>949</v>
      </c>
      <c r="G1900" s="4" t="s">
        <v>950</v>
      </c>
    </row>
    <row r="1901" spans="1:7" ht="15.75" customHeight="1">
      <c r="A1901" s="5">
        <v>246292056</v>
      </c>
      <c r="B1901" s="6" t="s">
        <v>5498</v>
      </c>
      <c r="C1901" s="5" t="s">
        <v>5499</v>
      </c>
      <c r="D1901" s="5">
        <v>87003761206</v>
      </c>
      <c r="E1901" s="5" t="s">
        <v>5500</v>
      </c>
      <c r="F1901" s="6" t="s">
        <v>949</v>
      </c>
      <c r="G1901" s="6" t="s">
        <v>950</v>
      </c>
    </row>
    <row r="1902" spans="1:7" ht="15.75" customHeight="1">
      <c r="A1902" s="3">
        <v>246292214</v>
      </c>
      <c r="B1902" s="4" t="s">
        <v>5501</v>
      </c>
      <c r="C1902" s="3" t="s">
        <v>5502</v>
      </c>
      <c r="D1902" s="3">
        <v>87028063346</v>
      </c>
      <c r="E1902" s="3" t="s">
        <v>5503</v>
      </c>
      <c r="F1902" s="4" t="s">
        <v>949</v>
      </c>
      <c r="G1902" s="4" t="s">
        <v>950</v>
      </c>
    </row>
    <row r="1903" spans="1:7" ht="15.75" customHeight="1">
      <c r="A1903" s="5">
        <v>246293106</v>
      </c>
      <c r="B1903" s="6" t="s">
        <v>5504</v>
      </c>
      <c r="C1903" s="5" t="s">
        <v>5505</v>
      </c>
      <c r="D1903" s="5">
        <v>935602083</v>
      </c>
      <c r="E1903" s="5" t="s">
        <v>5506</v>
      </c>
      <c r="F1903" s="6" t="s">
        <v>949</v>
      </c>
      <c r="G1903" s="6" t="s">
        <v>950</v>
      </c>
    </row>
    <row r="1904" spans="1:7" ht="15.75" customHeight="1">
      <c r="A1904" s="3">
        <v>246293458</v>
      </c>
      <c r="B1904" s="4" t="s">
        <v>5507</v>
      </c>
      <c r="C1904" s="3" t="s">
        <v>5508</v>
      </c>
      <c r="D1904" s="3">
        <v>77014016226</v>
      </c>
      <c r="E1904" s="3" t="s">
        <v>5509</v>
      </c>
      <c r="F1904" s="4" t="s">
        <v>949</v>
      </c>
      <c r="G1904" s="4" t="s">
        <v>950</v>
      </c>
    </row>
    <row r="1905" spans="1:7" ht="15.75" customHeight="1">
      <c r="A1905" s="5">
        <v>246293510</v>
      </c>
      <c r="B1905" s="6" t="s">
        <v>5510</v>
      </c>
      <c r="C1905" s="5" t="s">
        <v>5511</v>
      </c>
      <c r="D1905" s="5" t="s">
        <v>5512</v>
      </c>
      <c r="E1905" s="5" t="s">
        <v>5513</v>
      </c>
      <c r="F1905" s="6" t="s">
        <v>949</v>
      </c>
      <c r="G1905" s="6" t="s">
        <v>950</v>
      </c>
    </row>
    <row r="1906" spans="1:7" ht="15.75" customHeight="1">
      <c r="A1906" s="3">
        <v>246294882</v>
      </c>
      <c r="B1906" s="4" t="s">
        <v>5514</v>
      </c>
      <c r="C1906" s="3" t="s">
        <v>5515</v>
      </c>
      <c r="D1906" s="3">
        <v>87010480400</v>
      </c>
      <c r="E1906" s="3" t="s">
        <v>5516</v>
      </c>
      <c r="F1906" s="4" t="s">
        <v>949</v>
      </c>
      <c r="G1906" s="4" t="s">
        <v>950</v>
      </c>
    </row>
    <row r="1907" spans="1:7" ht="15.75" customHeight="1">
      <c r="A1907" s="5">
        <v>246295367</v>
      </c>
      <c r="B1907" s="6" t="s">
        <v>5517</v>
      </c>
      <c r="C1907" s="5" t="s">
        <v>5518</v>
      </c>
      <c r="D1907" s="5" t="s">
        <v>5519</v>
      </c>
      <c r="E1907" s="5" t="s">
        <v>5520</v>
      </c>
      <c r="F1907" s="6" t="s">
        <v>949</v>
      </c>
      <c r="G1907" s="6" t="s">
        <v>950</v>
      </c>
    </row>
    <row r="1908" spans="1:7" ht="15.75" customHeight="1">
      <c r="A1908" s="3">
        <v>246295828</v>
      </c>
      <c r="B1908" s="4" t="s">
        <v>5521</v>
      </c>
      <c r="C1908" s="3" t="s">
        <v>5522</v>
      </c>
      <c r="D1908" s="3">
        <v>87086442654</v>
      </c>
      <c r="E1908" s="3" t="s">
        <v>5523</v>
      </c>
      <c r="F1908" s="4" t="s">
        <v>949</v>
      </c>
      <c r="G1908" s="4" t="s">
        <v>950</v>
      </c>
    </row>
    <row r="1909" spans="1:7" ht="15.75" customHeight="1">
      <c r="A1909" s="5">
        <v>246296655</v>
      </c>
      <c r="B1909" s="6" t="s">
        <v>5524</v>
      </c>
      <c r="C1909" s="5" t="s">
        <v>5525</v>
      </c>
      <c r="D1909" s="5" t="s">
        <v>5526</v>
      </c>
      <c r="E1909" s="5" t="s">
        <v>5527</v>
      </c>
      <c r="F1909" s="6" t="s">
        <v>949</v>
      </c>
      <c r="G1909" s="6" t="s">
        <v>950</v>
      </c>
    </row>
    <row r="1910" spans="1:7" ht="15.75" customHeight="1">
      <c r="A1910" s="3">
        <v>246296835</v>
      </c>
      <c r="B1910" s="4" t="s">
        <v>5528</v>
      </c>
      <c r="C1910" s="3" t="s">
        <v>5529</v>
      </c>
      <c r="D1910" s="3" t="s">
        <v>5530</v>
      </c>
      <c r="E1910" s="3" t="s">
        <v>5531</v>
      </c>
      <c r="F1910" s="4" t="s">
        <v>949</v>
      </c>
      <c r="G1910" s="4" t="s">
        <v>950</v>
      </c>
    </row>
    <row r="1911" spans="1:7" ht="15.75" customHeight="1">
      <c r="A1911" s="5">
        <v>246296904</v>
      </c>
      <c r="B1911" s="6" t="s">
        <v>5532</v>
      </c>
      <c r="C1911" s="5" t="s">
        <v>5533</v>
      </c>
      <c r="D1911" s="5">
        <v>87772927781</v>
      </c>
      <c r="E1911" s="5" t="s">
        <v>5534</v>
      </c>
      <c r="F1911" s="6" t="s">
        <v>949</v>
      </c>
      <c r="G1911" s="6" t="s">
        <v>950</v>
      </c>
    </row>
    <row r="1912" spans="1:7" ht="15.75" customHeight="1">
      <c r="A1912" s="3">
        <v>246296955</v>
      </c>
      <c r="B1912" s="4" t="s">
        <v>5535</v>
      </c>
      <c r="C1912" s="3" t="s">
        <v>5536</v>
      </c>
      <c r="D1912" s="3" t="s">
        <v>5537</v>
      </c>
      <c r="E1912" s="3" t="s">
        <v>5538</v>
      </c>
      <c r="F1912" s="4" t="s">
        <v>949</v>
      </c>
      <c r="G1912" s="4" t="s">
        <v>950</v>
      </c>
    </row>
    <row r="1913" spans="1:7" ht="15.75" customHeight="1">
      <c r="A1913" s="5">
        <v>246297245</v>
      </c>
      <c r="B1913" s="6" t="s">
        <v>5539</v>
      </c>
      <c r="C1913" s="5" t="s">
        <v>5540</v>
      </c>
      <c r="D1913" s="5" t="s">
        <v>5541</v>
      </c>
      <c r="E1913" s="5" t="s">
        <v>5542</v>
      </c>
      <c r="F1913" s="6" t="s">
        <v>949</v>
      </c>
      <c r="G1913" s="6" t="s">
        <v>950</v>
      </c>
    </row>
    <row r="1914" spans="1:7" ht="15.75" customHeight="1">
      <c r="A1914" s="3">
        <v>246297320</v>
      </c>
      <c r="B1914" s="4" t="s">
        <v>5543</v>
      </c>
      <c r="C1914" s="3" t="s">
        <v>5544</v>
      </c>
      <c r="D1914" s="3" t="s">
        <v>5545</v>
      </c>
      <c r="E1914" s="3" t="s">
        <v>5546</v>
      </c>
      <c r="F1914" s="4" t="s">
        <v>949</v>
      </c>
      <c r="G1914" s="4" t="s">
        <v>950</v>
      </c>
    </row>
    <row r="1915" spans="1:7" ht="15.75" customHeight="1">
      <c r="A1915" s="5">
        <v>246298075</v>
      </c>
      <c r="B1915" s="6" t="s">
        <v>5547</v>
      </c>
      <c r="C1915" s="5" t="s">
        <v>5548</v>
      </c>
      <c r="D1915" s="5" t="s">
        <v>5549</v>
      </c>
      <c r="E1915" s="5" t="s">
        <v>5550</v>
      </c>
      <c r="F1915" s="6" t="s">
        <v>949</v>
      </c>
      <c r="G1915" s="6" t="s">
        <v>950</v>
      </c>
    </row>
    <row r="1916" spans="1:7" ht="15.75" customHeight="1">
      <c r="A1916" s="3">
        <v>246306269</v>
      </c>
      <c r="B1916" s="4" t="s">
        <v>5551</v>
      </c>
      <c r="C1916" s="3" t="s">
        <v>5552</v>
      </c>
      <c r="D1916" s="3" t="s">
        <v>5553</v>
      </c>
      <c r="E1916" s="3" t="s">
        <v>5554</v>
      </c>
      <c r="F1916" s="4" t="s">
        <v>949</v>
      </c>
      <c r="G1916" s="4" t="s">
        <v>950</v>
      </c>
    </row>
    <row r="1917" spans="1:7" ht="15.75" customHeight="1">
      <c r="A1917" s="5">
        <v>246309104</v>
      </c>
      <c r="B1917" s="6" t="s">
        <v>5555</v>
      </c>
      <c r="C1917" s="5" t="s">
        <v>5556</v>
      </c>
      <c r="D1917" s="5">
        <v>87086449514</v>
      </c>
      <c r="E1917" s="5" t="s">
        <v>5557</v>
      </c>
      <c r="F1917" s="6" t="s">
        <v>949</v>
      </c>
      <c r="G1917" s="6" t="s">
        <v>950</v>
      </c>
    </row>
    <row r="1918" spans="1:7" ht="15.75" customHeight="1">
      <c r="A1918" s="3">
        <v>246311930</v>
      </c>
      <c r="B1918" s="4" t="s">
        <v>5558</v>
      </c>
      <c r="C1918" s="3" t="s">
        <v>5559</v>
      </c>
      <c r="D1918" s="3">
        <v>87076452817</v>
      </c>
      <c r="E1918" s="3" t="s">
        <v>5560</v>
      </c>
      <c r="F1918" s="4" t="s">
        <v>949</v>
      </c>
      <c r="G1918" s="4" t="s">
        <v>950</v>
      </c>
    </row>
    <row r="1919" spans="1:7" ht="15.75" customHeight="1">
      <c r="A1919" s="5">
        <v>246312795</v>
      </c>
      <c r="B1919" s="6" t="s">
        <v>5561</v>
      </c>
      <c r="C1919" s="5" t="s">
        <v>5562</v>
      </c>
      <c r="D1919" s="5">
        <v>87</v>
      </c>
      <c r="E1919" s="5" t="s">
        <v>5563</v>
      </c>
      <c r="F1919" s="6" t="s">
        <v>949</v>
      </c>
      <c r="G1919" s="6" t="s">
        <v>950</v>
      </c>
    </row>
    <row r="1920" spans="1:7" ht="15.75" customHeight="1">
      <c r="A1920" s="3">
        <v>246313453</v>
      </c>
      <c r="B1920" s="4" t="s">
        <v>5564</v>
      </c>
      <c r="C1920" s="3" t="s">
        <v>5565</v>
      </c>
      <c r="D1920" s="3">
        <v>998913744878</v>
      </c>
      <c r="E1920" s="3" t="s">
        <v>5566</v>
      </c>
      <c r="F1920" s="4" t="s">
        <v>949</v>
      </c>
      <c r="G1920" s="4" t="s">
        <v>950</v>
      </c>
    </row>
    <row r="1921" spans="1:7" ht="15.75" customHeight="1">
      <c r="A1921" s="5">
        <v>246313506</v>
      </c>
      <c r="B1921" s="6" t="s">
        <v>5567</v>
      </c>
      <c r="C1921" s="5" t="s">
        <v>5568</v>
      </c>
      <c r="D1921" s="5">
        <v>87756800084</v>
      </c>
      <c r="E1921" s="5" t="s">
        <v>5569</v>
      </c>
      <c r="F1921" s="6" t="s">
        <v>949</v>
      </c>
      <c r="G1921" s="6" t="s">
        <v>950</v>
      </c>
    </row>
    <row r="1922" spans="1:7" ht="15.75" customHeight="1">
      <c r="A1922" s="3">
        <v>246313580</v>
      </c>
      <c r="B1922" s="4" t="s">
        <v>5570</v>
      </c>
      <c r="C1922" s="3" t="s">
        <v>5571</v>
      </c>
      <c r="D1922" s="3">
        <v>87777959862</v>
      </c>
      <c r="E1922" s="3" t="s">
        <v>5572</v>
      </c>
      <c r="F1922" s="4" t="s">
        <v>949</v>
      </c>
      <c r="G1922" s="4" t="s">
        <v>950</v>
      </c>
    </row>
    <row r="1923" spans="1:7" ht="15.75" customHeight="1">
      <c r="A1923" s="5">
        <v>246313855</v>
      </c>
      <c r="B1923" s="6" t="s">
        <v>5573</v>
      </c>
      <c r="C1923" s="5" t="s">
        <v>5574</v>
      </c>
      <c r="D1923" s="5" t="s">
        <v>5575</v>
      </c>
      <c r="E1923" s="5" t="s">
        <v>5576</v>
      </c>
      <c r="F1923" s="6" t="s">
        <v>949</v>
      </c>
      <c r="G1923" s="6" t="s">
        <v>950</v>
      </c>
    </row>
    <row r="1924" spans="1:7" ht="15.75" customHeight="1">
      <c r="A1924" s="3">
        <v>246313956</v>
      </c>
      <c r="B1924" s="4" t="s">
        <v>5577</v>
      </c>
      <c r="C1924" s="3" t="s">
        <v>5578</v>
      </c>
      <c r="D1924" s="3" t="s">
        <v>5579</v>
      </c>
      <c r="E1924" s="3" t="s">
        <v>5580</v>
      </c>
      <c r="F1924" s="4" t="s">
        <v>949</v>
      </c>
      <c r="G1924" s="4" t="s">
        <v>950</v>
      </c>
    </row>
    <row r="1925" spans="1:7" ht="15.75" customHeight="1">
      <c r="A1925" s="5">
        <v>246314396</v>
      </c>
      <c r="B1925" s="6" t="s">
        <v>5581</v>
      </c>
      <c r="C1925" s="5" t="s">
        <v>5582</v>
      </c>
      <c r="D1925" s="5">
        <v>87769978147</v>
      </c>
      <c r="E1925" s="5" t="s">
        <v>5583</v>
      </c>
      <c r="F1925" s="6" t="s">
        <v>949</v>
      </c>
      <c r="G1925" s="6" t="s">
        <v>950</v>
      </c>
    </row>
    <row r="1926" spans="1:7" ht="15.75" customHeight="1">
      <c r="A1926" s="3">
        <v>246314508</v>
      </c>
      <c r="B1926" s="4" t="s">
        <v>5584</v>
      </c>
      <c r="C1926" s="3" t="s">
        <v>5585</v>
      </c>
      <c r="D1926" s="3" t="s">
        <v>5586</v>
      </c>
      <c r="E1926" s="3" t="s">
        <v>5587</v>
      </c>
      <c r="F1926" s="4" t="s">
        <v>949</v>
      </c>
      <c r="G1926" s="4" t="s">
        <v>950</v>
      </c>
    </row>
    <row r="1927" spans="1:7" ht="15.75" customHeight="1">
      <c r="A1927" s="5">
        <v>246314969</v>
      </c>
      <c r="B1927" s="6" t="s">
        <v>5588</v>
      </c>
      <c r="C1927" s="5" t="s">
        <v>5589</v>
      </c>
      <c r="D1927" s="5">
        <v>998900696035</v>
      </c>
      <c r="E1927" s="5" t="s">
        <v>5590</v>
      </c>
      <c r="F1927" s="6" t="s">
        <v>949</v>
      </c>
      <c r="G1927" s="6" t="s">
        <v>950</v>
      </c>
    </row>
    <row r="1928" spans="1:7" ht="15.75" customHeight="1">
      <c r="A1928" s="3">
        <v>246315933</v>
      </c>
      <c r="B1928" s="4" t="s">
        <v>5591</v>
      </c>
      <c r="C1928" s="3" t="s">
        <v>5592</v>
      </c>
      <c r="D1928" s="3" t="s">
        <v>5593</v>
      </c>
      <c r="E1928" s="3" t="s">
        <v>5594</v>
      </c>
      <c r="F1928" s="4" t="s">
        <v>949</v>
      </c>
      <c r="G1928" s="4" t="s">
        <v>950</v>
      </c>
    </row>
    <row r="1929" spans="1:7" ht="15.75" customHeight="1">
      <c r="A1929" s="5">
        <v>246316297</v>
      </c>
      <c r="B1929" s="6" t="s">
        <v>5595</v>
      </c>
      <c r="C1929" s="5" t="s">
        <v>5596</v>
      </c>
      <c r="D1929" s="5">
        <v>7763168848</v>
      </c>
      <c r="E1929" s="5" t="s">
        <v>5597</v>
      </c>
      <c r="F1929" s="6" t="s">
        <v>949</v>
      </c>
      <c r="G1929" s="6" t="s">
        <v>950</v>
      </c>
    </row>
    <row r="1930" spans="1:7" ht="15.75" customHeight="1">
      <c r="A1930" s="3">
        <v>246316542</v>
      </c>
      <c r="B1930" s="4" t="s">
        <v>5598</v>
      </c>
      <c r="C1930" s="3" t="s">
        <v>5599</v>
      </c>
      <c r="D1930" s="3" t="s">
        <v>5600</v>
      </c>
      <c r="E1930" s="3" t="s">
        <v>5601</v>
      </c>
      <c r="F1930" s="4" t="s">
        <v>949</v>
      </c>
      <c r="G1930" s="4" t="s">
        <v>950</v>
      </c>
    </row>
    <row r="1931" spans="1:7" ht="15.75" customHeight="1">
      <c r="A1931" s="5">
        <v>246316596</v>
      </c>
      <c r="B1931" s="6" t="s">
        <v>5602</v>
      </c>
      <c r="C1931" s="5" t="s">
        <v>5603</v>
      </c>
      <c r="D1931" s="5" t="s">
        <v>5604</v>
      </c>
      <c r="E1931" s="5" t="s">
        <v>5605</v>
      </c>
      <c r="F1931" s="6" t="s">
        <v>949</v>
      </c>
      <c r="G1931" s="6" t="s">
        <v>950</v>
      </c>
    </row>
    <row r="1932" spans="1:7" ht="15.75" customHeight="1">
      <c r="A1932" s="3">
        <v>246316822</v>
      </c>
      <c r="B1932" s="4" t="s">
        <v>5606</v>
      </c>
      <c r="C1932" s="3" t="s">
        <v>5607</v>
      </c>
      <c r="D1932" s="3" t="s">
        <v>5608</v>
      </c>
      <c r="E1932" s="3" t="s">
        <v>5609</v>
      </c>
      <c r="F1932" s="4" t="s">
        <v>949</v>
      </c>
      <c r="G1932" s="4" t="s">
        <v>950</v>
      </c>
    </row>
    <row r="1933" spans="1:7" ht="15.75" customHeight="1">
      <c r="A1933" s="5">
        <v>246317121</v>
      </c>
      <c r="B1933" s="6" t="s">
        <v>5610</v>
      </c>
      <c r="C1933" s="5" t="s">
        <v>5611</v>
      </c>
      <c r="D1933" s="5" t="s">
        <v>5612</v>
      </c>
      <c r="E1933" s="5" t="s">
        <v>5613</v>
      </c>
      <c r="F1933" s="6" t="s">
        <v>949</v>
      </c>
      <c r="G1933" s="6" t="s">
        <v>950</v>
      </c>
    </row>
    <row r="1934" spans="1:7" ht="15.75" customHeight="1">
      <c r="A1934" s="3">
        <v>246317993</v>
      </c>
      <c r="B1934" s="4" t="s">
        <v>5614</v>
      </c>
      <c r="C1934" s="3" t="s">
        <v>5615</v>
      </c>
      <c r="D1934" s="3">
        <v>998913038700</v>
      </c>
      <c r="E1934" s="3" t="s">
        <v>5616</v>
      </c>
      <c r="F1934" s="4" t="s">
        <v>949</v>
      </c>
      <c r="G1934" s="4" t="s">
        <v>950</v>
      </c>
    </row>
    <row r="1935" spans="1:7" ht="15.75" customHeight="1">
      <c r="A1935" s="5">
        <v>246318000</v>
      </c>
      <c r="B1935" s="6" t="s">
        <v>5617</v>
      </c>
      <c r="C1935" s="5" t="s">
        <v>5618</v>
      </c>
      <c r="D1935" s="5">
        <v>87472411174</v>
      </c>
      <c r="E1935" s="5" t="s">
        <v>5619</v>
      </c>
      <c r="F1935" s="6" t="s">
        <v>949</v>
      </c>
      <c r="G1935" s="6" t="s">
        <v>950</v>
      </c>
    </row>
    <row r="1936" spans="1:7" ht="15.75" customHeight="1">
      <c r="A1936" s="3">
        <v>246318187</v>
      </c>
      <c r="B1936" s="4" t="s">
        <v>5620</v>
      </c>
      <c r="C1936" s="3" t="s">
        <v>5621</v>
      </c>
      <c r="D1936" s="3" t="s">
        <v>5622</v>
      </c>
      <c r="E1936" s="3" t="s">
        <v>5623</v>
      </c>
      <c r="F1936" s="4" t="s">
        <v>949</v>
      </c>
      <c r="G1936" s="4" t="s">
        <v>950</v>
      </c>
    </row>
    <row r="1937" spans="1:7" ht="15.75" customHeight="1">
      <c r="A1937" s="5">
        <v>246318886</v>
      </c>
      <c r="B1937" s="6" t="s">
        <v>5624</v>
      </c>
      <c r="C1937" s="5" t="s">
        <v>5625</v>
      </c>
      <c r="D1937" s="5" t="s">
        <v>5626</v>
      </c>
      <c r="E1937" s="5" t="s">
        <v>5627</v>
      </c>
      <c r="F1937" s="6" t="s">
        <v>949</v>
      </c>
      <c r="G1937" s="6" t="s">
        <v>950</v>
      </c>
    </row>
    <row r="1938" spans="1:7" ht="15.75" customHeight="1">
      <c r="A1938" s="3">
        <v>246319257</v>
      </c>
      <c r="B1938" s="4" t="s">
        <v>5628</v>
      </c>
      <c r="C1938" s="3" t="s">
        <v>5629</v>
      </c>
      <c r="D1938" s="3" t="s">
        <v>5630</v>
      </c>
      <c r="E1938" s="3" t="s">
        <v>5631</v>
      </c>
      <c r="F1938" s="4" t="s">
        <v>949</v>
      </c>
      <c r="G1938" s="4" t="s">
        <v>950</v>
      </c>
    </row>
    <row r="1939" spans="1:7" ht="15.75" customHeight="1">
      <c r="A1939" s="5">
        <v>246319504</v>
      </c>
      <c r="B1939" s="6" t="s">
        <v>5632</v>
      </c>
      <c r="C1939" s="5" t="s">
        <v>5633</v>
      </c>
      <c r="D1939" s="5" t="s">
        <v>5634</v>
      </c>
      <c r="E1939" s="5" t="s">
        <v>5635</v>
      </c>
      <c r="F1939" s="6" t="s">
        <v>949</v>
      </c>
      <c r="G1939" s="6" t="s">
        <v>950</v>
      </c>
    </row>
    <row r="1940" spans="1:7" ht="15.75" customHeight="1">
      <c r="A1940" s="3">
        <v>246319723</v>
      </c>
      <c r="B1940" s="4" t="s">
        <v>5636</v>
      </c>
      <c r="C1940" s="3" t="s">
        <v>5637</v>
      </c>
      <c r="D1940" s="3">
        <v>8701909885</v>
      </c>
      <c r="E1940" s="3" t="s">
        <v>5638</v>
      </c>
      <c r="F1940" s="4" t="s">
        <v>949</v>
      </c>
      <c r="G1940" s="4" t="s">
        <v>950</v>
      </c>
    </row>
    <row r="1941" spans="1:7" ht="15.75" customHeight="1">
      <c r="A1941" s="5">
        <v>246319961</v>
      </c>
      <c r="B1941" s="6" t="s">
        <v>5639</v>
      </c>
      <c r="C1941" s="5" t="s">
        <v>5640</v>
      </c>
      <c r="D1941" s="5" t="s">
        <v>5641</v>
      </c>
      <c r="E1941" s="5" t="s">
        <v>5642</v>
      </c>
      <c r="F1941" s="6" t="s">
        <v>949</v>
      </c>
      <c r="G1941" s="6" t="s">
        <v>950</v>
      </c>
    </row>
    <row r="1942" spans="1:7" ht="15.75" customHeight="1">
      <c r="A1942" s="3">
        <v>246320135</v>
      </c>
      <c r="B1942" s="4" t="s">
        <v>5643</v>
      </c>
      <c r="C1942" s="3" t="s">
        <v>5644</v>
      </c>
      <c r="D1942" s="3" t="s">
        <v>5645</v>
      </c>
      <c r="E1942" s="3" t="s">
        <v>5646</v>
      </c>
      <c r="F1942" s="4" t="s">
        <v>949</v>
      </c>
      <c r="G1942" s="4" t="s">
        <v>950</v>
      </c>
    </row>
    <row r="1943" spans="1:7" ht="15.75" customHeight="1">
      <c r="A1943" s="5">
        <v>246320644</v>
      </c>
      <c r="B1943" s="6" t="s">
        <v>5647</v>
      </c>
      <c r="C1943" s="5" t="s">
        <v>5648</v>
      </c>
      <c r="D1943" s="5" t="s">
        <v>5649</v>
      </c>
      <c r="E1943" s="5" t="s">
        <v>5650</v>
      </c>
      <c r="F1943" s="6" t="s">
        <v>949</v>
      </c>
      <c r="G1943" s="6" t="s">
        <v>950</v>
      </c>
    </row>
    <row r="1944" spans="1:7" ht="15.75" customHeight="1">
      <c r="A1944" s="3">
        <v>246322170</v>
      </c>
      <c r="B1944" s="4" t="s">
        <v>5651</v>
      </c>
      <c r="C1944" s="3" t="s">
        <v>5652</v>
      </c>
      <c r="D1944" s="3">
        <v>903272769</v>
      </c>
      <c r="E1944" s="3" t="s">
        <v>5653</v>
      </c>
      <c r="F1944" s="4" t="s">
        <v>949</v>
      </c>
      <c r="G1944" s="4" t="s">
        <v>950</v>
      </c>
    </row>
    <row r="1945" spans="1:7" ht="15.75" customHeight="1">
      <c r="A1945" s="5">
        <v>246323578</v>
      </c>
      <c r="B1945" s="6" t="s">
        <v>5654</v>
      </c>
      <c r="C1945" s="5" t="s">
        <v>5655</v>
      </c>
      <c r="D1945" s="5" t="s">
        <v>5656</v>
      </c>
      <c r="E1945" s="5" t="s">
        <v>5657</v>
      </c>
      <c r="F1945" s="6" t="s">
        <v>949</v>
      </c>
      <c r="G1945" s="6" t="s">
        <v>950</v>
      </c>
    </row>
    <row r="1946" spans="1:7" ht="15.75" customHeight="1">
      <c r="A1946" s="3">
        <v>246323892</v>
      </c>
      <c r="B1946" s="4" t="s">
        <v>5658</v>
      </c>
      <c r="C1946" s="3" t="s">
        <v>5659</v>
      </c>
      <c r="D1946" s="3">
        <v>87786475929</v>
      </c>
      <c r="E1946" s="3" t="s">
        <v>5660</v>
      </c>
      <c r="F1946" s="4" t="s">
        <v>949</v>
      </c>
      <c r="G1946" s="4" t="s">
        <v>950</v>
      </c>
    </row>
    <row r="1947" spans="1:7" ht="15.75" customHeight="1">
      <c r="A1947" s="5">
        <v>246324786</v>
      </c>
      <c r="B1947" s="6" t="s">
        <v>5661</v>
      </c>
      <c r="C1947" s="5" t="s">
        <v>5662</v>
      </c>
      <c r="D1947" s="5" t="s">
        <v>5663</v>
      </c>
      <c r="E1947" s="5" t="s">
        <v>5664</v>
      </c>
      <c r="F1947" s="6" t="s">
        <v>949</v>
      </c>
      <c r="G1947" s="6" t="s">
        <v>950</v>
      </c>
    </row>
    <row r="1948" spans="1:7" ht="15.75" customHeight="1">
      <c r="A1948" s="3">
        <v>246325248</v>
      </c>
      <c r="B1948" s="4" t="s">
        <v>5665</v>
      </c>
      <c r="C1948" s="3" t="s">
        <v>5666</v>
      </c>
      <c r="D1948" s="3">
        <v>998902305234</v>
      </c>
      <c r="E1948" s="3" t="s">
        <v>5667</v>
      </c>
      <c r="F1948" s="4" t="s">
        <v>949</v>
      </c>
      <c r="G1948" s="4" t="s">
        <v>950</v>
      </c>
    </row>
    <row r="1949" spans="1:7" ht="15.75" customHeight="1">
      <c r="A1949" s="5">
        <v>246325441</v>
      </c>
      <c r="B1949" s="6" t="s">
        <v>5668</v>
      </c>
      <c r="C1949" s="5" t="s">
        <v>5669</v>
      </c>
      <c r="D1949" s="5">
        <v>87771091979</v>
      </c>
      <c r="E1949" s="5" t="s">
        <v>5670</v>
      </c>
      <c r="F1949" s="6" t="s">
        <v>949</v>
      </c>
      <c r="G1949" s="6" t="s">
        <v>950</v>
      </c>
    </row>
    <row r="1950" spans="1:7" ht="15.75" customHeight="1">
      <c r="A1950" s="3">
        <v>246326762</v>
      </c>
      <c r="B1950" s="4" t="s">
        <v>5671</v>
      </c>
      <c r="C1950" s="3" t="s">
        <v>5672</v>
      </c>
      <c r="D1950" s="3">
        <v>87711530780</v>
      </c>
      <c r="E1950" s="3" t="s">
        <v>5673</v>
      </c>
      <c r="F1950" s="4" t="s">
        <v>949</v>
      </c>
      <c r="G1950" s="4" t="s">
        <v>950</v>
      </c>
    </row>
    <row r="1951" spans="1:7" ht="15.75" customHeight="1">
      <c r="A1951" s="5">
        <v>246327301</v>
      </c>
      <c r="B1951" s="6" t="s">
        <v>5674</v>
      </c>
      <c r="C1951" s="5" t="s">
        <v>5675</v>
      </c>
      <c r="D1951" s="5" t="s">
        <v>5676</v>
      </c>
      <c r="E1951" s="5" t="s">
        <v>5677</v>
      </c>
      <c r="F1951" s="6" t="s">
        <v>949</v>
      </c>
      <c r="G1951" s="6" t="s">
        <v>950</v>
      </c>
    </row>
    <row r="1952" spans="1:7" ht="15.75" customHeight="1">
      <c r="A1952" s="3">
        <v>246327459</v>
      </c>
      <c r="B1952" s="4" t="s">
        <v>5678</v>
      </c>
      <c r="C1952" s="3" t="s">
        <v>5679</v>
      </c>
      <c r="D1952" s="3" t="s">
        <v>5680</v>
      </c>
      <c r="E1952" s="3" t="s">
        <v>5681</v>
      </c>
      <c r="F1952" s="4" t="s">
        <v>949</v>
      </c>
      <c r="G1952" s="4" t="s">
        <v>950</v>
      </c>
    </row>
    <row r="1953" spans="1:7" ht="15.75" customHeight="1">
      <c r="A1953" s="5">
        <v>246327704</v>
      </c>
      <c r="B1953" s="6" t="s">
        <v>5682</v>
      </c>
      <c r="C1953" s="5" t="s">
        <v>5683</v>
      </c>
      <c r="D1953" s="5" t="s">
        <v>5684</v>
      </c>
      <c r="E1953" s="5" t="s">
        <v>5685</v>
      </c>
      <c r="F1953" s="6" t="s">
        <v>949</v>
      </c>
      <c r="G1953" s="6" t="s">
        <v>950</v>
      </c>
    </row>
    <row r="1954" spans="1:7" ht="15.75" customHeight="1">
      <c r="A1954" s="3">
        <v>246327733</v>
      </c>
      <c r="B1954" s="4" t="s">
        <v>5686</v>
      </c>
      <c r="C1954" s="3" t="s">
        <v>5687</v>
      </c>
      <c r="D1954" s="3" t="s">
        <v>5688</v>
      </c>
      <c r="E1954" s="3" t="s">
        <v>5689</v>
      </c>
      <c r="F1954" s="4" t="s">
        <v>960</v>
      </c>
      <c r="G1954" s="4" t="s">
        <v>961</v>
      </c>
    </row>
    <row r="1955" spans="1:7" ht="15.75" customHeight="1">
      <c r="A1955" s="5">
        <v>246328205</v>
      </c>
      <c r="B1955" s="6" t="s">
        <v>5690</v>
      </c>
      <c r="C1955" s="5" t="s">
        <v>5691</v>
      </c>
      <c r="D1955" s="5">
        <v>77783550305</v>
      </c>
      <c r="E1955" s="5" t="s">
        <v>5692</v>
      </c>
      <c r="F1955" s="6" t="s">
        <v>949</v>
      </c>
      <c r="G1955" s="6" t="s">
        <v>950</v>
      </c>
    </row>
    <row r="1956" spans="1:7" ht="15.75" customHeight="1">
      <c r="A1956" s="3">
        <v>246329117</v>
      </c>
      <c r="B1956" s="4" t="s">
        <v>5693</v>
      </c>
      <c r="C1956" s="3" t="s">
        <v>5694</v>
      </c>
      <c r="D1956" s="3" t="s">
        <v>5695</v>
      </c>
      <c r="E1956" s="3" t="s">
        <v>5696</v>
      </c>
      <c r="F1956" s="4" t="s">
        <v>960</v>
      </c>
      <c r="G1956" s="4" t="s">
        <v>961</v>
      </c>
    </row>
    <row r="1957" spans="1:7" ht="15.75" customHeight="1">
      <c r="A1957" s="5">
        <v>246329709</v>
      </c>
      <c r="B1957" s="6" t="s">
        <v>5697</v>
      </c>
      <c r="C1957" s="5" t="s">
        <v>5698</v>
      </c>
      <c r="D1957" s="5" t="s">
        <v>5699</v>
      </c>
      <c r="E1957" s="5" t="s">
        <v>5700</v>
      </c>
      <c r="F1957" s="6" t="s">
        <v>949</v>
      </c>
      <c r="G1957" s="6" t="s">
        <v>950</v>
      </c>
    </row>
    <row r="1958" spans="1:7" ht="15.75" customHeight="1">
      <c r="A1958" s="3">
        <v>246330170</v>
      </c>
      <c r="B1958" s="4" t="s">
        <v>5701</v>
      </c>
      <c r="C1958" s="3" t="s">
        <v>5702</v>
      </c>
      <c r="D1958" s="3">
        <v>87058810088</v>
      </c>
      <c r="E1958" s="3" t="s">
        <v>5703</v>
      </c>
      <c r="F1958" s="4" t="s">
        <v>949</v>
      </c>
      <c r="G1958" s="4" t="s">
        <v>950</v>
      </c>
    </row>
    <row r="1959" spans="1:7" ht="15.75" customHeight="1">
      <c r="A1959" s="5">
        <v>246330170</v>
      </c>
      <c r="B1959" s="6" t="s">
        <v>5701</v>
      </c>
      <c r="C1959" s="5" t="s">
        <v>5702</v>
      </c>
      <c r="D1959" s="5">
        <v>87058810088</v>
      </c>
      <c r="E1959" s="5" t="s">
        <v>5704</v>
      </c>
      <c r="F1959" s="6" t="s">
        <v>960</v>
      </c>
      <c r="G1959" s="6" t="s">
        <v>961</v>
      </c>
    </row>
    <row r="1960" spans="1:7" ht="15.75" customHeight="1">
      <c r="A1960" s="3">
        <v>246331104</v>
      </c>
      <c r="B1960" s="4" t="s">
        <v>5705</v>
      </c>
      <c r="C1960" s="3" t="s">
        <v>5706</v>
      </c>
      <c r="D1960" s="3" t="s">
        <v>5707</v>
      </c>
      <c r="E1960" s="3" t="s">
        <v>5708</v>
      </c>
      <c r="F1960" s="4" t="s">
        <v>949</v>
      </c>
      <c r="G1960" s="4" t="s">
        <v>950</v>
      </c>
    </row>
    <row r="1961" spans="1:7" ht="15.75" customHeight="1">
      <c r="A1961" s="5">
        <v>246331532</v>
      </c>
      <c r="B1961" s="6" t="s">
        <v>5709</v>
      </c>
      <c r="C1961" s="5" t="s">
        <v>5710</v>
      </c>
      <c r="D1961" s="5" t="s">
        <v>5711</v>
      </c>
      <c r="E1961" s="5" t="s">
        <v>5712</v>
      </c>
      <c r="F1961" s="6" t="s">
        <v>949</v>
      </c>
      <c r="G1961" s="6" t="s">
        <v>950</v>
      </c>
    </row>
    <row r="1962" spans="1:7" ht="15.75" customHeight="1">
      <c r="A1962" s="3">
        <v>246331643</v>
      </c>
      <c r="B1962" s="4" t="s">
        <v>5713</v>
      </c>
      <c r="C1962" s="3" t="s">
        <v>5714</v>
      </c>
      <c r="D1962" s="3">
        <v>87777778309</v>
      </c>
      <c r="E1962" s="3" t="s">
        <v>5715</v>
      </c>
      <c r="F1962" s="4" t="s">
        <v>949</v>
      </c>
      <c r="G1962" s="4" t="s">
        <v>950</v>
      </c>
    </row>
    <row r="1963" spans="1:7" ht="15.75" customHeight="1">
      <c r="A1963" s="5">
        <v>246332083</v>
      </c>
      <c r="B1963" s="6" t="s">
        <v>5716</v>
      </c>
      <c r="C1963" s="5" t="s">
        <v>5717</v>
      </c>
      <c r="D1963" s="5">
        <v>998998987015</v>
      </c>
      <c r="E1963" s="5" t="s">
        <v>5718</v>
      </c>
      <c r="F1963" s="6" t="s">
        <v>949</v>
      </c>
      <c r="G1963" s="6" t="s">
        <v>950</v>
      </c>
    </row>
    <row r="1964" spans="1:7" ht="15.75" customHeight="1">
      <c r="A1964" s="3">
        <v>246332261</v>
      </c>
      <c r="B1964" s="4" t="s">
        <v>5719</v>
      </c>
      <c r="C1964" s="3" t="s">
        <v>5720</v>
      </c>
      <c r="D1964" s="3">
        <v>87028296601</v>
      </c>
      <c r="E1964" s="3" t="s">
        <v>5721</v>
      </c>
      <c r="F1964" s="4" t="s">
        <v>949</v>
      </c>
      <c r="G1964" s="4" t="s">
        <v>950</v>
      </c>
    </row>
    <row r="1965" spans="1:7" ht="15.75" customHeight="1">
      <c r="A1965" s="5">
        <v>246332902</v>
      </c>
      <c r="B1965" s="6" t="s">
        <v>5722</v>
      </c>
      <c r="C1965" s="5" t="s">
        <v>5723</v>
      </c>
      <c r="D1965" s="5" t="s">
        <v>5724</v>
      </c>
      <c r="E1965" s="5" t="s">
        <v>5725</v>
      </c>
      <c r="F1965" s="6" t="s">
        <v>949</v>
      </c>
      <c r="G1965" s="6" t="s">
        <v>950</v>
      </c>
    </row>
    <row r="1966" spans="1:7" ht="15.75" customHeight="1">
      <c r="A1966" s="3">
        <v>246333174</v>
      </c>
      <c r="B1966" s="4" t="s">
        <v>5726</v>
      </c>
      <c r="C1966" s="3" t="s">
        <v>5727</v>
      </c>
      <c r="D1966" s="3" t="s">
        <v>5728</v>
      </c>
      <c r="E1966" s="3" t="s">
        <v>5729</v>
      </c>
      <c r="F1966" s="4" t="s">
        <v>960</v>
      </c>
      <c r="G1966" s="4" t="s">
        <v>961</v>
      </c>
    </row>
    <row r="1967" spans="1:7" ht="15.75" customHeight="1">
      <c r="A1967" s="5">
        <v>246333246</v>
      </c>
      <c r="B1967" s="6" t="s">
        <v>5730</v>
      </c>
      <c r="C1967" s="5" t="s">
        <v>5731</v>
      </c>
      <c r="D1967" s="5" t="s">
        <v>5732</v>
      </c>
      <c r="E1967" s="5" t="s">
        <v>5733</v>
      </c>
      <c r="F1967" s="6" t="s">
        <v>949</v>
      </c>
      <c r="G1967" s="6" t="s">
        <v>950</v>
      </c>
    </row>
    <row r="1968" spans="1:7" ht="15.75" customHeight="1">
      <c r="A1968" s="3">
        <v>246333357</v>
      </c>
      <c r="B1968" s="4" t="s">
        <v>5734</v>
      </c>
      <c r="C1968" s="3" t="s">
        <v>5735</v>
      </c>
      <c r="D1968" s="3">
        <v>87767990606</v>
      </c>
      <c r="E1968" s="3" t="s">
        <v>5736</v>
      </c>
      <c r="F1968" s="4" t="s">
        <v>949</v>
      </c>
      <c r="G1968" s="4" t="s">
        <v>950</v>
      </c>
    </row>
    <row r="1969" spans="1:7" ht="15.75" customHeight="1">
      <c r="A1969" s="5">
        <v>246333754</v>
      </c>
      <c r="B1969" s="6" t="s">
        <v>5737</v>
      </c>
      <c r="C1969" s="5" t="s">
        <v>5738</v>
      </c>
      <c r="D1969" s="5">
        <v>87081069722</v>
      </c>
      <c r="E1969" s="5" t="s">
        <v>5739</v>
      </c>
      <c r="F1969" s="6" t="s">
        <v>949</v>
      </c>
      <c r="G1969" s="6" t="s">
        <v>950</v>
      </c>
    </row>
    <row r="1970" spans="1:7" ht="15.75" customHeight="1">
      <c r="A1970" s="3">
        <v>246333766</v>
      </c>
      <c r="B1970" s="4" t="s">
        <v>5740</v>
      </c>
      <c r="C1970" s="3" t="s">
        <v>5741</v>
      </c>
      <c r="D1970" s="3" t="s">
        <v>5742</v>
      </c>
      <c r="E1970" s="3" t="s">
        <v>5743</v>
      </c>
      <c r="F1970" s="4" t="s">
        <v>949</v>
      </c>
      <c r="G1970" s="4" t="s">
        <v>950</v>
      </c>
    </row>
    <row r="1971" spans="1:7" ht="15.75" customHeight="1">
      <c r="A1971" s="5">
        <v>244440948</v>
      </c>
      <c r="B1971" s="6" t="s">
        <v>4256</v>
      </c>
      <c r="C1971" s="5" t="s">
        <v>4257</v>
      </c>
      <c r="D1971" s="5" t="s">
        <v>4258</v>
      </c>
      <c r="E1971" s="5" t="s">
        <v>5744</v>
      </c>
      <c r="F1971" s="6" t="s">
        <v>949</v>
      </c>
      <c r="G1971" s="6" t="s">
        <v>950</v>
      </c>
    </row>
    <row r="1972" spans="1:7" ht="15.75" customHeight="1">
      <c r="A1972" s="3">
        <v>241903022</v>
      </c>
      <c r="B1972" s="4" t="s">
        <v>4114</v>
      </c>
      <c r="C1972" s="3" t="s">
        <v>4115</v>
      </c>
      <c r="D1972" s="3">
        <v>79204844321</v>
      </c>
      <c r="E1972" s="3" t="s">
        <v>5745</v>
      </c>
      <c r="F1972" s="4" t="s">
        <v>960</v>
      </c>
      <c r="G1972" s="4" t="s">
        <v>961</v>
      </c>
    </row>
    <row r="1973" spans="1:7" ht="15.75" customHeight="1">
      <c r="A1973" s="5">
        <v>246327733</v>
      </c>
      <c r="B1973" s="6" t="s">
        <v>5686</v>
      </c>
      <c r="C1973" s="5" t="s">
        <v>5687</v>
      </c>
      <c r="D1973" s="5" t="s">
        <v>5688</v>
      </c>
      <c r="E1973" s="5" t="s">
        <v>5746</v>
      </c>
      <c r="F1973" s="6" t="s">
        <v>960</v>
      </c>
      <c r="G1973" s="6" t="s">
        <v>961</v>
      </c>
    </row>
    <row r="1974" spans="1:7" ht="15.75" customHeight="1">
      <c r="A1974" s="3">
        <v>244697698</v>
      </c>
      <c r="B1974" s="4" t="s">
        <v>4268</v>
      </c>
      <c r="C1974" s="3" t="s">
        <v>4269</v>
      </c>
      <c r="D1974" s="3" t="s">
        <v>4270</v>
      </c>
      <c r="E1974" s="3" t="s">
        <v>5747</v>
      </c>
      <c r="F1974" s="4" t="s">
        <v>949</v>
      </c>
      <c r="G1974" s="4" t="s">
        <v>950</v>
      </c>
    </row>
    <row r="1975" spans="1:7" ht="15.75" customHeight="1">
      <c r="A1975" s="5">
        <v>246204374</v>
      </c>
      <c r="B1975" s="6" t="s">
        <v>4541</v>
      </c>
      <c r="C1975" s="5" t="s">
        <v>4542</v>
      </c>
      <c r="D1975" s="5">
        <v>79103681391</v>
      </c>
      <c r="E1975" s="5" t="s">
        <v>5748</v>
      </c>
      <c r="F1975" s="6" t="s">
        <v>960</v>
      </c>
      <c r="G1975" s="6" t="s">
        <v>961</v>
      </c>
    </row>
    <row r="1976" spans="1:7" ht="15.75" customHeight="1">
      <c r="A1976" s="3">
        <v>246092286</v>
      </c>
      <c r="B1976" s="4" t="s">
        <v>4403</v>
      </c>
      <c r="C1976" s="3" t="s">
        <v>4404</v>
      </c>
      <c r="D1976" s="3" t="s">
        <v>4405</v>
      </c>
      <c r="E1976" s="3" t="s">
        <v>5749</v>
      </c>
      <c r="F1976" s="4" t="s">
        <v>5750</v>
      </c>
      <c r="G1976" s="4" t="s">
        <v>5751</v>
      </c>
    </row>
    <row r="1977" spans="1:7" ht="15.75" customHeight="1">
      <c r="A1977" s="5">
        <v>241903022</v>
      </c>
      <c r="B1977" s="6" t="s">
        <v>4114</v>
      </c>
      <c r="C1977" s="5" t="s">
        <v>4115</v>
      </c>
      <c r="D1977" s="5">
        <v>79204844321</v>
      </c>
      <c r="E1977" s="5" t="s">
        <v>5752</v>
      </c>
      <c r="F1977" s="6" t="s">
        <v>1132</v>
      </c>
      <c r="G1977" s="6" t="s">
        <v>1048</v>
      </c>
    </row>
    <row r="1978" spans="1:7" ht="15.75" customHeight="1">
      <c r="A1978" s="3">
        <v>246237519</v>
      </c>
      <c r="B1978" s="4" t="s">
        <v>4785</v>
      </c>
      <c r="C1978" s="3" t="s">
        <v>4786</v>
      </c>
      <c r="D1978" s="3" t="s">
        <v>4787</v>
      </c>
      <c r="E1978" s="3" t="s">
        <v>5753</v>
      </c>
      <c r="F1978" s="4" t="s">
        <v>1126</v>
      </c>
      <c r="G1978" s="4" t="s">
        <v>1127</v>
      </c>
    </row>
    <row r="1979" spans="1:7" ht="15.75" customHeight="1">
      <c r="A1979" s="5">
        <v>246243124</v>
      </c>
      <c r="B1979" s="6" t="s">
        <v>4912</v>
      </c>
      <c r="C1979" s="5" t="s">
        <v>4913</v>
      </c>
      <c r="D1979" s="5">
        <v>79154106422</v>
      </c>
      <c r="E1979" s="5" t="s">
        <v>5754</v>
      </c>
      <c r="F1979" s="6" t="s">
        <v>960</v>
      </c>
      <c r="G1979" s="6" t="s">
        <v>961</v>
      </c>
    </row>
    <row r="1980" spans="1:7" ht="15.75" customHeight="1">
      <c r="A1980" s="3">
        <v>246204515</v>
      </c>
      <c r="B1980" s="4" t="s">
        <v>4544</v>
      </c>
      <c r="C1980" s="3" t="s">
        <v>4545</v>
      </c>
      <c r="D1980" s="3">
        <v>79081233883</v>
      </c>
      <c r="E1980" s="3" t="s">
        <v>5755</v>
      </c>
      <c r="F1980" s="4" t="s">
        <v>960</v>
      </c>
      <c r="G1980" s="4" t="s">
        <v>961</v>
      </c>
    </row>
    <row r="1981" spans="1:7" ht="15.75" customHeight="1">
      <c r="A1981" s="5">
        <v>246237519</v>
      </c>
      <c r="B1981" s="6" t="s">
        <v>4785</v>
      </c>
      <c r="C1981" s="5" t="s">
        <v>4786</v>
      </c>
      <c r="D1981" s="5" t="s">
        <v>4787</v>
      </c>
      <c r="E1981" s="5" t="s">
        <v>5756</v>
      </c>
      <c r="F1981" s="6" t="s">
        <v>960</v>
      </c>
      <c r="G1981" s="6" t="s">
        <v>961</v>
      </c>
    </row>
    <row r="1982" spans="1:7" ht="15.75" customHeight="1">
      <c r="A1982" s="3">
        <v>246204374</v>
      </c>
      <c r="B1982" s="4" t="s">
        <v>4541</v>
      </c>
      <c r="C1982" s="3" t="s">
        <v>4542</v>
      </c>
      <c r="D1982" s="3">
        <v>79103681391</v>
      </c>
      <c r="E1982" s="3" t="s">
        <v>5757</v>
      </c>
      <c r="F1982" s="4" t="s">
        <v>960</v>
      </c>
      <c r="G1982" s="4" t="s">
        <v>961</v>
      </c>
    </row>
    <row r="1983" spans="1:7" ht="15.75" customHeight="1">
      <c r="A1983" s="5">
        <v>246237519</v>
      </c>
      <c r="B1983" s="6" t="s">
        <v>4785</v>
      </c>
      <c r="C1983" s="5" t="s">
        <v>4786</v>
      </c>
      <c r="D1983" s="5" t="s">
        <v>4787</v>
      </c>
      <c r="E1983" s="5" t="s">
        <v>5758</v>
      </c>
      <c r="F1983" s="6" t="s">
        <v>960</v>
      </c>
      <c r="G1983" s="6" t="s">
        <v>961</v>
      </c>
    </row>
    <row r="1984" spans="1:7" ht="15.75" customHeight="1">
      <c r="A1984" s="3">
        <v>246288424</v>
      </c>
      <c r="B1984" s="4" t="s">
        <v>5454</v>
      </c>
      <c r="C1984" s="3" t="s">
        <v>5455</v>
      </c>
      <c r="D1984" s="3" t="s">
        <v>5456</v>
      </c>
      <c r="E1984" s="3" t="s">
        <v>5759</v>
      </c>
      <c r="F1984" s="4" t="s">
        <v>960</v>
      </c>
      <c r="G1984" s="4" t="s">
        <v>961</v>
      </c>
    </row>
    <row r="1985" spans="1:7" ht="15.75" customHeight="1">
      <c r="A1985" s="5">
        <v>246243865</v>
      </c>
      <c r="B1985" s="6" t="s">
        <v>4935</v>
      </c>
      <c r="C1985" s="5" t="s">
        <v>4936</v>
      </c>
      <c r="D1985" s="5" t="s">
        <v>4937</v>
      </c>
      <c r="E1985" s="5" t="s">
        <v>5760</v>
      </c>
      <c r="F1985" s="6" t="s">
        <v>960</v>
      </c>
      <c r="G1985" s="6" t="s">
        <v>961</v>
      </c>
    </row>
    <row r="1986" spans="1:7" ht="15.75" customHeight="1">
      <c r="A1986" s="3">
        <v>246254829</v>
      </c>
      <c r="B1986" s="4" t="s">
        <v>5046</v>
      </c>
      <c r="C1986" s="3" t="s">
        <v>5047</v>
      </c>
      <c r="D1986" s="3" t="s">
        <v>5048</v>
      </c>
      <c r="E1986" s="3" t="s">
        <v>5761</v>
      </c>
      <c r="F1986" s="4" t="s">
        <v>960</v>
      </c>
      <c r="G1986" s="4" t="s">
        <v>961</v>
      </c>
    </row>
    <row r="1987" spans="1:7" ht="15.75" customHeight="1">
      <c r="A1987" s="5">
        <v>246295828</v>
      </c>
      <c r="B1987" s="6" t="s">
        <v>5521</v>
      </c>
      <c r="C1987" s="5" t="s">
        <v>5522</v>
      </c>
      <c r="D1987" s="5">
        <v>87086442654</v>
      </c>
      <c r="E1987" s="5" t="s">
        <v>5762</v>
      </c>
      <c r="F1987" s="6" t="s">
        <v>960</v>
      </c>
      <c r="G1987" s="6" t="s">
        <v>961</v>
      </c>
    </row>
    <row r="1988" spans="1:7" ht="15.75" customHeight="1">
      <c r="A1988" s="3">
        <v>246264975</v>
      </c>
      <c r="B1988" s="4" t="s">
        <v>5151</v>
      </c>
      <c r="C1988" s="3" t="s">
        <v>5152</v>
      </c>
      <c r="D1988" s="3">
        <v>7015539311</v>
      </c>
      <c r="E1988" s="3" t="s">
        <v>5763</v>
      </c>
      <c r="F1988" s="4" t="s">
        <v>960</v>
      </c>
      <c r="G1988" s="4" t="s">
        <v>961</v>
      </c>
    </row>
    <row r="1989" spans="1:7" ht="15.75" customHeight="1">
      <c r="A1989" s="5">
        <v>246297320</v>
      </c>
      <c r="B1989" s="6" t="s">
        <v>5543</v>
      </c>
      <c r="C1989" s="5" t="s">
        <v>5544</v>
      </c>
      <c r="D1989" s="5" t="s">
        <v>5545</v>
      </c>
      <c r="E1989" s="5" t="s">
        <v>5764</v>
      </c>
      <c r="F1989" s="6" t="s">
        <v>960</v>
      </c>
      <c r="G1989" s="6" t="s">
        <v>961</v>
      </c>
    </row>
    <row r="1990" spans="1:7" ht="15.75" customHeight="1">
      <c r="A1990" s="3">
        <v>246232787</v>
      </c>
      <c r="B1990" s="4" t="s">
        <v>4656</v>
      </c>
      <c r="C1990" s="3" t="s">
        <v>4657</v>
      </c>
      <c r="D1990" s="3" t="s">
        <v>4658</v>
      </c>
      <c r="E1990" s="3" t="s">
        <v>5765</v>
      </c>
      <c r="F1990" s="4" t="s">
        <v>960</v>
      </c>
      <c r="G1990" s="4" t="s">
        <v>961</v>
      </c>
    </row>
    <row r="1991" spans="1:7" ht="15.75" customHeight="1">
      <c r="A1991" s="5">
        <v>246260263</v>
      </c>
      <c r="B1991" s="6" t="s">
        <v>5110</v>
      </c>
      <c r="C1991" s="5" t="s">
        <v>5111</v>
      </c>
      <c r="D1991" s="5">
        <v>87756323044</v>
      </c>
      <c r="E1991" s="5" t="s">
        <v>5766</v>
      </c>
      <c r="F1991" s="6" t="s">
        <v>960</v>
      </c>
      <c r="G1991" s="6" t="s">
        <v>961</v>
      </c>
    </row>
    <row r="1992" spans="1:7" ht="15.75" customHeight="1">
      <c r="A1992" s="3">
        <v>246272834</v>
      </c>
      <c r="B1992" s="4" t="s">
        <v>5240</v>
      </c>
      <c r="C1992" s="3" t="s">
        <v>5241</v>
      </c>
      <c r="D1992" s="3">
        <v>87082956209</v>
      </c>
      <c r="E1992" s="3" t="s">
        <v>5767</v>
      </c>
      <c r="F1992" s="4" t="s">
        <v>960</v>
      </c>
      <c r="G1992" s="4" t="s">
        <v>961</v>
      </c>
    </row>
    <row r="1993" spans="1:7" ht="15.75" customHeight="1">
      <c r="A1993" s="5">
        <v>246290095</v>
      </c>
      <c r="B1993" s="6" t="s">
        <v>5477</v>
      </c>
      <c r="C1993" s="5" t="s">
        <v>5478</v>
      </c>
      <c r="D1993" s="5">
        <v>87012187018</v>
      </c>
      <c r="E1993" s="5" t="s">
        <v>5768</v>
      </c>
      <c r="F1993" s="6" t="s">
        <v>960</v>
      </c>
      <c r="G1993" s="6" t="s">
        <v>961</v>
      </c>
    </row>
    <row r="1994" spans="1:7" ht="15.75" customHeight="1">
      <c r="A1994" s="3">
        <v>246271791</v>
      </c>
      <c r="B1994" s="4" t="s">
        <v>5223</v>
      </c>
      <c r="C1994" s="3" t="s">
        <v>5224</v>
      </c>
      <c r="D1994" s="3">
        <v>87477481077</v>
      </c>
      <c r="E1994" s="3" t="s">
        <v>5769</v>
      </c>
      <c r="F1994" s="4" t="s">
        <v>960</v>
      </c>
      <c r="G1994" s="4" t="s">
        <v>961</v>
      </c>
    </row>
    <row r="1995" spans="1:7" ht="15.75" customHeight="1">
      <c r="A1995" s="5">
        <v>246277307</v>
      </c>
      <c r="B1995" s="6" t="s">
        <v>5321</v>
      </c>
      <c r="C1995" s="5" t="s">
        <v>5322</v>
      </c>
      <c r="D1995" s="5">
        <v>87769163657</v>
      </c>
      <c r="E1995" s="5" t="s">
        <v>5770</v>
      </c>
      <c r="F1995" s="6" t="s">
        <v>960</v>
      </c>
      <c r="G1995" s="6" t="s">
        <v>961</v>
      </c>
    </row>
    <row r="1996" spans="1:7" ht="15.75" customHeight="1">
      <c r="A1996" s="3">
        <v>245824294</v>
      </c>
      <c r="B1996" s="4" t="s">
        <v>230</v>
      </c>
      <c r="C1996" s="3" t="s">
        <v>4349</v>
      </c>
      <c r="D1996" s="3">
        <v>79049860544</v>
      </c>
      <c r="E1996" s="3" t="s">
        <v>5771</v>
      </c>
      <c r="F1996" s="4" t="s">
        <v>960</v>
      </c>
      <c r="G1996" s="4" t="s">
        <v>961</v>
      </c>
    </row>
    <row r="1997" spans="1:7" ht="15.75" customHeight="1">
      <c r="A1997" s="5">
        <v>246327733</v>
      </c>
      <c r="B1997" s="6" t="s">
        <v>5686</v>
      </c>
      <c r="C1997" s="5" t="s">
        <v>5687</v>
      </c>
      <c r="D1997" s="5" t="s">
        <v>5688</v>
      </c>
      <c r="E1997" s="5" t="s">
        <v>5772</v>
      </c>
      <c r="F1997" s="6" t="s">
        <v>960</v>
      </c>
      <c r="G1997" s="6" t="s">
        <v>961</v>
      </c>
    </row>
    <row r="1998" spans="1:7" ht="15.75" customHeight="1">
      <c r="A1998" s="3">
        <v>246312795</v>
      </c>
      <c r="B1998" s="4" t="s">
        <v>5561</v>
      </c>
      <c r="C1998" s="3" t="s">
        <v>5562</v>
      </c>
      <c r="D1998" s="3">
        <v>87</v>
      </c>
      <c r="E1998" s="3" t="s">
        <v>5773</v>
      </c>
      <c r="F1998" s="4" t="s">
        <v>960</v>
      </c>
      <c r="G1998" s="4" t="s">
        <v>961</v>
      </c>
    </row>
    <row r="1999" spans="1:7" ht="15.75" customHeight="1">
      <c r="A1999" s="5">
        <v>246330170</v>
      </c>
      <c r="B1999" s="6" t="s">
        <v>5701</v>
      </c>
      <c r="C1999" s="5" t="s">
        <v>5702</v>
      </c>
      <c r="D1999" s="5">
        <v>87058810088</v>
      </c>
      <c r="E1999" s="5" t="s">
        <v>5774</v>
      </c>
      <c r="F1999" s="6" t="s">
        <v>960</v>
      </c>
      <c r="G1999" s="6" t="s">
        <v>961</v>
      </c>
    </row>
    <row r="2000" spans="1:7" ht="15.75" customHeight="1">
      <c r="A2000" s="3">
        <v>246276005</v>
      </c>
      <c r="B2000" s="4" t="s">
        <v>5297</v>
      </c>
      <c r="C2000" s="3" t="s">
        <v>5298</v>
      </c>
      <c r="D2000" s="3" t="s">
        <v>5299</v>
      </c>
      <c r="E2000" s="3" t="s">
        <v>5775</v>
      </c>
      <c r="F2000" s="4" t="s">
        <v>960</v>
      </c>
      <c r="G2000" s="4" t="s">
        <v>961</v>
      </c>
    </row>
    <row r="2001" spans="1:7" ht="15.75" customHeight="1">
      <c r="A2001" s="5">
        <v>246239975</v>
      </c>
      <c r="B2001" s="6" t="s">
        <v>4847</v>
      </c>
      <c r="C2001" s="5" t="s">
        <v>4848</v>
      </c>
      <c r="D2001" s="5" t="s">
        <v>4849</v>
      </c>
      <c r="E2001" s="5" t="s">
        <v>5776</v>
      </c>
      <c r="F2001" s="6" t="s">
        <v>960</v>
      </c>
      <c r="G2001" s="6" t="s">
        <v>961</v>
      </c>
    </row>
    <row r="2002" spans="1:7" ht="15.75" customHeight="1">
      <c r="A2002" s="3">
        <v>246333840</v>
      </c>
      <c r="B2002" s="4" t="s">
        <v>5777</v>
      </c>
      <c r="C2002" s="3" t="s">
        <v>5778</v>
      </c>
      <c r="D2002" s="3" t="s">
        <v>5779</v>
      </c>
      <c r="E2002" s="3" t="s">
        <v>5780</v>
      </c>
      <c r="F2002" s="4" t="s">
        <v>949</v>
      </c>
      <c r="G2002" s="4" t="s">
        <v>950</v>
      </c>
    </row>
    <row r="2003" spans="1:7" ht="15.75" customHeight="1">
      <c r="A2003" s="5">
        <v>246334558</v>
      </c>
      <c r="B2003" s="6" t="s">
        <v>5781</v>
      </c>
      <c r="C2003" s="5" t="s">
        <v>5782</v>
      </c>
      <c r="D2003" s="5" t="s">
        <v>5783</v>
      </c>
      <c r="E2003" s="5" t="s">
        <v>5784</v>
      </c>
      <c r="F2003" s="6" t="s">
        <v>949</v>
      </c>
      <c r="G2003" s="6" t="s">
        <v>950</v>
      </c>
    </row>
    <row r="2004" spans="1:7" ht="15.75" customHeight="1">
      <c r="A2004" s="3">
        <v>246335597</v>
      </c>
      <c r="B2004" s="4" t="s">
        <v>5785</v>
      </c>
      <c r="C2004" s="3" t="s">
        <v>5786</v>
      </c>
      <c r="D2004" s="3" t="s">
        <v>5787</v>
      </c>
      <c r="E2004" s="3" t="s">
        <v>5788</v>
      </c>
      <c r="F2004" s="4" t="s">
        <v>949</v>
      </c>
      <c r="G2004" s="4" t="s">
        <v>950</v>
      </c>
    </row>
    <row r="2005" spans="1:7" ht="15.75" customHeight="1">
      <c r="A2005" s="5">
        <v>246336089</v>
      </c>
      <c r="B2005" s="6" t="s">
        <v>5789</v>
      </c>
      <c r="C2005" s="5" t="s">
        <v>5790</v>
      </c>
      <c r="D2005" s="5" t="s">
        <v>5791</v>
      </c>
      <c r="E2005" s="5" t="s">
        <v>5792</v>
      </c>
      <c r="F2005" s="6" t="s">
        <v>949</v>
      </c>
      <c r="G2005" s="6" t="s">
        <v>950</v>
      </c>
    </row>
    <row r="2006" spans="1:7" ht="15.75" customHeight="1">
      <c r="A2006" s="3">
        <v>246336449</v>
      </c>
      <c r="B2006" s="4" t="s">
        <v>5793</v>
      </c>
      <c r="C2006" s="3" t="s">
        <v>5794</v>
      </c>
      <c r="D2006" s="3" t="s">
        <v>5795</v>
      </c>
      <c r="E2006" s="3" t="s">
        <v>5796</v>
      </c>
      <c r="F2006" s="4" t="s">
        <v>949</v>
      </c>
      <c r="G2006" s="4" t="s">
        <v>950</v>
      </c>
    </row>
    <row r="2007" spans="1:7" ht="15.75" customHeight="1">
      <c r="A2007" s="5">
        <v>246336495</v>
      </c>
      <c r="B2007" s="6" t="s">
        <v>5797</v>
      </c>
      <c r="C2007" s="5" t="s">
        <v>5798</v>
      </c>
      <c r="D2007" s="5">
        <v>998939221687</v>
      </c>
      <c r="E2007" s="5" t="s">
        <v>5799</v>
      </c>
      <c r="F2007" s="6" t="s">
        <v>949</v>
      </c>
      <c r="G2007" s="6" t="s">
        <v>950</v>
      </c>
    </row>
    <row r="2008" spans="1:7" ht="15.75" customHeight="1">
      <c r="A2008" s="3">
        <v>246336754</v>
      </c>
      <c r="B2008" s="4" t="s">
        <v>5800</v>
      </c>
      <c r="C2008" s="3" t="s">
        <v>5801</v>
      </c>
      <c r="D2008" s="3">
        <v>79093760214</v>
      </c>
      <c r="E2008" s="3" t="s">
        <v>5802</v>
      </c>
      <c r="F2008" s="4" t="s">
        <v>960</v>
      </c>
      <c r="G2008" s="4" t="s">
        <v>961</v>
      </c>
    </row>
    <row r="2009" spans="1:7" ht="15.75" customHeight="1">
      <c r="A2009" s="5">
        <v>246336854</v>
      </c>
      <c r="B2009" s="6" t="s">
        <v>5803</v>
      </c>
      <c r="C2009" s="5" t="s">
        <v>5804</v>
      </c>
      <c r="D2009" s="5" t="s">
        <v>5805</v>
      </c>
      <c r="E2009" s="5" t="s">
        <v>5806</v>
      </c>
      <c r="F2009" s="6" t="s">
        <v>949</v>
      </c>
      <c r="G2009" s="6" t="s">
        <v>950</v>
      </c>
    </row>
    <row r="2010" spans="1:7" ht="15.75" customHeight="1">
      <c r="A2010" s="3">
        <v>246337451</v>
      </c>
      <c r="B2010" s="4" t="s">
        <v>5807</v>
      </c>
      <c r="C2010" s="3" t="s">
        <v>5808</v>
      </c>
      <c r="D2010" s="3">
        <v>87477274077</v>
      </c>
      <c r="E2010" s="3" t="s">
        <v>5809</v>
      </c>
      <c r="F2010" s="4" t="s">
        <v>949</v>
      </c>
      <c r="G2010" s="4" t="s">
        <v>950</v>
      </c>
    </row>
    <row r="2011" spans="1:7" ht="15.75" customHeight="1">
      <c r="A2011" s="5">
        <v>246337580</v>
      </c>
      <c r="B2011" s="6" t="s">
        <v>5810</v>
      </c>
      <c r="C2011" s="5" t="s">
        <v>5811</v>
      </c>
      <c r="D2011" s="5"/>
      <c r="E2011" s="5" t="s">
        <v>5812</v>
      </c>
      <c r="F2011" s="6" t="s">
        <v>949</v>
      </c>
      <c r="G2011" s="6" t="s">
        <v>950</v>
      </c>
    </row>
    <row r="2012" spans="1:7" ht="15.75" customHeight="1">
      <c r="A2012" s="3">
        <v>246337696</v>
      </c>
      <c r="B2012" s="4" t="s">
        <v>5813</v>
      </c>
      <c r="C2012" s="3" t="s">
        <v>5814</v>
      </c>
      <c r="D2012" s="3">
        <v>87057754518</v>
      </c>
      <c r="E2012" s="3" t="s">
        <v>5815</v>
      </c>
      <c r="F2012" s="4" t="s">
        <v>949</v>
      </c>
      <c r="G2012" s="4" t="s">
        <v>950</v>
      </c>
    </row>
    <row r="2013" spans="1:7" ht="15.75" customHeight="1">
      <c r="A2013" s="5">
        <v>246337841</v>
      </c>
      <c r="B2013" s="6" t="s">
        <v>5816</v>
      </c>
      <c r="C2013" s="5" t="s">
        <v>5817</v>
      </c>
      <c r="D2013" s="5">
        <v>79017290197</v>
      </c>
      <c r="E2013" s="5" t="s">
        <v>5818</v>
      </c>
      <c r="F2013" s="6" t="s">
        <v>949</v>
      </c>
      <c r="G2013" s="6" t="s">
        <v>950</v>
      </c>
    </row>
    <row r="2014" spans="1:7" ht="15.75" customHeight="1">
      <c r="A2014" s="3">
        <v>246337947</v>
      </c>
      <c r="B2014" s="4" t="s">
        <v>5819</v>
      </c>
      <c r="C2014" s="3" t="s">
        <v>5820</v>
      </c>
      <c r="D2014" s="3" t="s">
        <v>5821</v>
      </c>
      <c r="E2014" s="3" t="s">
        <v>5822</v>
      </c>
      <c r="F2014" s="4" t="s">
        <v>949</v>
      </c>
      <c r="G2014" s="4" t="s">
        <v>950</v>
      </c>
    </row>
    <row r="2015" spans="1:7" ht="15.75" customHeight="1">
      <c r="A2015" s="5">
        <v>246337982</v>
      </c>
      <c r="B2015" s="6" t="s">
        <v>5823</v>
      </c>
      <c r="C2015" s="5" t="s">
        <v>5824</v>
      </c>
      <c r="D2015" s="5">
        <v>998903253883</v>
      </c>
      <c r="E2015" s="5" t="s">
        <v>5825</v>
      </c>
      <c r="F2015" s="6" t="s">
        <v>949</v>
      </c>
      <c r="G2015" s="6" t="s">
        <v>950</v>
      </c>
    </row>
    <row r="2016" spans="1:7" ht="15.75" customHeight="1">
      <c r="A2016" s="3">
        <v>246338029</v>
      </c>
      <c r="B2016" s="4" t="s">
        <v>5826</v>
      </c>
      <c r="C2016" s="3" t="s">
        <v>5827</v>
      </c>
      <c r="D2016" s="3">
        <v>87071707151</v>
      </c>
      <c r="E2016" s="3" t="s">
        <v>5828</v>
      </c>
      <c r="F2016" s="4" t="s">
        <v>949</v>
      </c>
      <c r="G2016" s="4" t="s">
        <v>950</v>
      </c>
    </row>
    <row r="2017" spans="1:7" ht="15.75" customHeight="1">
      <c r="A2017" s="5">
        <v>246338163</v>
      </c>
      <c r="B2017" s="6" t="s">
        <v>5829</v>
      </c>
      <c r="C2017" s="5" t="s">
        <v>5830</v>
      </c>
      <c r="D2017" s="5" t="s">
        <v>5831</v>
      </c>
      <c r="E2017" s="5" t="s">
        <v>5832</v>
      </c>
      <c r="F2017" s="6" t="s">
        <v>949</v>
      </c>
      <c r="G2017" s="6" t="s">
        <v>950</v>
      </c>
    </row>
    <row r="2018" spans="1:7" ht="15.75" customHeight="1">
      <c r="A2018" s="3">
        <v>246338519</v>
      </c>
      <c r="B2018" s="4" t="s">
        <v>5833</v>
      </c>
      <c r="C2018" s="3" t="s">
        <v>5834</v>
      </c>
      <c r="D2018" s="3" t="s">
        <v>5835</v>
      </c>
      <c r="E2018" s="3" t="s">
        <v>5836</v>
      </c>
      <c r="F2018" s="4" t="s">
        <v>960</v>
      </c>
      <c r="G2018" s="4" t="s">
        <v>961</v>
      </c>
    </row>
    <row r="2019" spans="1:7" ht="15.75" customHeight="1">
      <c r="A2019" s="5">
        <v>246338876</v>
      </c>
      <c r="B2019" s="6" t="s">
        <v>5837</v>
      </c>
      <c r="C2019" s="5" t="s">
        <v>5838</v>
      </c>
      <c r="D2019" s="5" t="s">
        <v>5839</v>
      </c>
      <c r="E2019" s="5" t="s">
        <v>5840</v>
      </c>
      <c r="F2019" s="6" t="s">
        <v>949</v>
      </c>
      <c r="G2019" s="6" t="s">
        <v>950</v>
      </c>
    </row>
    <row r="2020" spans="1:7" ht="15.75" customHeight="1">
      <c r="A2020" s="3">
        <v>246339208</v>
      </c>
      <c r="B2020" s="4" t="s">
        <v>5841</v>
      </c>
      <c r="C2020" s="3" t="s">
        <v>5842</v>
      </c>
      <c r="D2020" s="3" t="s">
        <v>5843</v>
      </c>
      <c r="E2020" s="3" t="s">
        <v>5844</v>
      </c>
      <c r="F2020" s="4" t="s">
        <v>949</v>
      </c>
      <c r="G2020" s="4" t="s">
        <v>950</v>
      </c>
    </row>
    <row r="2021" spans="1:7" ht="15.75" customHeight="1">
      <c r="A2021" s="5">
        <v>246339240</v>
      </c>
      <c r="B2021" s="6" t="s">
        <v>5845</v>
      </c>
      <c r="C2021" s="5" t="s">
        <v>5846</v>
      </c>
      <c r="D2021" s="5">
        <v>87472828929</v>
      </c>
      <c r="E2021" s="5" t="s">
        <v>5847</v>
      </c>
      <c r="F2021" s="6" t="s">
        <v>949</v>
      </c>
      <c r="G2021" s="6" t="s">
        <v>950</v>
      </c>
    </row>
    <row r="2022" spans="1:7" ht="15.75" customHeight="1">
      <c r="A2022" s="3">
        <v>246339353</v>
      </c>
      <c r="B2022" s="4" t="s">
        <v>5848</v>
      </c>
      <c r="C2022" s="3" t="s">
        <v>5849</v>
      </c>
      <c r="D2022" s="3" t="s">
        <v>5850</v>
      </c>
      <c r="E2022" s="3" t="s">
        <v>5851</v>
      </c>
      <c r="F2022" s="4" t="s">
        <v>949</v>
      </c>
      <c r="G2022" s="4" t="s">
        <v>950</v>
      </c>
    </row>
    <row r="2023" spans="1:7" ht="15.75" customHeight="1">
      <c r="A2023" s="5">
        <v>246339844</v>
      </c>
      <c r="B2023" s="6" t="s">
        <v>5852</v>
      </c>
      <c r="C2023" s="5" t="s">
        <v>5853</v>
      </c>
      <c r="D2023" s="5">
        <v>87778112090</v>
      </c>
      <c r="E2023" s="5" t="s">
        <v>5854</v>
      </c>
      <c r="F2023" s="6" t="s">
        <v>949</v>
      </c>
      <c r="G2023" s="6" t="s">
        <v>950</v>
      </c>
    </row>
    <row r="2024" spans="1:7" ht="15.75" customHeight="1">
      <c r="A2024" s="3">
        <v>246339981</v>
      </c>
      <c r="B2024" s="4" t="s">
        <v>5855</v>
      </c>
      <c r="C2024" s="3" t="s">
        <v>5856</v>
      </c>
      <c r="D2024" s="3" t="s">
        <v>5857</v>
      </c>
      <c r="E2024" s="3" t="s">
        <v>5858</v>
      </c>
      <c r="F2024" s="4" t="s">
        <v>949</v>
      </c>
      <c r="G2024" s="4" t="s">
        <v>950</v>
      </c>
    </row>
    <row r="2025" spans="1:7" ht="15.75" customHeight="1">
      <c r="A2025" s="5">
        <v>246340245</v>
      </c>
      <c r="B2025" s="6" t="s">
        <v>5859</v>
      </c>
      <c r="C2025" s="5" t="s">
        <v>5860</v>
      </c>
      <c r="D2025" s="5">
        <v>975322161</v>
      </c>
      <c r="E2025" s="5" t="s">
        <v>5861</v>
      </c>
      <c r="F2025" s="6" t="s">
        <v>949</v>
      </c>
      <c r="G2025" s="6" t="s">
        <v>950</v>
      </c>
    </row>
    <row r="2026" spans="1:7" ht="15.75" customHeight="1">
      <c r="A2026" s="3">
        <v>246340270</v>
      </c>
      <c r="B2026" s="4" t="s">
        <v>5862</v>
      </c>
      <c r="C2026" s="3" t="s">
        <v>5863</v>
      </c>
      <c r="D2026" s="3">
        <v>87715925115</v>
      </c>
      <c r="E2026" s="3" t="s">
        <v>5864</v>
      </c>
      <c r="F2026" s="4" t="s">
        <v>949</v>
      </c>
      <c r="G2026" s="4" t="s">
        <v>950</v>
      </c>
    </row>
    <row r="2027" spans="1:7" ht="15.75" customHeight="1">
      <c r="A2027" s="5">
        <v>246340689</v>
      </c>
      <c r="B2027" s="6" t="s">
        <v>5865</v>
      </c>
      <c r="C2027" s="5" t="s">
        <v>5866</v>
      </c>
      <c r="D2027" s="5" t="s">
        <v>5867</v>
      </c>
      <c r="E2027" s="5" t="s">
        <v>5868</v>
      </c>
      <c r="F2027" s="6" t="s">
        <v>949</v>
      </c>
      <c r="G2027" s="6" t="s">
        <v>950</v>
      </c>
    </row>
    <row r="2028" spans="1:7" ht="15.75" customHeight="1">
      <c r="A2028" s="3">
        <v>246341294</v>
      </c>
      <c r="B2028" s="4" t="s">
        <v>5869</v>
      </c>
      <c r="C2028" s="3" t="s">
        <v>5870</v>
      </c>
      <c r="D2028" s="3" t="s">
        <v>5871</v>
      </c>
      <c r="E2028" s="3" t="s">
        <v>5872</v>
      </c>
      <c r="F2028" s="4" t="s">
        <v>960</v>
      </c>
      <c r="G2028" s="4" t="s">
        <v>961</v>
      </c>
    </row>
    <row r="2029" spans="1:7" ht="15.75" customHeight="1">
      <c r="A2029" s="5">
        <v>246341429</v>
      </c>
      <c r="B2029" s="6" t="s">
        <v>5873</v>
      </c>
      <c r="C2029" s="5" t="s">
        <v>5874</v>
      </c>
      <c r="D2029" s="5">
        <v>87020007708</v>
      </c>
      <c r="E2029" s="5" t="s">
        <v>5875</v>
      </c>
      <c r="F2029" s="6" t="s">
        <v>949</v>
      </c>
      <c r="G2029" s="6" t="s">
        <v>950</v>
      </c>
    </row>
    <row r="2030" spans="1:7" ht="15.75" customHeight="1">
      <c r="A2030" s="3">
        <v>246341532</v>
      </c>
      <c r="B2030" s="4" t="s">
        <v>5876</v>
      </c>
      <c r="C2030" s="3" t="s">
        <v>5877</v>
      </c>
      <c r="D2030" s="3">
        <v>79137853875</v>
      </c>
      <c r="E2030" s="3" t="s">
        <v>5878</v>
      </c>
      <c r="F2030" s="4" t="s">
        <v>960</v>
      </c>
      <c r="G2030" s="4" t="s">
        <v>961</v>
      </c>
    </row>
    <row r="2031" spans="1:7" ht="15.75" customHeight="1">
      <c r="A2031" s="5">
        <v>246341703</v>
      </c>
      <c r="B2031" s="6" t="s">
        <v>5879</v>
      </c>
      <c r="C2031" s="5" t="s">
        <v>5880</v>
      </c>
      <c r="D2031" s="5">
        <v>87779905659</v>
      </c>
      <c r="E2031" s="5" t="s">
        <v>5881</v>
      </c>
      <c r="F2031" s="6" t="s">
        <v>949</v>
      </c>
      <c r="G2031" s="6" t="s">
        <v>950</v>
      </c>
    </row>
    <row r="2032" spans="1:7" ht="15.75" customHeight="1">
      <c r="A2032" s="3">
        <v>246341722</v>
      </c>
      <c r="B2032" s="4" t="s">
        <v>5882</v>
      </c>
      <c r="C2032" s="3" t="s">
        <v>5883</v>
      </c>
      <c r="D2032" s="3" t="s">
        <v>5884</v>
      </c>
      <c r="E2032" s="3" t="s">
        <v>5885</v>
      </c>
      <c r="F2032" s="4" t="s">
        <v>960</v>
      </c>
      <c r="G2032" s="4" t="s">
        <v>961</v>
      </c>
    </row>
    <row r="2033" spans="1:7" ht="15.75" customHeight="1">
      <c r="A2033" s="5">
        <v>246341785</v>
      </c>
      <c r="B2033" s="6" t="s">
        <v>5886</v>
      </c>
      <c r="C2033" s="5" t="s">
        <v>5887</v>
      </c>
      <c r="D2033" s="5" t="s">
        <v>5888</v>
      </c>
      <c r="E2033" s="5" t="s">
        <v>5889</v>
      </c>
      <c r="F2033" s="6" t="s">
        <v>949</v>
      </c>
      <c r="G2033" s="6" t="s">
        <v>950</v>
      </c>
    </row>
    <row r="2034" spans="1:7" ht="15.75" customHeight="1">
      <c r="A2034" s="3">
        <v>246341788</v>
      </c>
      <c r="B2034" s="4" t="s">
        <v>5890</v>
      </c>
      <c r="C2034" s="3" t="s">
        <v>5891</v>
      </c>
      <c r="D2034" s="3">
        <v>87712053905</v>
      </c>
      <c r="E2034" s="3" t="s">
        <v>5892</v>
      </c>
      <c r="F2034" s="4" t="s">
        <v>949</v>
      </c>
      <c r="G2034" s="4" t="s">
        <v>950</v>
      </c>
    </row>
    <row r="2035" spans="1:7" ht="15.75" customHeight="1">
      <c r="A2035" s="5">
        <v>246341841</v>
      </c>
      <c r="B2035" s="6" t="s">
        <v>5893</v>
      </c>
      <c r="C2035" s="5" t="s">
        <v>5894</v>
      </c>
      <c r="D2035" s="5">
        <v>87051575553</v>
      </c>
      <c r="E2035" s="5" t="s">
        <v>5895</v>
      </c>
      <c r="F2035" s="6" t="s">
        <v>949</v>
      </c>
      <c r="G2035" s="6" t="s">
        <v>950</v>
      </c>
    </row>
    <row r="2036" spans="1:7" ht="15.75" customHeight="1">
      <c r="A2036" s="3">
        <v>246341856</v>
      </c>
      <c r="B2036" s="4" t="s">
        <v>5896</v>
      </c>
      <c r="C2036" s="3" t="s">
        <v>5897</v>
      </c>
      <c r="D2036" s="3" t="s">
        <v>5898</v>
      </c>
      <c r="E2036" s="3" t="s">
        <v>5899</v>
      </c>
      <c r="F2036" s="4" t="s">
        <v>949</v>
      </c>
      <c r="G2036" s="4" t="s">
        <v>950</v>
      </c>
    </row>
    <row r="2037" spans="1:7" ht="15.75" customHeight="1">
      <c r="A2037" s="5">
        <v>246342317</v>
      </c>
      <c r="B2037" s="6" t="s">
        <v>5900</v>
      </c>
      <c r="C2037" s="5" t="s">
        <v>5901</v>
      </c>
      <c r="D2037" s="5" t="s">
        <v>5902</v>
      </c>
      <c r="E2037" s="5" t="s">
        <v>5903</v>
      </c>
      <c r="F2037" s="6" t="s">
        <v>949</v>
      </c>
      <c r="G2037" s="6" t="s">
        <v>950</v>
      </c>
    </row>
    <row r="2038" spans="1:7" ht="15.75" customHeight="1">
      <c r="A2038" s="3">
        <v>246342739</v>
      </c>
      <c r="B2038" s="4" t="s">
        <v>5904</v>
      </c>
      <c r="C2038" s="3" t="s">
        <v>5905</v>
      </c>
      <c r="D2038" s="3" t="s">
        <v>5906</v>
      </c>
      <c r="E2038" s="3" t="s">
        <v>5907</v>
      </c>
      <c r="F2038" s="4" t="s">
        <v>949</v>
      </c>
      <c r="G2038" s="4" t="s">
        <v>950</v>
      </c>
    </row>
    <row r="2039" spans="1:7" ht="15.75" customHeight="1">
      <c r="A2039" s="5">
        <v>246342834</v>
      </c>
      <c r="B2039" s="6" t="s">
        <v>5908</v>
      </c>
      <c r="C2039" s="5" t="s">
        <v>5909</v>
      </c>
      <c r="D2039" s="5" t="s">
        <v>5910</v>
      </c>
      <c r="E2039" s="5" t="s">
        <v>5911</v>
      </c>
      <c r="F2039" s="6" t="s">
        <v>949</v>
      </c>
      <c r="G2039" s="6" t="s">
        <v>950</v>
      </c>
    </row>
    <row r="2040" spans="1:7" ht="15.75" customHeight="1">
      <c r="A2040" s="3">
        <v>246343170</v>
      </c>
      <c r="B2040" s="4" t="s">
        <v>5912</v>
      </c>
      <c r="C2040" s="3" t="s">
        <v>5913</v>
      </c>
      <c r="D2040" s="3">
        <v>87083601774</v>
      </c>
      <c r="E2040" s="3" t="s">
        <v>5914</v>
      </c>
      <c r="F2040" s="4" t="s">
        <v>949</v>
      </c>
      <c r="G2040" s="4" t="s">
        <v>950</v>
      </c>
    </row>
    <row r="2041" spans="1:7" ht="15.75" customHeight="1">
      <c r="A2041" s="5">
        <v>246343295</v>
      </c>
      <c r="B2041" s="6" t="s">
        <v>5915</v>
      </c>
      <c r="C2041" s="5" t="s">
        <v>5916</v>
      </c>
      <c r="D2041" s="5">
        <v>79028760578</v>
      </c>
      <c r="E2041" s="5" t="s">
        <v>5917</v>
      </c>
      <c r="F2041" s="6" t="s">
        <v>960</v>
      </c>
      <c r="G2041" s="6" t="s">
        <v>961</v>
      </c>
    </row>
    <row r="2042" spans="1:7" ht="15.75" customHeight="1">
      <c r="A2042" s="3">
        <v>246343492</v>
      </c>
      <c r="B2042" s="4" t="s">
        <v>5918</v>
      </c>
      <c r="C2042" s="3" t="s">
        <v>5919</v>
      </c>
      <c r="D2042" s="3" t="s">
        <v>5920</v>
      </c>
      <c r="E2042" s="3" t="s">
        <v>5921</v>
      </c>
      <c r="F2042" s="4" t="s">
        <v>949</v>
      </c>
      <c r="G2042" s="4" t="s">
        <v>950</v>
      </c>
    </row>
    <row r="2043" spans="1:7" ht="15.75" customHeight="1">
      <c r="A2043" s="5">
        <v>246343585</v>
      </c>
      <c r="B2043" s="6" t="s">
        <v>5922</v>
      </c>
      <c r="C2043" s="5" t="s">
        <v>5923</v>
      </c>
      <c r="D2043" s="5">
        <v>87029523656</v>
      </c>
      <c r="E2043" s="5" t="s">
        <v>5924</v>
      </c>
      <c r="F2043" s="6" t="s">
        <v>949</v>
      </c>
      <c r="G2043" s="6" t="s">
        <v>950</v>
      </c>
    </row>
    <row r="2044" spans="1:7" ht="15.75" customHeight="1">
      <c r="A2044" s="3">
        <v>246343641</v>
      </c>
      <c r="B2044" s="4" t="s">
        <v>5925</v>
      </c>
      <c r="C2044" s="3" t="s">
        <v>5926</v>
      </c>
      <c r="D2044" s="3">
        <v>87770458550</v>
      </c>
      <c r="E2044" s="3" t="s">
        <v>5927</v>
      </c>
      <c r="F2044" s="4" t="s">
        <v>949</v>
      </c>
      <c r="G2044" s="4" t="s">
        <v>950</v>
      </c>
    </row>
    <row r="2045" spans="1:7" ht="15.75" customHeight="1">
      <c r="A2045" s="5">
        <v>246343833</v>
      </c>
      <c r="B2045" s="6" t="s">
        <v>5928</v>
      </c>
      <c r="C2045" s="5" t="s">
        <v>5929</v>
      </c>
      <c r="D2045" s="5">
        <v>903569514</v>
      </c>
      <c r="E2045" s="5" t="s">
        <v>5930</v>
      </c>
      <c r="F2045" s="6" t="s">
        <v>949</v>
      </c>
      <c r="G2045" s="6" t="s">
        <v>950</v>
      </c>
    </row>
    <row r="2046" spans="1:7" ht="15.75" customHeight="1">
      <c r="A2046" s="3">
        <v>246344069</v>
      </c>
      <c r="B2046" s="4" t="s">
        <v>5931</v>
      </c>
      <c r="C2046" s="3" t="s">
        <v>5932</v>
      </c>
      <c r="D2046" s="3">
        <v>87014296907</v>
      </c>
      <c r="E2046" s="3" t="s">
        <v>5933</v>
      </c>
      <c r="F2046" s="4" t="s">
        <v>949</v>
      </c>
      <c r="G2046" s="4" t="s">
        <v>950</v>
      </c>
    </row>
    <row r="2047" spans="1:7" ht="15.75" customHeight="1">
      <c r="A2047" s="5">
        <v>246344192</v>
      </c>
      <c r="B2047" s="6" t="s">
        <v>5934</v>
      </c>
      <c r="C2047" s="5" t="s">
        <v>5935</v>
      </c>
      <c r="D2047" s="5">
        <v>87053067877</v>
      </c>
      <c r="E2047" s="5" t="s">
        <v>5936</v>
      </c>
      <c r="F2047" s="6" t="s">
        <v>949</v>
      </c>
      <c r="G2047" s="6" t="s">
        <v>950</v>
      </c>
    </row>
    <row r="2048" spans="1:7" ht="15.75" customHeight="1">
      <c r="A2048" s="3">
        <v>246344341</v>
      </c>
      <c r="B2048" s="4" t="s">
        <v>5937</v>
      </c>
      <c r="C2048" s="3" t="s">
        <v>5938</v>
      </c>
      <c r="D2048" s="3">
        <v>87767368906</v>
      </c>
      <c r="E2048" s="3" t="s">
        <v>5939</v>
      </c>
      <c r="F2048" s="4" t="s">
        <v>949</v>
      </c>
      <c r="G2048" s="4" t="s">
        <v>950</v>
      </c>
    </row>
    <row r="2049" spans="1:7" ht="15.75" customHeight="1">
      <c r="A2049" s="5">
        <v>246344373</v>
      </c>
      <c r="B2049" s="6" t="s">
        <v>5940</v>
      </c>
      <c r="C2049" s="5" t="s">
        <v>5941</v>
      </c>
      <c r="D2049" s="5" t="s">
        <v>5942</v>
      </c>
      <c r="E2049" s="5" t="s">
        <v>5943</v>
      </c>
      <c r="F2049" s="6" t="s">
        <v>949</v>
      </c>
      <c r="G2049" s="6" t="s">
        <v>950</v>
      </c>
    </row>
    <row r="2050" spans="1:7" ht="15.75" customHeight="1">
      <c r="A2050" s="3">
        <v>246344411</v>
      </c>
      <c r="B2050" s="4" t="s">
        <v>5944</v>
      </c>
      <c r="C2050" s="3" t="s">
        <v>5945</v>
      </c>
      <c r="D2050" s="3">
        <v>87767229725</v>
      </c>
      <c r="E2050" s="3" t="s">
        <v>5946</v>
      </c>
      <c r="F2050" s="4" t="s">
        <v>949</v>
      </c>
      <c r="G2050" s="4" t="s">
        <v>950</v>
      </c>
    </row>
    <row r="2051" spans="1:7" ht="15.75" customHeight="1">
      <c r="A2051" s="5">
        <v>246344643</v>
      </c>
      <c r="B2051" s="6" t="s">
        <v>5947</v>
      </c>
      <c r="C2051" s="5" t="s">
        <v>5948</v>
      </c>
      <c r="D2051" s="5" t="s">
        <v>5949</v>
      </c>
      <c r="E2051" s="5" t="s">
        <v>5950</v>
      </c>
      <c r="F2051" s="6" t="s">
        <v>949</v>
      </c>
      <c r="G2051" s="6" t="s">
        <v>950</v>
      </c>
    </row>
    <row r="2052" spans="1:7" ht="15.75" customHeight="1">
      <c r="A2052" s="3">
        <v>246344659</v>
      </c>
      <c r="B2052" s="4" t="s">
        <v>5951</v>
      </c>
      <c r="C2052" s="3" t="s">
        <v>5952</v>
      </c>
      <c r="D2052" s="3" t="s">
        <v>5953</v>
      </c>
      <c r="E2052" s="3" t="s">
        <v>5954</v>
      </c>
      <c r="F2052" s="4" t="s">
        <v>949</v>
      </c>
      <c r="G2052" s="4" t="s">
        <v>950</v>
      </c>
    </row>
    <row r="2053" spans="1:7" ht="15.75" customHeight="1">
      <c r="A2053" s="5">
        <v>246345257</v>
      </c>
      <c r="B2053" s="6" t="s">
        <v>5955</v>
      </c>
      <c r="C2053" s="5" t="s">
        <v>5956</v>
      </c>
      <c r="D2053" s="5">
        <v>87781342070</v>
      </c>
      <c r="E2053" s="5" t="s">
        <v>5957</v>
      </c>
      <c r="F2053" s="6" t="s">
        <v>949</v>
      </c>
      <c r="G2053" s="6" t="s">
        <v>950</v>
      </c>
    </row>
    <row r="2054" spans="1:7" ht="15.75" customHeight="1">
      <c r="A2054" s="3">
        <v>246345266</v>
      </c>
      <c r="B2054" s="4" t="s">
        <v>5958</v>
      </c>
      <c r="C2054" s="3" t="s">
        <v>5959</v>
      </c>
      <c r="D2054" s="3">
        <v>77779982155</v>
      </c>
      <c r="E2054" s="3" t="s">
        <v>5960</v>
      </c>
      <c r="F2054" s="4" t="s">
        <v>949</v>
      </c>
      <c r="G2054" s="4" t="s">
        <v>950</v>
      </c>
    </row>
    <row r="2055" spans="1:7" ht="15.75" customHeight="1">
      <c r="A2055" s="5">
        <v>246345921</v>
      </c>
      <c r="B2055" s="6" t="s">
        <v>5961</v>
      </c>
      <c r="C2055" s="5" t="s">
        <v>5962</v>
      </c>
      <c r="D2055" s="5" t="s">
        <v>5963</v>
      </c>
      <c r="E2055" s="5" t="s">
        <v>5964</v>
      </c>
      <c r="F2055" s="6" t="s">
        <v>949</v>
      </c>
      <c r="G2055" s="6" t="s">
        <v>950</v>
      </c>
    </row>
    <row r="2056" spans="1:7" ht="15.75" customHeight="1">
      <c r="A2056" s="3">
        <v>246346166</v>
      </c>
      <c r="B2056" s="4" t="s">
        <v>5965</v>
      </c>
      <c r="C2056" s="3" t="s">
        <v>5966</v>
      </c>
      <c r="D2056" s="3" t="s">
        <v>5967</v>
      </c>
      <c r="E2056" s="3" t="s">
        <v>5968</v>
      </c>
      <c r="F2056" s="4" t="s">
        <v>949</v>
      </c>
      <c r="G2056" s="4" t="s">
        <v>950</v>
      </c>
    </row>
    <row r="2057" spans="1:7" ht="15.75" customHeight="1">
      <c r="A2057" s="5">
        <v>246346394</v>
      </c>
      <c r="B2057" s="6" t="s">
        <v>5969</v>
      </c>
      <c r="C2057" s="5" t="s">
        <v>5970</v>
      </c>
      <c r="D2057" s="5">
        <v>903230532</v>
      </c>
      <c r="E2057" s="5" t="s">
        <v>5971</v>
      </c>
      <c r="F2057" s="6" t="s">
        <v>949</v>
      </c>
      <c r="G2057" s="6" t="s">
        <v>950</v>
      </c>
    </row>
    <row r="2058" spans="1:7" ht="15.75" customHeight="1">
      <c r="A2058" s="3">
        <v>246346700</v>
      </c>
      <c r="B2058" s="4" t="s">
        <v>5972</v>
      </c>
      <c r="C2058" s="3" t="s">
        <v>5973</v>
      </c>
      <c r="D2058" s="3" t="s">
        <v>5974</v>
      </c>
      <c r="E2058" s="3" t="s">
        <v>5975</v>
      </c>
      <c r="F2058" s="4" t="s">
        <v>949</v>
      </c>
      <c r="G2058" s="4" t="s">
        <v>950</v>
      </c>
    </row>
    <row r="2059" spans="1:7" ht="15.75" customHeight="1">
      <c r="A2059" s="5">
        <v>246347285</v>
      </c>
      <c r="B2059" s="6" t="s">
        <v>5976</v>
      </c>
      <c r="C2059" s="5" t="s">
        <v>5977</v>
      </c>
      <c r="D2059" s="5">
        <v>87087007498</v>
      </c>
      <c r="E2059" s="5" t="s">
        <v>5978</v>
      </c>
      <c r="F2059" s="6" t="s">
        <v>949</v>
      </c>
      <c r="G2059" s="6" t="s">
        <v>950</v>
      </c>
    </row>
    <row r="2060" spans="1:7" ht="15.75" customHeight="1">
      <c r="A2060" s="3">
        <v>246348617</v>
      </c>
      <c r="B2060" s="4" t="s">
        <v>5979</v>
      </c>
      <c r="C2060" s="3" t="s">
        <v>5980</v>
      </c>
      <c r="D2060" s="3" t="s">
        <v>5981</v>
      </c>
      <c r="E2060" s="3" t="s">
        <v>5982</v>
      </c>
      <c r="F2060" s="4" t="s">
        <v>949</v>
      </c>
      <c r="G2060" s="4" t="s">
        <v>950</v>
      </c>
    </row>
    <row r="2061" spans="1:7" ht="15.75" customHeight="1">
      <c r="A2061" s="5">
        <v>246349242</v>
      </c>
      <c r="B2061" s="6" t="s">
        <v>5983</v>
      </c>
      <c r="C2061" s="5" t="s">
        <v>5984</v>
      </c>
      <c r="D2061" s="5" t="s">
        <v>5985</v>
      </c>
      <c r="E2061" s="5" t="s">
        <v>5986</v>
      </c>
      <c r="F2061" s="6" t="s">
        <v>949</v>
      </c>
      <c r="G2061" s="6" t="s">
        <v>950</v>
      </c>
    </row>
    <row r="2062" spans="1:7" ht="15.75" customHeight="1">
      <c r="A2062" s="3">
        <v>246349279</v>
      </c>
      <c r="B2062" s="4" t="s">
        <v>5987</v>
      </c>
      <c r="C2062" s="3" t="s">
        <v>5988</v>
      </c>
      <c r="D2062" s="3">
        <v>87053297236</v>
      </c>
      <c r="E2062" s="3" t="s">
        <v>5989</v>
      </c>
      <c r="F2062" s="4" t="s">
        <v>949</v>
      </c>
      <c r="G2062" s="4" t="s">
        <v>950</v>
      </c>
    </row>
    <row r="2063" spans="1:7" ht="15.75" customHeight="1">
      <c r="A2063" s="5">
        <v>246349644</v>
      </c>
      <c r="B2063" s="6" t="s">
        <v>5990</v>
      </c>
      <c r="C2063" s="5" t="s">
        <v>5991</v>
      </c>
      <c r="D2063" s="5" t="s">
        <v>5992</v>
      </c>
      <c r="E2063" s="5" t="s">
        <v>5993</v>
      </c>
      <c r="F2063" s="6" t="s">
        <v>949</v>
      </c>
      <c r="G2063" s="6" t="s">
        <v>950</v>
      </c>
    </row>
    <row r="2064" spans="1:7" ht="15.75" customHeight="1">
      <c r="A2064" s="3">
        <v>246349994</v>
      </c>
      <c r="B2064" s="4" t="s">
        <v>5994</v>
      </c>
      <c r="C2064" s="3" t="s">
        <v>5995</v>
      </c>
      <c r="D2064" s="3" t="s">
        <v>5996</v>
      </c>
      <c r="E2064" s="3" t="s">
        <v>5997</v>
      </c>
      <c r="F2064" s="4" t="s">
        <v>949</v>
      </c>
      <c r="G2064" s="4" t="s">
        <v>950</v>
      </c>
    </row>
    <row r="2065" spans="1:7" ht="15.75" customHeight="1">
      <c r="A2065" s="5">
        <v>246350020</v>
      </c>
      <c r="B2065" s="6" t="s">
        <v>5998</v>
      </c>
      <c r="C2065" s="5" t="s">
        <v>5999</v>
      </c>
      <c r="D2065" s="5">
        <v>79607413437</v>
      </c>
      <c r="E2065" s="5" t="s">
        <v>6000</v>
      </c>
      <c r="F2065" s="6" t="s">
        <v>960</v>
      </c>
      <c r="G2065" s="6" t="s">
        <v>961</v>
      </c>
    </row>
    <row r="2066" spans="1:7" ht="15.75" customHeight="1">
      <c r="A2066" s="3">
        <v>246350066</v>
      </c>
      <c r="B2066" s="4" t="s">
        <v>6001</v>
      </c>
      <c r="C2066" s="3" t="s">
        <v>6002</v>
      </c>
      <c r="D2066" s="3" t="s">
        <v>6003</v>
      </c>
      <c r="E2066" s="3" t="s">
        <v>6004</v>
      </c>
      <c r="F2066" s="4" t="s">
        <v>949</v>
      </c>
      <c r="G2066" s="4" t="s">
        <v>950</v>
      </c>
    </row>
    <row r="2067" spans="1:7" ht="15.75" customHeight="1">
      <c r="A2067" s="5">
        <v>246350737</v>
      </c>
      <c r="B2067" s="6" t="s">
        <v>6005</v>
      </c>
      <c r="C2067" s="5" t="s">
        <v>6006</v>
      </c>
      <c r="D2067" s="5">
        <v>87076252273</v>
      </c>
      <c r="E2067" s="5" t="s">
        <v>6007</v>
      </c>
      <c r="F2067" s="6" t="s">
        <v>949</v>
      </c>
      <c r="G2067" s="6" t="s">
        <v>950</v>
      </c>
    </row>
    <row r="2068" spans="1:7" ht="15.75" customHeight="1">
      <c r="A2068" s="3">
        <v>246350762</v>
      </c>
      <c r="B2068" s="4" t="s">
        <v>6008</v>
      </c>
      <c r="C2068" s="3" t="s">
        <v>6009</v>
      </c>
      <c r="D2068" s="3" t="s">
        <v>6010</v>
      </c>
      <c r="E2068" s="3" t="s">
        <v>6011</v>
      </c>
      <c r="F2068" s="4" t="s">
        <v>949</v>
      </c>
      <c r="G2068" s="4" t="s">
        <v>950</v>
      </c>
    </row>
    <row r="2069" spans="1:7" ht="15.75" customHeight="1">
      <c r="A2069" s="5">
        <v>246350802</v>
      </c>
      <c r="B2069" s="6" t="s">
        <v>6012</v>
      </c>
      <c r="C2069" s="5" t="s">
        <v>6013</v>
      </c>
      <c r="D2069" s="5">
        <v>87052600995</v>
      </c>
      <c r="E2069" s="5" t="s">
        <v>6014</v>
      </c>
      <c r="F2069" s="6" t="s">
        <v>949</v>
      </c>
      <c r="G2069" s="6" t="s">
        <v>950</v>
      </c>
    </row>
    <row r="2070" spans="1:7" ht="15.75" customHeight="1">
      <c r="A2070" s="3">
        <v>246351396</v>
      </c>
      <c r="B2070" s="4" t="s">
        <v>6015</v>
      </c>
      <c r="C2070" s="3" t="s">
        <v>6016</v>
      </c>
      <c r="D2070" s="3" t="s">
        <v>6017</v>
      </c>
      <c r="E2070" s="3" t="s">
        <v>6018</v>
      </c>
      <c r="F2070" s="4" t="s">
        <v>949</v>
      </c>
      <c r="G2070" s="4" t="s">
        <v>950</v>
      </c>
    </row>
    <row r="2071" spans="1:7" ht="15.75" customHeight="1">
      <c r="A2071" s="5">
        <v>246351984</v>
      </c>
      <c r="B2071" s="6" t="s">
        <v>6019</v>
      </c>
      <c r="C2071" s="5" t="s">
        <v>6020</v>
      </c>
      <c r="D2071" s="5">
        <v>87082982034</v>
      </c>
      <c r="E2071" s="5" t="s">
        <v>6021</v>
      </c>
      <c r="F2071" s="6" t="s">
        <v>949</v>
      </c>
      <c r="G2071" s="6" t="s">
        <v>950</v>
      </c>
    </row>
    <row r="2072" spans="1:7" ht="15.75" customHeight="1">
      <c r="A2072" s="3">
        <v>246351987</v>
      </c>
      <c r="B2072" s="4" t="s">
        <v>6022</v>
      </c>
      <c r="C2072" s="3" t="s">
        <v>6023</v>
      </c>
      <c r="D2072" s="3">
        <v>87776474754</v>
      </c>
      <c r="E2072" s="3" t="s">
        <v>6024</v>
      </c>
      <c r="F2072" s="4" t="s">
        <v>949</v>
      </c>
      <c r="G2072" s="4" t="s">
        <v>950</v>
      </c>
    </row>
    <row r="2073" spans="1:7" ht="15.75" customHeight="1">
      <c r="A2073" s="5">
        <v>246352134</v>
      </c>
      <c r="B2073" s="6" t="s">
        <v>6025</v>
      </c>
      <c r="C2073" s="5" t="s">
        <v>6026</v>
      </c>
      <c r="D2073" s="5" t="s">
        <v>6027</v>
      </c>
      <c r="E2073" s="5" t="s">
        <v>6028</v>
      </c>
      <c r="F2073" s="6" t="s">
        <v>949</v>
      </c>
      <c r="G2073" s="6" t="s">
        <v>950</v>
      </c>
    </row>
    <row r="2074" spans="1:7" ht="15.75" customHeight="1">
      <c r="A2074" s="3">
        <v>246352225</v>
      </c>
      <c r="B2074" s="4" t="s">
        <v>6029</v>
      </c>
      <c r="C2074" s="3" t="s">
        <v>6030</v>
      </c>
      <c r="D2074" s="3">
        <v>87009185733</v>
      </c>
      <c r="E2074" s="3" t="s">
        <v>6031</v>
      </c>
      <c r="F2074" s="4" t="s">
        <v>949</v>
      </c>
      <c r="G2074" s="4" t="s">
        <v>950</v>
      </c>
    </row>
    <row r="2075" spans="1:7" ht="15.75" customHeight="1">
      <c r="A2075" s="5">
        <v>246352672</v>
      </c>
      <c r="B2075" s="6" t="s">
        <v>6032</v>
      </c>
      <c r="C2075" s="5" t="s">
        <v>6033</v>
      </c>
      <c r="D2075" s="5">
        <v>79068487878</v>
      </c>
      <c r="E2075" s="5" t="s">
        <v>6034</v>
      </c>
      <c r="F2075" s="6" t="s">
        <v>949</v>
      </c>
      <c r="G2075" s="6" t="s">
        <v>950</v>
      </c>
    </row>
    <row r="2076" spans="1:7" ht="15.75" customHeight="1">
      <c r="A2076" s="3">
        <v>246353064</v>
      </c>
      <c r="B2076" s="4" t="s">
        <v>6035</v>
      </c>
      <c r="C2076" s="3" t="s">
        <v>6036</v>
      </c>
      <c r="D2076" s="3">
        <v>79824674060</v>
      </c>
      <c r="E2076" s="3" t="s">
        <v>6037</v>
      </c>
      <c r="F2076" s="4" t="s">
        <v>960</v>
      </c>
      <c r="G2076" s="4" t="s">
        <v>961</v>
      </c>
    </row>
    <row r="2077" spans="1:7" ht="15.75" customHeight="1">
      <c r="A2077" s="5">
        <v>246353693</v>
      </c>
      <c r="B2077" s="6" t="s">
        <v>6038</v>
      </c>
      <c r="C2077" s="5" t="s">
        <v>6039</v>
      </c>
      <c r="D2077" s="5">
        <v>87750696475</v>
      </c>
      <c r="E2077" s="5" t="s">
        <v>6040</v>
      </c>
      <c r="F2077" s="6" t="s">
        <v>949</v>
      </c>
      <c r="G2077" s="6" t="s">
        <v>950</v>
      </c>
    </row>
    <row r="2078" spans="1:7" ht="15.75" customHeight="1">
      <c r="A2078" s="3">
        <v>246353951</v>
      </c>
      <c r="B2078" s="4" t="s">
        <v>6041</v>
      </c>
      <c r="C2078" s="3" t="s">
        <v>6042</v>
      </c>
      <c r="D2078" s="3">
        <v>87477316180</v>
      </c>
      <c r="E2078" s="3" t="s">
        <v>6043</v>
      </c>
      <c r="F2078" s="4" t="s">
        <v>949</v>
      </c>
      <c r="G2078" s="4" t="s">
        <v>950</v>
      </c>
    </row>
    <row r="2079" spans="1:7" ht="15.75" customHeight="1">
      <c r="A2079" s="5">
        <v>246354383</v>
      </c>
      <c r="B2079" s="6" t="s">
        <v>6044</v>
      </c>
      <c r="C2079" s="5" t="s">
        <v>6045</v>
      </c>
      <c r="D2079" s="5" t="s">
        <v>6046</v>
      </c>
      <c r="E2079" s="5" t="s">
        <v>6047</v>
      </c>
      <c r="F2079" s="6" t="s">
        <v>949</v>
      </c>
      <c r="G2079" s="6" t="s">
        <v>950</v>
      </c>
    </row>
    <row r="2080" spans="1:7" ht="15.75" customHeight="1">
      <c r="A2080" s="3">
        <v>246354640</v>
      </c>
      <c r="B2080" s="4" t="s">
        <v>6048</v>
      </c>
      <c r="C2080" s="3" t="s">
        <v>6049</v>
      </c>
      <c r="D2080" s="3" t="s">
        <v>6050</v>
      </c>
      <c r="E2080" s="3" t="s">
        <v>6051</v>
      </c>
      <c r="F2080" s="4" t="s">
        <v>949</v>
      </c>
      <c r="G2080" s="4" t="s">
        <v>950</v>
      </c>
    </row>
    <row r="2081" spans="1:7" ht="15.75" customHeight="1">
      <c r="A2081" s="5">
        <v>246355008</v>
      </c>
      <c r="B2081" s="6" t="s">
        <v>6052</v>
      </c>
      <c r="C2081" s="5" t="s">
        <v>6053</v>
      </c>
      <c r="D2081" s="5" t="s">
        <v>6054</v>
      </c>
      <c r="E2081" s="5" t="s">
        <v>6055</v>
      </c>
      <c r="F2081" s="6" t="s">
        <v>960</v>
      </c>
      <c r="G2081" s="6" t="s">
        <v>961</v>
      </c>
    </row>
    <row r="2082" spans="1:7" ht="15.75" customHeight="1">
      <c r="A2082" s="3">
        <v>246355467</v>
      </c>
      <c r="B2082" s="4" t="s">
        <v>6056</v>
      </c>
      <c r="C2082" s="3" t="s">
        <v>6057</v>
      </c>
      <c r="D2082" s="3" t="s">
        <v>6058</v>
      </c>
      <c r="E2082" s="3" t="s">
        <v>6059</v>
      </c>
      <c r="F2082" s="4" t="s">
        <v>960</v>
      </c>
      <c r="G2082" s="4" t="s">
        <v>961</v>
      </c>
    </row>
    <row r="2083" spans="1:7" ht="15.75" customHeight="1">
      <c r="A2083" s="5">
        <v>246356108</v>
      </c>
      <c r="B2083" s="6" t="s">
        <v>6060</v>
      </c>
      <c r="C2083" s="5" t="s">
        <v>6061</v>
      </c>
      <c r="D2083" s="5" t="s">
        <v>6062</v>
      </c>
      <c r="E2083" s="5" t="s">
        <v>6063</v>
      </c>
      <c r="F2083" s="6" t="s">
        <v>949</v>
      </c>
      <c r="G2083" s="6" t="s">
        <v>950</v>
      </c>
    </row>
    <row r="2084" spans="1:7" ht="15.75" customHeight="1">
      <c r="A2084" s="3">
        <v>246356358</v>
      </c>
      <c r="B2084" s="4" t="s">
        <v>6064</v>
      </c>
      <c r="C2084" s="3" t="s">
        <v>6065</v>
      </c>
      <c r="D2084" s="3">
        <v>87081712636</v>
      </c>
      <c r="E2084" s="3" t="s">
        <v>6066</v>
      </c>
      <c r="F2084" s="4" t="s">
        <v>949</v>
      </c>
      <c r="G2084" s="4" t="s">
        <v>950</v>
      </c>
    </row>
    <row r="2085" spans="1:7" ht="15.75" customHeight="1">
      <c r="A2085" s="5">
        <v>246356956</v>
      </c>
      <c r="B2085" s="6" t="s">
        <v>6067</v>
      </c>
      <c r="C2085" s="5" t="s">
        <v>6068</v>
      </c>
      <c r="D2085" s="5">
        <v>87018074466</v>
      </c>
      <c r="E2085" s="5" t="s">
        <v>6069</v>
      </c>
      <c r="F2085" s="6" t="s">
        <v>949</v>
      </c>
      <c r="G2085" s="6" t="s">
        <v>950</v>
      </c>
    </row>
    <row r="2086" spans="1:7" ht="15.75" customHeight="1">
      <c r="A2086" s="3">
        <v>246357480</v>
      </c>
      <c r="B2086" s="4" t="s">
        <v>6070</v>
      </c>
      <c r="C2086" s="3" t="s">
        <v>6071</v>
      </c>
      <c r="D2086" s="3" t="s">
        <v>6072</v>
      </c>
      <c r="E2086" s="3" t="s">
        <v>6073</v>
      </c>
      <c r="F2086" s="4" t="s">
        <v>949</v>
      </c>
      <c r="G2086" s="4" t="s">
        <v>950</v>
      </c>
    </row>
    <row r="2087" spans="1:7" ht="15.75" customHeight="1">
      <c r="A2087" s="5">
        <v>246357994</v>
      </c>
      <c r="B2087" s="6" t="s">
        <v>6074</v>
      </c>
      <c r="C2087" s="5" t="s">
        <v>6075</v>
      </c>
      <c r="D2087" s="5" t="s">
        <v>6076</v>
      </c>
      <c r="E2087" s="5" t="s">
        <v>6077</v>
      </c>
      <c r="F2087" s="6" t="s">
        <v>949</v>
      </c>
      <c r="G2087" s="6" t="s">
        <v>950</v>
      </c>
    </row>
    <row r="2088" spans="1:7" ht="15.75" customHeight="1">
      <c r="A2088" s="3">
        <v>246358351</v>
      </c>
      <c r="B2088" s="4" t="s">
        <v>6078</v>
      </c>
      <c r="C2088" s="3" t="s">
        <v>6079</v>
      </c>
      <c r="D2088" s="3" t="s">
        <v>6080</v>
      </c>
      <c r="E2088" s="3" t="s">
        <v>6081</v>
      </c>
      <c r="F2088" s="4" t="s">
        <v>949</v>
      </c>
      <c r="G2088" s="4" t="s">
        <v>950</v>
      </c>
    </row>
    <row r="2089" spans="1:7" ht="15.75" customHeight="1">
      <c r="A2089" s="5">
        <v>246364592</v>
      </c>
      <c r="B2089" s="6" t="s">
        <v>6082</v>
      </c>
      <c r="C2089" s="5" t="s">
        <v>6083</v>
      </c>
      <c r="D2089" s="5">
        <v>998990400163</v>
      </c>
      <c r="E2089" s="5" t="s">
        <v>6084</v>
      </c>
      <c r="F2089" s="6" t="s">
        <v>949</v>
      </c>
      <c r="G2089" s="6" t="s">
        <v>950</v>
      </c>
    </row>
    <row r="2090" spans="1:7" ht="15.75" customHeight="1">
      <c r="A2090" s="3">
        <v>246365380</v>
      </c>
      <c r="B2090" s="4" t="s">
        <v>6085</v>
      </c>
      <c r="C2090" s="3" t="s">
        <v>6086</v>
      </c>
      <c r="D2090" s="3" t="s">
        <v>6087</v>
      </c>
      <c r="E2090" s="3" t="s">
        <v>6088</v>
      </c>
      <c r="F2090" s="4" t="s">
        <v>949</v>
      </c>
      <c r="G2090" s="4" t="s">
        <v>950</v>
      </c>
    </row>
    <row r="2091" spans="1:7" ht="15.75" customHeight="1">
      <c r="A2091" s="5">
        <v>246368066</v>
      </c>
      <c r="B2091" s="6" t="s">
        <v>6089</v>
      </c>
      <c r="C2091" s="5" t="s">
        <v>6090</v>
      </c>
      <c r="D2091" s="5">
        <v>87767450055</v>
      </c>
      <c r="E2091" s="5" t="s">
        <v>6091</v>
      </c>
      <c r="F2091" s="6" t="s">
        <v>949</v>
      </c>
      <c r="G2091" s="6" t="s">
        <v>950</v>
      </c>
    </row>
    <row r="2092" spans="1:7" ht="15.75" customHeight="1">
      <c r="A2092" s="3">
        <v>246371836</v>
      </c>
      <c r="B2092" s="4" t="s">
        <v>6092</v>
      </c>
      <c r="C2092" s="3" t="s">
        <v>6093</v>
      </c>
      <c r="D2092" s="3" t="s">
        <v>6094</v>
      </c>
      <c r="E2092" s="3" t="s">
        <v>6095</v>
      </c>
      <c r="F2092" s="4" t="s">
        <v>949</v>
      </c>
      <c r="G2092" s="4" t="s">
        <v>950</v>
      </c>
    </row>
    <row r="2093" spans="1:7" ht="15.75" customHeight="1">
      <c r="A2093" s="5">
        <v>246371943</v>
      </c>
      <c r="B2093" s="6" t="s">
        <v>6096</v>
      </c>
      <c r="C2093" s="5" t="s">
        <v>6097</v>
      </c>
      <c r="D2093" s="5" t="s">
        <v>6098</v>
      </c>
      <c r="E2093" s="5" t="s">
        <v>6099</v>
      </c>
      <c r="F2093" s="6" t="s">
        <v>949</v>
      </c>
      <c r="G2093" s="6" t="s">
        <v>950</v>
      </c>
    </row>
    <row r="2094" spans="1:7" ht="15.75" customHeight="1">
      <c r="A2094" s="3">
        <v>246372818</v>
      </c>
      <c r="B2094" s="4" t="s">
        <v>6100</v>
      </c>
      <c r="C2094" s="3" t="s">
        <v>6101</v>
      </c>
      <c r="D2094" s="3">
        <v>971416474</v>
      </c>
      <c r="E2094" s="3" t="s">
        <v>6102</v>
      </c>
      <c r="F2094" s="4" t="s">
        <v>949</v>
      </c>
      <c r="G2094" s="4" t="s">
        <v>950</v>
      </c>
    </row>
    <row r="2095" spans="1:7" ht="15.75" customHeight="1">
      <c r="A2095" s="5">
        <v>246372918</v>
      </c>
      <c r="B2095" s="6" t="s">
        <v>6103</v>
      </c>
      <c r="C2095" s="5" t="s">
        <v>6104</v>
      </c>
      <c r="D2095" s="5">
        <v>87782416762</v>
      </c>
      <c r="E2095" s="5" t="s">
        <v>6105</v>
      </c>
      <c r="F2095" s="6" t="s">
        <v>949</v>
      </c>
      <c r="G2095" s="6" t="s">
        <v>950</v>
      </c>
    </row>
    <row r="2096" spans="1:7" ht="15.75" customHeight="1">
      <c r="A2096" s="3">
        <v>246374203</v>
      </c>
      <c r="B2096" s="4" t="s">
        <v>6106</v>
      </c>
      <c r="C2096" s="3" t="s">
        <v>6107</v>
      </c>
      <c r="D2096" s="3">
        <v>994899680</v>
      </c>
      <c r="E2096" s="3" t="s">
        <v>6108</v>
      </c>
      <c r="F2096" s="4" t="s">
        <v>949</v>
      </c>
      <c r="G2096" s="4" t="s">
        <v>950</v>
      </c>
    </row>
    <row r="2097" spans="1:7" ht="15.75" customHeight="1">
      <c r="A2097" s="5">
        <v>246374780</v>
      </c>
      <c r="B2097" s="6" t="s">
        <v>6109</v>
      </c>
      <c r="C2097" s="5" t="s">
        <v>6110</v>
      </c>
      <c r="D2097" s="5" t="s">
        <v>6111</v>
      </c>
      <c r="E2097" s="5" t="s">
        <v>6112</v>
      </c>
      <c r="F2097" s="6" t="s">
        <v>949</v>
      </c>
      <c r="G2097" s="6" t="s">
        <v>950</v>
      </c>
    </row>
    <row r="2098" spans="1:7" ht="15.75" customHeight="1">
      <c r="A2098" s="3">
        <v>246375005</v>
      </c>
      <c r="B2098" s="4" t="s">
        <v>6113</v>
      </c>
      <c r="C2098" s="3" t="s">
        <v>6114</v>
      </c>
      <c r="D2098" s="3" t="s">
        <v>6115</v>
      </c>
      <c r="E2098" s="3" t="s">
        <v>6116</v>
      </c>
      <c r="F2098" s="4" t="s">
        <v>949</v>
      </c>
      <c r="G2098" s="4" t="s">
        <v>950</v>
      </c>
    </row>
    <row r="2099" spans="1:7" ht="15.75" customHeight="1">
      <c r="A2099" s="5">
        <v>246375279</v>
      </c>
      <c r="B2099" s="6" t="s">
        <v>6117</v>
      </c>
      <c r="C2099" s="5" t="s">
        <v>6118</v>
      </c>
      <c r="D2099" s="5">
        <v>87072306262</v>
      </c>
      <c r="E2099" s="5" t="s">
        <v>6119</v>
      </c>
      <c r="F2099" s="6" t="s">
        <v>949</v>
      </c>
      <c r="G2099" s="6" t="s">
        <v>950</v>
      </c>
    </row>
    <row r="2100" spans="1:7" ht="15.75" customHeight="1">
      <c r="A2100" s="3">
        <v>246376269</v>
      </c>
      <c r="B2100" s="4" t="s">
        <v>6120</v>
      </c>
      <c r="C2100" s="3" t="s">
        <v>6121</v>
      </c>
      <c r="D2100" s="3">
        <v>79653446007</v>
      </c>
      <c r="E2100" s="3" t="s">
        <v>6122</v>
      </c>
      <c r="F2100" s="4" t="s">
        <v>960</v>
      </c>
      <c r="G2100" s="4" t="s">
        <v>961</v>
      </c>
    </row>
    <row r="2101" spans="1:7" ht="15.75" customHeight="1">
      <c r="A2101" s="5">
        <v>246376479</v>
      </c>
      <c r="B2101" s="6" t="s">
        <v>6123</v>
      </c>
      <c r="C2101" s="5" t="s">
        <v>6124</v>
      </c>
      <c r="D2101" s="5" t="s">
        <v>6125</v>
      </c>
      <c r="E2101" s="5" t="s">
        <v>6126</v>
      </c>
      <c r="F2101" s="6" t="s">
        <v>949</v>
      </c>
      <c r="G2101" s="6" t="s">
        <v>950</v>
      </c>
    </row>
    <row r="2102" spans="1:7" ht="15.75" customHeight="1">
      <c r="A2102" s="3">
        <v>246376537</v>
      </c>
      <c r="B2102" s="4" t="s">
        <v>6127</v>
      </c>
      <c r="C2102" s="3" t="s">
        <v>6128</v>
      </c>
      <c r="D2102" s="3">
        <v>87778040965</v>
      </c>
      <c r="E2102" s="3" t="s">
        <v>6129</v>
      </c>
      <c r="F2102" s="4" t="s">
        <v>949</v>
      </c>
      <c r="G2102" s="4" t="s">
        <v>950</v>
      </c>
    </row>
    <row r="2103" spans="1:7" ht="15.75" customHeight="1">
      <c r="A2103" s="5">
        <v>246376573</v>
      </c>
      <c r="B2103" s="6" t="s">
        <v>6130</v>
      </c>
      <c r="C2103" s="5" t="s">
        <v>6131</v>
      </c>
      <c r="D2103" s="5">
        <v>87051438199</v>
      </c>
      <c r="E2103" s="5" t="s">
        <v>6132</v>
      </c>
      <c r="F2103" s="6" t="s">
        <v>949</v>
      </c>
      <c r="G2103" s="6" t="s">
        <v>950</v>
      </c>
    </row>
    <row r="2104" spans="1:7" ht="15.75" customHeight="1">
      <c r="A2104" s="3">
        <v>246376783</v>
      </c>
      <c r="B2104" s="4" t="s">
        <v>6133</v>
      </c>
      <c r="C2104" s="3" t="s">
        <v>6134</v>
      </c>
      <c r="D2104" s="3">
        <v>87023788999</v>
      </c>
      <c r="E2104" s="3" t="s">
        <v>6135</v>
      </c>
      <c r="F2104" s="4" t="s">
        <v>949</v>
      </c>
      <c r="G2104" s="4" t="s">
        <v>950</v>
      </c>
    </row>
    <row r="2105" spans="1:7" ht="15.75" customHeight="1">
      <c r="A2105" s="5">
        <v>246376865</v>
      </c>
      <c r="B2105" s="6" t="s">
        <v>6136</v>
      </c>
      <c r="C2105" s="5" t="s">
        <v>6137</v>
      </c>
      <c r="D2105" s="5" t="s">
        <v>6138</v>
      </c>
      <c r="E2105" s="5" t="s">
        <v>6139</v>
      </c>
      <c r="F2105" s="6" t="s">
        <v>949</v>
      </c>
      <c r="G2105" s="6" t="s">
        <v>950</v>
      </c>
    </row>
    <row r="2106" spans="1:7" ht="15.75" customHeight="1">
      <c r="A2106" s="3">
        <v>246377044</v>
      </c>
      <c r="B2106" s="4" t="s">
        <v>6140</v>
      </c>
      <c r="C2106" s="3" t="s">
        <v>6141</v>
      </c>
      <c r="D2106" s="3" t="s">
        <v>6142</v>
      </c>
      <c r="E2106" s="3" t="s">
        <v>6143</v>
      </c>
      <c r="F2106" s="4" t="s">
        <v>949</v>
      </c>
      <c r="G2106" s="4" t="s">
        <v>950</v>
      </c>
    </row>
    <row r="2107" spans="1:7" ht="15.75" customHeight="1">
      <c r="A2107" s="5">
        <v>246377244</v>
      </c>
      <c r="B2107" s="6" t="s">
        <v>6144</v>
      </c>
      <c r="C2107" s="5" t="s">
        <v>6145</v>
      </c>
      <c r="D2107" s="5">
        <v>77475746433</v>
      </c>
      <c r="E2107" s="5" t="s">
        <v>6146</v>
      </c>
      <c r="F2107" s="6" t="s">
        <v>949</v>
      </c>
      <c r="G2107" s="6" t="s">
        <v>950</v>
      </c>
    </row>
    <row r="2108" spans="1:7" ht="15.75" customHeight="1">
      <c r="A2108" s="3">
        <v>246378103</v>
      </c>
      <c r="B2108" s="4" t="s">
        <v>6147</v>
      </c>
      <c r="C2108" s="3" t="s">
        <v>6148</v>
      </c>
      <c r="D2108" s="3" t="s">
        <v>6149</v>
      </c>
      <c r="E2108" s="3" t="s">
        <v>6150</v>
      </c>
      <c r="F2108" s="4" t="s">
        <v>949</v>
      </c>
      <c r="G2108" s="4" t="s">
        <v>950</v>
      </c>
    </row>
    <row r="2109" spans="1:7" ht="15.75" customHeight="1">
      <c r="A2109" s="5">
        <v>246378453</v>
      </c>
      <c r="B2109" s="6" t="s">
        <v>6151</v>
      </c>
      <c r="C2109" s="5" t="s">
        <v>6152</v>
      </c>
      <c r="D2109" s="5" t="s">
        <v>6153</v>
      </c>
      <c r="E2109" s="5" t="s">
        <v>6154</v>
      </c>
      <c r="F2109" s="6" t="s">
        <v>960</v>
      </c>
      <c r="G2109" s="6" t="s">
        <v>961</v>
      </c>
    </row>
    <row r="2110" spans="1:7" ht="15.75" customHeight="1">
      <c r="A2110" s="3">
        <v>246378569</v>
      </c>
      <c r="B2110" s="4" t="s">
        <v>6155</v>
      </c>
      <c r="C2110" s="3" t="s">
        <v>6156</v>
      </c>
      <c r="D2110" s="3">
        <v>87023821090</v>
      </c>
      <c r="E2110" s="3" t="s">
        <v>6157</v>
      </c>
      <c r="F2110" s="4" t="s">
        <v>949</v>
      </c>
      <c r="G2110" s="4" t="s">
        <v>950</v>
      </c>
    </row>
    <row r="2111" spans="1:7" ht="15.75" customHeight="1">
      <c r="A2111" s="5">
        <v>246379885</v>
      </c>
      <c r="B2111" s="6" t="s">
        <v>6158</v>
      </c>
      <c r="C2111" s="5" t="s">
        <v>6159</v>
      </c>
      <c r="D2111" s="5">
        <v>79892935325</v>
      </c>
      <c r="E2111" s="5" t="s">
        <v>6160</v>
      </c>
      <c r="F2111" s="6" t="s">
        <v>960</v>
      </c>
      <c r="G2111" s="6" t="s">
        <v>961</v>
      </c>
    </row>
    <row r="2112" spans="1:7" ht="15.75" customHeight="1">
      <c r="A2112" s="3">
        <v>246380013</v>
      </c>
      <c r="B2112" s="4" t="s">
        <v>6161</v>
      </c>
      <c r="C2112" s="3" t="s">
        <v>6162</v>
      </c>
      <c r="D2112" s="3">
        <v>87051211215</v>
      </c>
      <c r="E2112" s="3" t="s">
        <v>6163</v>
      </c>
      <c r="F2112" s="4" t="s">
        <v>949</v>
      </c>
      <c r="G2112" s="4" t="s">
        <v>950</v>
      </c>
    </row>
    <row r="2113" spans="1:7" ht="15.75" customHeight="1">
      <c r="A2113" s="5">
        <v>246380194</v>
      </c>
      <c r="B2113" s="6" t="s">
        <v>6164</v>
      </c>
      <c r="C2113" s="5" t="s">
        <v>6165</v>
      </c>
      <c r="D2113" s="5">
        <v>87076079492</v>
      </c>
      <c r="E2113" s="5" t="s">
        <v>6166</v>
      </c>
      <c r="F2113" s="6" t="s">
        <v>949</v>
      </c>
      <c r="G2113" s="6" t="s">
        <v>950</v>
      </c>
    </row>
    <row r="2114" spans="1:7" ht="15.75" customHeight="1">
      <c r="A2114" s="3">
        <v>246381166</v>
      </c>
      <c r="B2114" s="4" t="s">
        <v>6167</v>
      </c>
      <c r="C2114" s="3" t="s">
        <v>6168</v>
      </c>
      <c r="D2114" s="3">
        <v>87081268832</v>
      </c>
      <c r="E2114" s="3" t="s">
        <v>6169</v>
      </c>
      <c r="F2114" s="4" t="s">
        <v>949</v>
      </c>
      <c r="G2114" s="4" t="s">
        <v>950</v>
      </c>
    </row>
    <row r="2115" spans="1:7" ht="15.75" customHeight="1">
      <c r="A2115" s="5">
        <v>246381194</v>
      </c>
      <c r="B2115" s="6" t="s">
        <v>6170</v>
      </c>
      <c r="C2115" s="5" t="s">
        <v>6171</v>
      </c>
      <c r="D2115" s="5">
        <v>79375724512</v>
      </c>
      <c r="E2115" s="5" t="s">
        <v>6172</v>
      </c>
      <c r="F2115" s="6" t="s">
        <v>960</v>
      </c>
      <c r="G2115" s="6" t="s">
        <v>961</v>
      </c>
    </row>
    <row r="2116" spans="1:7" ht="15.75" customHeight="1">
      <c r="A2116" s="3">
        <v>246381803</v>
      </c>
      <c r="B2116" s="4" t="s">
        <v>6173</v>
      </c>
      <c r="C2116" s="3" t="s">
        <v>6174</v>
      </c>
      <c r="D2116" s="3">
        <v>998994197884</v>
      </c>
      <c r="E2116" s="3" t="s">
        <v>6175</v>
      </c>
      <c r="F2116" s="4" t="s">
        <v>949</v>
      </c>
      <c r="G2116" s="4" t="s">
        <v>950</v>
      </c>
    </row>
    <row r="2117" spans="1:7" ht="15.75" customHeight="1">
      <c r="A2117" s="5">
        <v>246383045</v>
      </c>
      <c r="B2117" s="6" t="s">
        <v>6176</v>
      </c>
      <c r="C2117" s="5" t="s">
        <v>6177</v>
      </c>
      <c r="D2117" s="5" t="s">
        <v>6178</v>
      </c>
      <c r="E2117" s="5" t="s">
        <v>6179</v>
      </c>
      <c r="F2117" s="6" t="s">
        <v>949</v>
      </c>
      <c r="G2117" s="6" t="s">
        <v>950</v>
      </c>
    </row>
    <row r="2118" spans="1:7" ht="15.75" customHeight="1">
      <c r="A2118" s="3">
        <v>246383485</v>
      </c>
      <c r="B2118" s="4" t="s">
        <v>6180</v>
      </c>
      <c r="C2118" s="3" t="s">
        <v>6181</v>
      </c>
      <c r="D2118" s="3" t="s">
        <v>6182</v>
      </c>
      <c r="E2118" s="3" t="s">
        <v>6183</v>
      </c>
      <c r="F2118" s="4" t="s">
        <v>949</v>
      </c>
      <c r="G2118" s="4" t="s">
        <v>950</v>
      </c>
    </row>
    <row r="2119" spans="1:7" ht="15.75" customHeight="1">
      <c r="A2119" s="5">
        <v>246384212</v>
      </c>
      <c r="B2119" s="6" t="s">
        <v>6184</v>
      </c>
      <c r="C2119" s="5" t="s">
        <v>6185</v>
      </c>
      <c r="D2119" s="5" t="s">
        <v>6186</v>
      </c>
      <c r="E2119" s="5" t="s">
        <v>6187</v>
      </c>
      <c r="F2119" s="6" t="s">
        <v>960</v>
      </c>
      <c r="G2119" s="6" t="s">
        <v>961</v>
      </c>
    </row>
    <row r="2120" spans="1:7" ht="15.75" customHeight="1">
      <c r="A2120" s="3">
        <v>246384456</v>
      </c>
      <c r="B2120" s="4" t="s">
        <v>6188</v>
      </c>
      <c r="C2120" s="3" t="s">
        <v>6189</v>
      </c>
      <c r="D2120" s="3" t="s">
        <v>6190</v>
      </c>
      <c r="E2120" s="3" t="s">
        <v>6191</v>
      </c>
      <c r="F2120" s="4" t="s">
        <v>949</v>
      </c>
      <c r="G2120" s="4" t="s">
        <v>950</v>
      </c>
    </row>
    <row r="2121" spans="1:7" ht="15.75" customHeight="1">
      <c r="A2121" s="5">
        <v>246385255</v>
      </c>
      <c r="B2121" s="6" t="s">
        <v>6192</v>
      </c>
      <c r="C2121" s="5" t="s">
        <v>6193</v>
      </c>
      <c r="D2121" s="5">
        <v>87784183696</v>
      </c>
      <c r="E2121" s="5" t="s">
        <v>6194</v>
      </c>
      <c r="F2121" s="6" t="s">
        <v>949</v>
      </c>
      <c r="G2121" s="6" t="s">
        <v>950</v>
      </c>
    </row>
    <row r="2122" spans="1:7" ht="15.75" customHeight="1">
      <c r="A2122" s="3">
        <v>246385832</v>
      </c>
      <c r="B2122" s="4" t="s">
        <v>6195</v>
      </c>
      <c r="C2122" s="3" t="s">
        <v>6196</v>
      </c>
      <c r="D2122" s="3" t="s">
        <v>6197</v>
      </c>
      <c r="E2122" s="3" t="s">
        <v>6198</v>
      </c>
      <c r="F2122" s="4" t="s">
        <v>949</v>
      </c>
      <c r="G2122" s="4" t="s">
        <v>950</v>
      </c>
    </row>
    <row r="2123" spans="1:7" ht="15.75" customHeight="1">
      <c r="A2123" s="5">
        <v>246385923</v>
      </c>
      <c r="B2123" s="6" t="s">
        <v>6199</v>
      </c>
      <c r="C2123" s="5" t="s">
        <v>6200</v>
      </c>
      <c r="D2123" s="5" t="s">
        <v>6201</v>
      </c>
      <c r="E2123" s="5" t="s">
        <v>6202</v>
      </c>
      <c r="F2123" s="6" t="s">
        <v>949</v>
      </c>
      <c r="G2123" s="6" t="s">
        <v>950</v>
      </c>
    </row>
    <row r="2124" spans="1:7" ht="15.75" customHeight="1">
      <c r="A2124" s="3">
        <v>246386160</v>
      </c>
      <c r="B2124" s="4" t="s">
        <v>6203</v>
      </c>
      <c r="C2124" s="3" t="s">
        <v>6204</v>
      </c>
      <c r="D2124" s="3" t="s">
        <v>6205</v>
      </c>
      <c r="E2124" s="3" t="s">
        <v>6206</v>
      </c>
      <c r="F2124" s="4" t="s">
        <v>960</v>
      </c>
      <c r="G2124" s="4" t="s">
        <v>961</v>
      </c>
    </row>
    <row r="2125" spans="1:7" ht="15.75" customHeight="1">
      <c r="A2125" s="5">
        <v>246386315</v>
      </c>
      <c r="B2125" s="6" t="s">
        <v>6207</v>
      </c>
      <c r="C2125" s="5" t="s">
        <v>6208</v>
      </c>
      <c r="D2125" s="5" t="s">
        <v>6209</v>
      </c>
      <c r="E2125" s="5" t="s">
        <v>6210</v>
      </c>
      <c r="F2125" s="6" t="s">
        <v>949</v>
      </c>
      <c r="G2125" s="6" t="s">
        <v>950</v>
      </c>
    </row>
    <row r="2126" spans="1:7" ht="15.75" customHeight="1">
      <c r="A2126" s="3">
        <v>246386990</v>
      </c>
      <c r="B2126" s="4" t="s">
        <v>6211</v>
      </c>
      <c r="C2126" s="3" t="s">
        <v>6212</v>
      </c>
      <c r="D2126" s="3">
        <v>7057796663</v>
      </c>
      <c r="E2126" s="3" t="s">
        <v>6213</v>
      </c>
      <c r="F2126" s="4" t="s">
        <v>949</v>
      </c>
      <c r="G2126" s="4" t="s">
        <v>950</v>
      </c>
    </row>
    <row r="2127" spans="1:7" ht="15.75" customHeight="1">
      <c r="A2127" s="5">
        <v>246387209</v>
      </c>
      <c r="B2127" s="6" t="s">
        <v>6214</v>
      </c>
      <c r="C2127" s="5" t="s">
        <v>6215</v>
      </c>
      <c r="D2127" s="5" t="s">
        <v>6216</v>
      </c>
      <c r="E2127" s="5" t="s">
        <v>6217</v>
      </c>
      <c r="F2127" s="6" t="s">
        <v>949</v>
      </c>
      <c r="G2127" s="6" t="s">
        <v>950</v>
      </c>
    </row>
    <row r="2128" spans="1:7" ht="15.75" customHeight="1">
      <c r="A2128" s="3">
        <v>246387355</v>
      </c>
      <c r="B2128" s="4" t="s">
        <v>6218</v>
      </c>
      <c r="C2128" s="3" t="s">
        <v>6219</v>
      </c>
      <c r="D2128" s="3" t="s">
        <v>6220</v>
      </c>
      <c r="E2128" s="3" t="s">
        <v>6221</v>
      </c>
      <c r="F2128" s="4" t="s">
        <v>949</v>
      </c>
      <c r="G2128" s="4" t="s">
        <v>950</v>
      </c>
    </row>
    <row r="2129" spans="1:7" ht="15.75" customHeight="1">
      <c r="A2129" s="5">
        <v>246388269</v>
      </c>
      <c r="B2129" s="6" t="s">
        <v>6222</v>
      </c>
      <c r="C2129" s="5" t="s">
        <v>6223</v>
      </c>
      <c r="D2129" s="5" t="s">
        <v>6224</v>
      </c>
      <c r="E2129" s="5" t="s">
        <v>6225</v>
      </c>
      <c r="F2129" s="6" t="s">
        <v>949</v>
      </c>
      <c r="G2129" s="6" t="s">
        <v>950</v>
      </c>
    </row>
    <row r="2130" spans="1:7" ht="15.75" customHeight="1">
      <c r="A2130" s="3">
        <v>246388755</v>
      </c>
      <c r="B2130" s="4" t="s">
        <v>6226</v>
      </c>
      <c r="C2130" s="3" t="s">
        <v>6227</v>
      </c>
      <c r="D2130" s="3">
        <v>79689302649</v>
      </c>
      <c r="E2130" s="3" t="s">
        <v>6228</v>
      </c>
      <c r="F2130" s="4" t="s">
        <v>960</v>
      </c>
      <c r="G2130" s="4" t="s">
        <v>961</v>
      </c>
    </row>
    <row r="2131" spans="1:7" ht="15.75" customHeight="1">
      <c r="A2131" s="5">
        <v>246389074</v>
      </c>
      <c r="B2131" s="6" t="s">
        <v>6229</v>
      </c>
      <c r="C2131" s="5" t="s">
        <v>6230</v>
      </c>
      <c r="D2131" s="5">
        <v>87021057977</v>
      </c>
      <c r="E2131" s="5" t="s">
        <v>6231</v>
      </c>
      <c r="F2131" s="6" t="s">
        <v>949</v>
      </c>
      <c r="G2131" s="6" t="s">
        <v>950</v>
      </c>
    </row>
    <row r="2132" spans="1:7" ht="15.75" customHeight="1">
      <c r="A2132" s="3">
        <v>246389455</v>
      </c>
      <c r="B2132" s="4" t="s">
        <v>6232</v>
      </c>
      <c r="C2132" s="3" t="s">
        <v>6233</v>
      </c>
      <c r="D2132" s="3" t="s">
        <v>6234</v>
      </c>
      <c r="E2132" s="3" t="s">
        <v>6235</v>
      </c>
      <c r="F2132" s="4" t="s">
        <v>949</v>
      </c>
      <c r="G2132" s="4" t="s">
        <v>950</v>
      </c>
    </row>
    <row r="2133" spans="1:7" ht="15.75" customHeight="1">
      <c r="A2133" s="5">
        <v>246391244</v>
      </c>
      <c r="B2133" s="6" t="s">
        <v>6236</v>
      </c>
      <c r="C2133" s="5" t="s">
        <v>6237</v>
      </c>
      <c r="D2133" s="5" t="s">
        <v>6238</v>
      </c>
      <c r="E2133" s="5" t="s">
        <v>6239</v>
      </c>
      <c r="F2133" s="6" t="s">
        <v>949</v>
      </c>
      <c r="G2133" s="6" t="s">
        <v>950</v>
      </c>
    </row>
    <row r="2134" spans="1:7" ht="15.75" customHeight="1">
      <c r="A2134" s="3">
        <v>246391988</v>
      </c>
      <c r="B2134" s="4" t="s">
        <v>6240</v>
      </c>
      <c r="C2134" s="3" t="s">
        <v>6241</v>
      </c>
      <c r="D2134" s="3" t="s">
        <v>6242</v>
      </c>
      <c r="E2134" s="3" t="s">
        <v>6243</v>
      </c>
      <c r="F2134" s="4" t="s">
        <v>949</v>
      </c>
      <c r="G2134" s="4" t="s">
        <v>950</v>
      </c>
    </row>
    <row r="2135" spans="1:7" ht="15.75" customHeight="1">
      <c r="A2135" s="5">
        <v>246391997</v>
      </c>
      <c r="B2135" s="6" t="s">
        <v>6244</v>
      </c>
      <c r="C2135" s="5" t="s">
        <v>6245</v>
      </c>
      <c r="D2135" s="5">
        <v>87012031978</v>
      </c>
      <c r="E2135" s="5" t="s">
        <v>6246</v>
      </c>
      <c r="F2135" s="6" t="s">
        <v>949</v>
      </c>
      <c r="G2135" s="6" t="s">
        <v>950</v>
      </c>
    </row>
    <row r="2136" spans="1:7" ht="15.75" customHeight="1">
      <c r="A2136" s="3">
        <v>246392446</v>
      </c>
      <c r="B2136" s="4" t="s">
        <v>6247</v>
      </c>
      <c r="C2136" s="3" t="s">
        <v>6248</v>
      </c>
      <c r="D2136" s="3">
        <v>998975857503</v>
      </c>
      <c r="E2136" s="3" t="s">
        <v>6249</v>
      </c>
      <c r="F2136" s="4" t="s">
        <v>949</v>
      </c>
      <c r="G2136" s="4" t="s">
        <v>950</v>
      </c>
    </row>
    <row r="2137" spans="1:7" ht="15.75" customHeight="1">
      <c r="A2137" s="5">
        <v>246392478</v>
      </c>
      <c r="B2137" s="6" t="s">
        <v>6250</v>
      </c>
      <c r="C2137" s="5" t="s">
        <v>6251</v>
      </c>
      <c r="D2137" s="5">
        <v>87479191816</v>
      </c>
      <c r="E2137" s="5" t="s">
        <v>6252</v>
      </c>
      <c r="F2137" s="6" t="s">
        <v>949</v>
      </c>
      <c r="G2137" s="6" t="s">
        <v>950</v>
      </c>
    </row>
    <row r="2138" spans="1:7" ht="15.75" customHeight="1">
      <c r="A2138" s="3">
        <v>246393550</v>
      </c>
      <c r="B2138" s="4" t="s">
        <v>6253</v>
      </c>
      <c r="C2138" s="3" t="s">
        <v>6254</v>
      </c>
      <c r="D2138" s="3">
        <v>77052892288</v>
      </c>
      <c r="E2138" s="3" t="s">
        <v>6255</v>
      </c>
      <c r="F2138" s="4" t="s">
        <v>949</v>
      </c>
      <c r="G2138" s="4" t="s">
        <v>950</v>
      </c>
    </row>
    <row r="2139" spans="1:7" ht="15.75" customHeight="1">
      <c r="A2139" s="5">
        <v>246393594</v>
      </c>
      <c r="B2139" s="6" t="s">
        <v>6256</v>
      </c>
      <c r="C2139" s="5" t="s">
        <v>6257</v>
      </c>
      <c r="D2139" s="5">
        <v>87027662045</v>
      </c>
      <c r="E2139" s="5" t="s">
        <v>6258</v>
      </c>
      <c r="F2139" s="6" t="s">
        <v>949</v>
      </c>
      <c r="G2139" s="6" t="s">
        <v>950</v>
      </c>
    </row>
    <row r="2140" spans="1:7" ht="15.75" customHeight="1">
      <c r="A2140" s="3">
        <v>246394078</v>
      </c>
      <c r="B2140" s="4" t="s">
        <v>6259</v>
      </c>
      <c r="C2140" s="3" t="s">
        <v>6260</v>
      </c>
      <c r="D2140" s="3" t="s">
        <v>6261</v>
      </c>
      <c r="E2140" s="3" t="s">
        <v>6262</v>
      </c>
      <c r="F2140" s="4" t="s">
        <v>956</v>
      </c>
      <c r="G2140" s="4" t="s">
        <v>901</v>
      </c>
    </row>
    <row r="2141" spans="1:7" ht="15.75" customHeight="1">
      <c r="A2141" s="5">
        <v>246394507</v>
      </c>
      <c r="B2141" s="6" t="s">
        <v>6263</v>
      </c>
      <c r="C2141" s="5" t="s">
        <v>6264</v>
      </c>
      <c r="D2141" s="5">
        <v>909876654</v>
      </c>
      <c r="E2141" s="5" t="s">
        <v>6265</v>
      </c>
      <c r="F2141" s="6" t="s">
        <v>949</v>
      </c>
      <c r="G2141" s="6" t="s">
        <v>950</v>
      </c>
    </row>
    <row r="2142" spans="1:7" ht="15.75" customHeight="1">
      <c r="A2142" s="3">
        <v>246395088</v>
      </c>
      <c r="B2142" s="4" t="s">
        <v>6266</v>
      </c>
      <c r="C2142" s="3" t="s">
        <v>6267</v>
      </c>
      <c r="D2142" s="3">
        <v>996500181800</v>
      </c>
      <c r="E2142" s="3" t="s">
        <v>6268</v>
      </c>
      <c r="F2142" s="4" t="s">
        <v>949</v>
      </c>
      <c r="G2142" s="4" t="s">
        <v>950</v>
      </c>
    </row>
    <row r="2143" spans="1:7" ht="15.75" customHeight="1">
      <c r="A2143" s="5">
        <v>246395765</v>
      </c>
      <c r="B2143" s="6" t="s">
        <v>6269</v>
      </c>
      <c r="C2143" s="5" t="s">
        <v>6270</v>
      </c>
      <c r="D2143" s="5">
        <v>87786811983</v>
      </c>
      <c r="E2143" s="5" t="s">
        <v>6271</v>
      </c>
      <c r="F2143" s="6" t="s">
        <v>949</v>
      </c>
      <c r="G2143" s="6" t="s">
        <v>950</v>
      </c>
    </row>
    <row r="2144" spans="1:7" ht="15.75" customHeight="1">
      <c r="A2144" s="3">
        <v>246396770</v>
      </c>
      <c r="B2144" s="4" t="s">
        <v>6272</v>
      </c>
      <c r="C2144" s="3" t="s">
        <v>6273</v>
      </c>
      <c r="D2144" s="3" t="s">
        <v>6274</v>
      </c>
      <c r="E2144" s="3" t="s">
        <v>6275</v>
      </c>
      <c r="F2144" s="4" t="s">
        <v>949</v>
      </c>
      <c r="G2144" s="4" t="s">
        <v>950</v>
      </c>
    </row>
    <row r="2145" spans="1:7" ht="15.75" customHeight="1">
      <c r="A2145" s="5">
        <v>246397495</v>
      </c>
      <c r="B2145" s="6" t="s">
        <v>6276</v>
      </c>
      <c r="C2145" s="5" t="s">
        <v>6277</v>
      </c>
      <c r="D2145" s="5" t="s">
        <v>6278</v>
      </c>
      <c r="E2145" s="5" t="s">
        <v>6279</v>
      </c>
      <c r="F2145" s="6" t="s">
        <v>949</v>
      </c>
      <c r="G2145" s="6" t="s">
        <v>950</v>
      </c>
    </row>
    <row r="2146" spans="1:7" ht="15.75" customHeight="1">
      <c r="A2146" s="3">
        <v>246397644</v>
      </c>
      <c r="B2146" s="4" t="s">
        <v>6280</v>
      </c>
      <c r="C2146" s="3" t="s">
        <v>6281</v>
      </c>
      <c r="D2146" s="3" t="s">
        <v>6282</v>
      </c>
      <c r="E2146" s="3" t="s">
        <v>6283</v>
      </c>
      <c r="F2146" s="4" t="s">
        <v>949</v>
      </c>
      <c r="G2146" s="4" t="s">
        <v>950</v>
      </c>
    </row>
    <row r="2147" spans="1:7" ht="15.75" customHeight="1">
      <c r="A2147" s="5">
        <v>246397713</v>
      </c>
      <c r="B2147" s="6" t="s">
        <v>6284</v>
      </c>
      <c r="C2147" s="5" t="s">
        <v>6285</v>
      </c>
      <c r="D2147" s="5">
        <v>998914135090</v>
      </c>
      <c r="E2147" s="5" t="s">
        <v>6286</v>
      </c>
      <c r="F2147" s="6" t="s">
        <v>949</v>
      </c>
      <c r="G2147" s="6" t="s">
        <v>950</v>
      </c>
    </row>
    <row r="2148" spans="1:7" ht="15.75" customHeight="1">
      <c r="A2148" s="3">
        <v>246397943</v>
      </c>
      <c r="B2148" s="4" t="s">
        <v>6287</v>
      </c>
      <c r="C2148" s="3" t="s">
        <v>6288</v>
      </c>
      <c r="D2148" s="3">
        <v>87779399885</v>
      </c>
      <c r="E2148" s="3" t="s">
        <v>6289</v>
      </c>
      <c r="F2148" s="4" t="s">
        <v>949</v>
      </c>
      <c r="G2148" s="4" t="s">
        <v>950</v>
      </c>
    </row>
    <row r="2149" spans="1:7" ht="15.75" customHeight="1">
      <c r="A2149" s="5">
        <v>246399185</v>
      </c>
      <c r="B2149" s="6" t="s">
        <v>6290</v>
      </c>
      <c r="C2149" s="5" t="s">
        <v>6291</v>
      </c>
      <c r="D2149" s="5" t="s">
        <v>6292</v>
      </c>
      <c r="E2149" s="5" t="s">
        <v>6293</v>
      </c>
      <c r="F2149" s="6" t="s">
        <v>949</v>
      </c>
      <c r="G2149" s="6" t="s">
        <v>950</v>
      </c>
    </row>
    <row r="2150" spans="1:7" ht="15.75" customHeight="1">
      <c r="A2150" s="3">
        <v>246409069</v>
      </c>
      <c r="B2150" s="4" t="s">
        <v>6294</v>
      </c>
      <c r="C2150" s="3" t="s">
        <v>6295</v>
      </c>
      <c r="D2150" s="3" t="s">
        <v>6296</v>
      </c>
      <c r="E2150" s="3" t="s">
        <v>6297</v>
      </c>
      <c r="F2150" s="4" t="s">
        <v>960</v>
      </c>
      <c r="G2150" s="4" t="s">
        <v>961</v>
      </c>
    </row>
    <row r="2151" spans="1:7" ht="15.75" customHeight="1">
      <c r="A2151" s="5">
        <v>246411509</v>
      </c>
      <c r="B2151" s="6" t="s">
        <v>6298</v>
      </c>
      <c r="C2151" s="5" t="s">
        <v>6299</v>
      </c>
      <c r="D2151" s="5" t="s">
        <v>6300</v>
      </c>
      <c r="E2151" s="5" t="s">
        <v>6301</v>
      </c>
      <c r="F2151" s="6" t="s">
        <v>960</v>
      </c>
      <c r="G2151" s="6" t="s">
        <v>961</v>
      </c>
    </row>
    <row r="2152" spans="1:7" ht="15.75" customHeight="1">
      <c r="A2152" s="3">
        <v>246412110</v>
      </c>
      <c r="B2152" s="4" t="s">
        <v>6302</v>
      </c>
      <c r="C2152" s="3" t="s">
        <v>6303</v>
      </c>
      <c r="D2152" s="3">
        <v>79124361987</v>
      </c>
      <c r="E2152" s="3" t="s">
        <v>6304</v>
      </c>
      <c r="F2152" s="4" t="s">
        <v>960</v>
      </c>
      <c r="G2152" s="4" t="s">
        <v>961</v>
      </c>
    </row>
    <row r="2153" spans="1:7" ht="15.75" customHeight="1">
      <c r="A2153" s="5">
        <v>246412555</v>
      </c>
      <c r="B2153" s="6" t="s">
        <v>6305</v>
      </c>
      <c r="C2153" s="5" t="s">
        <v>6306</v>
      </c>
      <c r="D2153" s="5">
        <v>77010231114</v>
      </c>
      <c r="E2153" s="5" t="s">
        <v>6307</v>
      </c>
      <c r="F2153" s="6" t="s">
        <v>949</v>
      </c>
      <c r="G2153" s="6" t="s">
        <v>950</v>
      </c>
    </row>
    <row r="2154" spans="1:7" ht="15.75" customHeight="1">
      <c r="A2154" s="3">
        <v>246414359</v>
      </c>
      <c r="B2154" s="4" t="s">
        <v>6308</v>
      </c>
      <c r="C2154" s="3" t="s">
        <v>6309</v>
      </c>
      <c r="D2154" s="3">
        <v>971506943839</v>
      </c>
      <c r="E2154" s="3" t="s">
        <v>6310</v>
      </c>
      <c r="F2154" s="4" t="s">
        <v>949</v>
      </c>
      <c r="G2154" s="4" t="s">
        <v>950</v>
      </c>
    </row>
    <row r="2155" spans="1:7" ht="15.75" customHeight="1">
      <c r="A2155" s="5">
        <v>246416815</v>
      </c>
      <c r="B2155" s="6" t="s">
        <v>6311</v>
      </c>
      <c r="C2155" s="5" t="s">
        <v>6312</v>
      </c>
      <c r="D2155" s="5" t="s">
        <v>6313</v>
      </c>
      <c r="E2155" s="5" t="s">
        <v>6314</v>
      </c>
      <c r="F2155" s="6" t="s">
        <v>960</v>
      </c>
      <c r="G2155" s="6" t="s">
        <v>961</v>
      </c>
    </row>
    <row r="2156" spans="1:7" ht="15.75" customHeight="1">
      <c r="A2156" s="3">
        <v>246421049</v>
      </c>
      <c r="B2156" s="4" t="s">
        <v>6315</v>
      </c>
      <c r="C2156" s="3" t="s">
        <v>6316</v>
      </c>
      <c r="D2156" s="3" t="s">
        <v>6317</v>
      </c>
      <c r="E2156" s="3" t="s">
        <v>6318</v>
      </c>
      <c r="F2156" s="4" t="s">
        <v>949</v>
      </c>
      <c r="G2156" s="4" t="s">
        <v>950</v>
      </c>
    </row>
    <row r="2157" spans="1:7" ht="15.75" customHeight="1">
      <c r="A2157" s="5">
        <v>246425223</v>
      </c>
      <c r="B2157" s="6" t="s">
        <v>6319</v>
      </c>
      <c r="C2157" s="5" t="s">
        <v>6320</v>
      </c>
      <c r="D2157" s="5">
        <v>998803516</v>
      </c>
      <c r="E2157" s="5" t="s">
        <v>6321</v>
      </c>
      <c r="F2157" s="6" t="s">
        <v>949</v>
      </c>
      <c r="G2157" s="6" t="s">
        <v>950</v>
      </c>
    </row>
    <row r="2158" spans="1:7" ht="15.75" customHeight="1">
      <c r="A2158" s="3">
        <v>246442065</v>
      </c>
      <c r="B2158" s="4" t="s">
        <v>6322</v>
      </c>
      <c r="C2158" s="3" t="s">
        <v>6323</v>
      </c>
      <c r="D2158" s="3" t="s">
        <v>6324</v>
      </c>
      <c r="E2158" s="3" t="s">
        <v>6325</v>
      </c>
      <c r="F2158" s="4" t="s">
        <v>949</v>
      </c>
      <c r="G2158" s="4" t="s">
        <v>950</v>
      </c>
    </row>
    <row r="2159" spans="1:7" ht="15.75" customHeight="1">
      <c r="A2159" s="5">
        <v>246443337</v>
      </c>
      <c r="B2159" s="6" t="s">
        <v>6326</v>
      </c>
      <c r="C2159" s="5" t="s">
        <v>6327</v>
      </c>
      <c r="D2159" s="5">
        <v>998909002670</v>
      </c>
      <c r="E2159" s="5" t="s">
        <v>6328</v>
      </c>
      <c r="F2159" s="6" t="s">
        <v>949</v>
      </c>
      <c r="G2159" s="6" t="s">
        <v>950</v>
      </c>
    </row>
    <row r="2160" spans="1:7" ht="15.75" customHeight="1">
      <c r="A2160" s="3">
        <v>246447058</v>
      </c>
      <c r="B2160" s="4" t="s">
        <v>6329</v>
      </c>
      <c r="C2160" s="3" t="s">
        <v>6330</v>
      </c>
      <c r="D2160" s="3">
        <v>79167839074</v>
      </c>
      <c r="E2160" s="3" t="s">
        <v>6331</v>
      </c>
      <c r="F2160" s="4" t="s">
        <v>960</v>
      </c>
      <c r="G2160" s="4" t="s">
        <v>961</v>
      </c>
    </row>
    <row r="2161" spans="1:7" ht="15.75" customHeight="1">
      <c r="A2161" s="5">
        <v>246447623</v>
      </c>
      <c r="B2161" s="6" t="s">
        <v>6332</v>
      </c>
      <c r="C2161" s="5" t="s">
        <v>6333</v>
      </c>
      <c r="D2161" s="5" t="s">
        <v>6334</v>
      </c>
      <c r="E2161" s="5" t="s">
        <v>6335</v>
      </c>
      <c r="F2161" s="6" t="s">
        <v>960</v>
      </c>
      <c r="G2161" s="6" t="s">
        <v>961</v>
      </c>
    </row>
    <row r="2162" spans="1:7" ht="15.75" customHeight="1">
      <c r="A2162" s="3">
        <v>246447868</v>
      </c>
      <c r="B2162" s="4" t="s">
        <v>6336</v>
      </c>
      <c r="C2162" s="3" t="s">
        <v>6337</v>
      </c>
      <c r="D2162" s="3">
        <v>8917352754</v>
      </c>
      <c r="E2162" s="3" t="s">
        <v>6338</v>
      </c>
      <c r="F2162" s="4" t="s">
        <v>960</v>
      </c>
      <c r="G2162" s="4" t="s">
        <v>961</v>
      </c>
    </row>
    <row r="2163" spans="1:7" ht="15.75" customHeight="1">
      <c r="A2163" s="5">
        <v>246449448</v>
      </c>
      <c r="B2163" s="6" t="s">
        <v>6339</v>
      </c>
      <c r="C2163" s="5" t="s">
        <v>6340</v>
      </c>
      <c r="D2163" s="5">
        <v>79536711670</v>
      </c>
      <c r="E2163" s="5" t="s">
        <v>6341</v>
      </c>
      <c r="F2163" s="6" t="s">
        <v>960</v>
      </c>
      <c r="G2163" s="6" t="s">
        <v>961</v>
      </c>
    </row>
    <row r="2164" spans="1:7" ht="15.75" customHeight="1">
      <c r="A2164" s="3">
        <v>246449677</v>
      </c>
      <c r="B2164" s="4" t="s">
        <v>6342</v>
      </c>
      <c r="C2164" s="3" t="s">
        <v>6343</v>
      </c>
      <c r="D2164" s="3">
        <v>79585580582</v>
      </c>
      <c r="E2164" s="3" t="s">
        <v>6344</v>
      </c>
      <c r="F2164" s="4" t="s">
        <v>960</v>
      </c>
      <c r="G2164" s="4" t="s">
        <v>961</v>
      </c>
    </row>
    <row r="2165" spans="1:7" ht="15.75" customHeight="1">
      <c r="A2165" s="5">
        <v>246450841</v>
      </c>
      <c r="B2165" s="6" t="s">
        <v>6345</v>
      </c>
      <c r="C2165" s="5" t="s">
        <v>6346</v>
      </c>
      <c r="D2165" s="5">
        <v>79179072149</v>
      </c>
      <c r="E2165" s="5" t="s">
        <v>6347</v>
      </c>
      <c r="F2165" s="6" t="s">
        <v>960</v>
      </c>
      <c r="G2165" s="6" t="s">
        <v>961</v>
      </c>
    </row>
    <row r="2166" spans="1:7" ht="15.75" customHeight="1">
      <c r="A2166" s="3">
        <v>246451451</v>
      </c>
      <c r="B2166" s="4" t="s">
        <v>6348</v>
      </c>
      <c r="C2166" s="3" t="s">
        <v>6349</v>
      </c>
      <c r="D2166" s="3">
        <v>79625781831</v>
      </c>
      <c r="E2166" s="3" t="s">
        <v>6350</v>
      </c>
      <c r="F2166" s="4" t="s">
        <v>960</v>
      </c>
      <c r="G2166" s="4" t="s">
        <v>961</v>
      </c>
    </row>
    <row r="2167" spans="1:7" ht="15.75" customHeight="1">
      <c r="A2167" s="5">
        <v>246452791</v>
      </c>
      <c r="B2167" s="6" t="s">
        <v>6351</v>
      </c>
      <c r="C2167" s="5" t="s">
        <v>6352</v>
      </c>
      <c r="D2167" s="5">
        <v>79613141930</v>
      </c>
      <c r="E2167" s="5" t="s">
        <v>6353</v>
      </c>
      <c r="F2167" s="6" t="s">
        <v>960</v>
      </c>
      <c r="G2167" s="6" t="s">
        <v>961</v>
      </c>
    </row>
    <row r="2168" spans="1:7" ht="15.75" customHeight="1">
      <c r="A2168" s="3">
        <v>246453185</v>
      </c>
      <c r="B2168" s="4" t="s">
        <v>6354</v>
      </c>
      <c r="C2168" s="3" t="s">
        <v>6355</v>
      </c>
      <c r="D2168" s="3">
        <v>79675710100</v>
      </c>
      <c r="E2168" s="3" t="s">
        <v>6356</v>
      </c>
      <c r="F2168" s="4" t="s">
        <v>960</v>
      </c>
      <c r="G2168" s="4" t="s">
        <v>961</v>
      </c>
    </row>
    <row r="2169" spans="1:7" ht="15.75" customHeight="1">
      <c r="A2169" s="5">
        <v>246454205</v>
      </c>
      <c r="B2169" s="6" t="s">
        <v>6357</v>
      </c>
      <c r="C2169" s="5" t="s">
        <v>6358</v>
      </c>
      <c r="D2169" s="5">
        <v>998903193999</v>
      </c>
      <c r="E2169" s="5" t="s">
        <v>6359</v>
      </c>
      <c r="F2169" s="6" t="s">
        <v>949</v>
      </c>
      <c r="G2169" s="6" t="s">
        <v>950</v>
      </c>
    </row>
    <row r="2170" spans="1:7" ht="15.75" customHeight="1">
      <c r="A2170" s="3">
        <v>246454419</v>
      </c>
      <c r="B2170" s="4" t="s">
        <v>6360</v>
      </c>
      <c r="C2170" s="3" t="s">
        <v>6361</v>
      </c>
      <c r="D2170" s="3" t="s">
        <v>6362</v>
      </c>
      <c r="E2170" s="3" t="s">
        <v>6363</v>
      </c>
      <c r="F2170" s="4" t="s">
        <v>960</v>
      </c>
      <c r="G2170" s="4" t="s">
        <v>961</v>
      </c>
    </row>
    <row r="2171" spans="1:7" ht="15.75" customHeight="1">
      <c r="A2171" s="5">
        <v>246454846</v>
      </c>
      <c r="B2171" s="6" t="s">
        <v>6364</v>
      </c>
      <c r="C2171" s="5" t="s">
        <v>6365</v>
      </c>
      <c r="D2171" s="5">
        <v>79525470098</v>
      </c>
      <c r="E2171" s="5" t="s">
        <v>6366</v>
      </c>
      <c r="F2171" s="6" t="s">
        <v>960</v>
      </c>
      <c r="G2171" s="6" t="s">
        <v>961</v>
      </c>
    </row>
    <row r="2172" spans="1:7" ht="15.75" customHeight="1">
      <c r="A2172" s="3">
        <v>246454963</v>
      </c>
      <c r="B2172" s="4" t="s">
        <v>6367</v>
      </c>
      <c r="C2172" s="3" t="s">
        <v>6368</v>
      </c>
      <c r="D2172" s="3">
        <v>79517437871</v>
      </c>
      <c r="E2172" s="3" t="s">
        <v>6369</v>
      </c>
      <c r="F2172" s="4" t="s">
        <v>960</v>
      </c>
      <c r="G2172" s="4" t="s">
        <v>961</v>
      </c>
    </row>
    <row r="2173" spans="1:7" ht="15.75" customHeight="1">
      <c r="A2173" s="5">
        <v>246456103</v>
      </c>
      <c r="B2173" s="6" t="s">
        <v>6370</v>
      </c>
      <c r="C2173" s="5" t="s">
        <v>6371</v>
      </c>
      <c r="D2173" s="5">
        <v>79636235152</v>
      </c>
      <c r="E2173" s="5" t="s">
        <v>6372</v>
      </c>
      <c r="F2173" s="6" t="s">
        <v>4306</v>
      </c>
      <c r="G2173" s="6" t="s">
        <v>282</v>
      </c>
    </row>
    <row r="2174" spans="1:7" ht="15.75" customHeight="1">
      <c r="A2174" s="3">
        <v>246457202</v>
      </c>
      <c r="B2174" s="4" t="s">
        <v>6373</v>
      </c>
      <c r="C2174" s="3" t="s">
        <v>6374</v>
      </c>
      <c r="D2174" s="3">
        <v>79030566885</v>
      </c>
      <c r="E2174" s="3" t="s">
        <v>6375</v>
      </c>
      <c r="F2174" s="4" t="s">
        <v>960</v>
      </c>
      <c r="G2174" s="4" t="s">
        <v>961</v>
      </c>
    </row>
    <row r="2175" spans="1:7" ht="15.75" customHeight="1">
      <c r="A2175" s="5">
        <v>246458800</v>
      </c>
      <c r="B2175" s="6" t="s">
        <v>6376</v>
      </c>
      <c r="C2175" s="5" t="s">
        <v>6377</v>
      </c>
      <c r="D2175" s="5" t="s">
        <v>6378</v>
      </c>
      <c r="E2175" s="5" t="s">
        <v>6379</v>
      </c>
      <c r="F2175" s="6" t="s">
        <v>960</v>
      </c>
      <c r="G2175" s="6" t="s">
        <v>961</v>
      </c>
    </row>
    <row r="2176" spans="1:7" ht="15.75" customHeight="1">
      <c r="A2176" s="3">
        <v>246459796</v>
      </c>
      <c r="B2176" s="4" t="s">
        <v>6380</v>
      </c>
      <c r="C2176" s="3" t="s">
        <v>6381</v>
      </c>
      <c r="D2176" s="3">
        <v>79083008886</v>
      </c>
      <c r="E2176" s="3" t="s">
        <v>6382</v>
      </c>
      <c r="F2176" s="4" t="s">
        <v>960</v>
      </c>
      <c r="G2176" s="4" t="s">
        <v>961</v>
      </c>
    </row>
    <row r="2177" spans="1:7" ht="15.75" customHeight="1">
      <c r="A2177" s="5">
        <v>246460537</v>
      </c>
      <c r="B2177" s="6" t="s">
        <v>6383</v>
      </c>
      <c r="C2177" s="5" t="s">
        <v>6384</v>
      </c>
      <c r="D2177" s="5" t="s">
        <v>6385</v>
      </c>
      <c r="E2177" s="5" t="s">
        <v>6386</v>
      </c>
      <c r="F2177" s="6" t="s">
        <v>960</v>
      </c>
      <c r="G2177" s="6" t="s">
        <v>961</v>
      </c>
    </row>
    <row r="2178" spans="1:7" ht="15.75" customHeight="1">
      <c r="A2178" s="3">
        <v>246465455</v>
      </c>
      <c r="B2178" s="4" t="s">
        <v>6387</v>
      </c>
      <c r="C2178" s="3" t="s">
        <v>6388</v>
      </c>
      <c r="D2178" s="3">
        <v>79288112616</v>
      </c>
      <c r="E2178" s="3" t="s">
        <v>6389</v>
      </c>
      <c r="F2178" s="4" t="s">
        <v>960</v>
      </c>
      <c r="G2178" s="4" t="s">
        <v>961</v>
      </c>
    </row>
    <row r="2179" spans="1:7" ht="15.75" customHeight="1">
      <c r="A2179" s="5">
        <v>246467037</v>
      </c>
      <c r="B2179" s="6" t="s">
        <v>6390</v>
      </c>
      <c r="C2179" s="5" t="s">
        <v>6391</v>
      </c>
      <c r="D2179" s="5">
        <v>79150953355</v>
      </c>
      <c r="E2179" s="5" t="s">
        <v>6392</v>
      </c>
      <c r="F2179" s="6" t="s">
        <v>949</v>
      </c>
      <c r="G2179" s="6" t="s">
        <v>950</v>
      </c>
    </row>
    <row r="2180" spans="1:7" ht="15.75" customHeight="1">
      <c r="A2180" s="3">
        <v>246468046</v>
      </c>
      <c r="B2180" s="4" t="s">
        <v>6393</v>
      </c>
      <c r="C2180" s="3" t="s">
        <v>6394</v>
      </c>
      <c r="D2180" s="3" t="s">
        <v>6395</v>
      </c>
      <c r="E2180" s="3" t="s">
        <v>6396</v>
      </c>
      <c r="F2180" s="4" t="s">
        <v>960</v>
      </c>
      <c r="G2180" s="4" t="s">
        <v>961</v>
      </c>
    </row>
    <row r="2181" spans="1:7" ht="15.75" customHeight="1">
      <c r="A2181" s="5">
        <v>246468227</v>
      </c>
      <c r="B2181" s="6" t="s">
        <v>6397</v>
      </c>
      <c r="C2181" s="5" t="s">
        <v>6398</v>
      </c>
      <c r="D2181" s="5">
        <v>79123935407</v>
      </c>
      <c r="E2181" s="5" t="s">
        <v>6399</v>
      </c>
      <c r="F2181" s="6" t="s">
        <v>960</v>
      </c>
      <c r="G2181" s="6" t="s">
        <v>961</v>
      </c>
    </row>
    <row r="2182" spans="1:7" ht="15.75" customHeight="1">
      <c r="A2182" s="3">
        <v>246469928</v>
      </c>
      <c r="B2182" s="4" t="s">
        <v>6400</v>
      </c>
      <c r="C2182" s="3" t="s">
        <v>6401</v>
      </c>
      <c r="D2182" s="3">
        <v>79158989852</v>
      </c>
      <c r="E2182" s="3" t="s">
        <v>6402</v>
      </c>
      <c r="F2182" s="4" t="s">
        <v>960</v>
      </c>
      <c r="G2182" s="4" t="s">
        <v>961</v>
      </c>
    </row>
    <row r="2183" spans="1:7" ht="15.75" customHeight="1">
      <c r="A2183" s="5">
        <v>246473428</v>
      </c>
      <c r="B2183" s="6" t="s">
        <v>6403</v>
      </c>
      <c r="C2183" s="5" t="s">
        <v>6404</v>
      </c>
      <c r="D2183" s="5">
        <v>79062903174</v>
      </c>
      <c r="E2183" s="5" t="s">
        <v>6405</v>
      </c>
      <c r="F2183" s="6" t="s">
        <v>960</v>
      </c>
      <c r="G2183" s="6" t="s">
        <v>961</v>
      </c>
    </row>
    <row r="2184" spans="1:7" ht="15.75" customHeight="1">
      <c r="A2184" s="3">
        <v>246473968</v>
      </c>
      <c r="B2184" s="4" t="s">
        <v>6406</v>
      </c>
      <c r="C2184" s="3" t="s">
        <v>6407</v>
      </c>
      <c r="D2184" s="3" t="s">
        <v>6408</v>
      </c>
      <c r="E2184" s="3" t="s">
        <v>6409</v>
      </c>
      <c r="F2184" s="4" t="s">
        <v>960</v>
      </c>
      <c r="G2184" s="4" t="s">
        <v>961</v>
      </c>
    </row>
    <row r="2185" spans="1:7" ht="15.75" customHeight="1">
      <c r="A2185" s="5">
        <v>246474398</v>
      </c>
      <c r="B2185" s="6" t="s">
        <v>6410</v>
      </c>
      <c r="C2185" s="5" t="s">
        <v>6411</v>
      </c>
      <c r="D2185" s="5">
        <v>79114095417</v>
      </c>
      <c r="E2185" s="5" t="s">
        <v>6412</v>
      </c>
      <c r="F2185" s="6" t="s">
        <v>960</v>
      </c>
      <c r="G2185" s="6" t="s">
        <v>961</v>
      </c>
    </row>
    <row r="2186" spans="1:7" ht="15.75" customHeight="1">
      <c r="A2186" s="3">
        <v>246475270</v>
      </c>
      <c r="B2186" s="4" t="s">
        <v>6413</v>
      </c>
      <c r="C2186" s="3" t="s">
        <v>6414</v>
      </c>
      <c r="D2186" s="3">
        <v>79639078072</v>
      </c>
      <c r="E2186" s="3" t="s">
        <v>6415</v>
      </c>
      <c r="F2186" s="4" t="s">
        <v>960</v>
      </c>
      <c r="G2186" s="4" t="s">
        <v>961</v>
      </c>
    </row>
    <row r="2187" spans="1:7" ht="15.75" customHeight="1">
      <c r="A2187" s="5">
        <v>246478255</v>
      </c>
      <c r="B2187" s="6" t="s">
        <v>6416</v>
      </c>
      <c r="C2187" s="5" t="s">
        <v>6417</v>
      </c>
      <c r="D2187" s="5">
        <v>79511558166</v>
      </c>
      <c r="E2187" s="5" t="s">
        <v>6418</v>
      </c>
      <c r="F2187" s="6" t="s">
        <v>960</v>
      </c>
      <c r="G2187" s="6" t="s">
        <v>961</v>
      </c>
    </row>
    <row r="2188" spans="1:7" ht="15.75" customHeight="1">
      <c r="A2188" s="3">
        <v>246480869</v>
      </c>
      <c r="B2188" s="4" t="s">
        <v>6419</v>
      </c>
      <c r="C2188" s="3" t="s">
        <v>6420</v>
      </c>
      <c r="D2188" s="3" t="s">
        <v>6421</v>
      </c>
      <c r="E2188" s="3" t="s">
        <v>6422</v>
      </c>
      <c r="F2188" s="4" t="s">
        <v>960</v>
      </c>
      <c r="G2188" s="4" t="s">
        <v>961</v>
      </c>
    </row>
    <row r="2189" spans="1:7" ht="15.75" customHeight="1">
      <c r="A2189" s="5">
        <v>246486586</v>
      </c>
      <c r="B2189" s="6" t="s">
        <v>6423</v>
      </c>
      <c r="C2189" s="5" t="s">
        <v>6424</v>
      </c>
      <c r="D2189" s="5" t="s">
        <v>6425</v>
      </c>
      <c r="E2189" s="5" t="s">
        <v>6426</v>
      </c>
      <c r="F2189" s="6" t="s">
        <v>960</v>
      </c>
      <c r="G2189" s="6" t="s">
        <v>961</v>
      </c>
    </row>
    <row r="2190" spans="1:7" ht="15.75" customHeight="1">
      <c r="A2190" s="3">
        <v>246487451</v>
      </c>
      <c r="B2190" s="4" t="s">
        <v>6427</v>
      </c>
      <c r="C2190" s="3" t="s">
        <v>6428</v>
      </c>
      <c r="D2190" s="3" t="s">
        <v>6429</v>
      </c>
      <c r="E2190" s="3" t="s">
        <v>6430</v>
      </c>
      <c r="F2190" s="4" t="s">
        <v>960</v>
      </c>
      <c r="G2190" s="4" t="s">
        <v>961</v>
      </c>
    </row>
    <row r="2191" spans="1:7" ht="15.75" customHeight="1">
      <c r="A2191" s="5">
        <v>246488058</v>
      </c>
      <c r="B2191" s="6" t="s">
        <v>6431</v>
      </c>
      <c r="C2191" s="5" t="s">
        <v>6432</v>
      </c>
      <c r="D2191" s="5" t="s">
        <v>6433</v>
      </c>
      <c r="E2191" s="5" t="s">
        <v>6434</v>
      </c>
      <c r="F2191" s="6" t="s">
        <v>960</v>
      </c>
      <c r="G2191" s="6" t="s">
        <v>961</v>
      </c>
    </row>
    <row r="2192" spans="1:7" ht="15.75" customHeight="1">
      <c r="A2192" s="3">
        <v>246498843</v>
      </c>
      <c r="B2192" s="4" t="s">
        <v>6435</v>
      </c>
      <c r="C2192" s="3" t="s">
        <v>6436</v>
      </c>
      <c r="D2192" s="3">
        <v>79030763911</v>
      </c>
      <c r="E2192" s="3" t="s">
        <v>6437</v>
      </c>
      <c r="F2192" s="4" t="s">
        <v>960</v>
      </c>
      <c r="G2192" s="4" t="s">
        <v>961</v>
      </c>
    </row>
    <row r="2193" spans="1:7" ht="15.75" customHeight="1">
      <c r="A2193" s="5">
        <v>246498989</v>
      </c>
      <c r="B2193" s="6" t="s">
        <v>6438</v>
      </c>
      <c r="C2193" s="5" t="s">
        <v>6439</v>
      </c>
      <c r="D2193" s="5">
        <v>79294394600</v>
      </c>
      <c r="E2193" s="5" t="s">
        <v>6440</v>
      </c>
      <c r="F2193" s="6" t="s">
        <v>960</v>
      </c>
      <c r="G2193" s="6" t="s">
        <v>961</v>
      </c>
    </row>
    <row r="2194" spans="1:7" ht="15.75" customHeight="1">
      <c r="A2194" s="3">
        <v>246342739</v>
      </c>
      <c r="B2194" s="4" t="s">
        <v>5904</v>
      </c>
      <c r="C2194" s="3" t="s">
        <v>5905</v>
      </c>
      <c r="D2194" s="3" t="s">
        <v>5906</v>
      </c>
      <c r="E2194" s="3" t="s">
        <v>6441</v>
      </c>
      <c r="F2194" s="4" t="s">
        <v>949</v>
      </c>
      <c r="G2194" s="4" t="s">
        <v>950</v>
      </c>
    </row>
    <row r="2195" spans="1:7" ht="15.75" customHeight="1">
      <c r="A2195" s="5">
        <v>246501469</v>
      </c>
      <c r="B2195" s="6" t="s">
        <v>6442</v>
      </c>
      <c r="C2195" s="5" t="s">
        <v>6443</v>
      </c>
      <c r="D2195" s="5">
        <v>79527664242</v>
      </c>
      <c r="E2195" s="5" t="s">
        <v>6444</v>
      </c>
      <c r="F2195" s="6" t="s">
        <v>960</v>
      </c>
      <c r="G2195" s="6" t="s">
        <v>961</v>
      </c>
    </row>
    <row r="2196" spans="1:7" ht="15.75" customHeight="1">
      <c r="A2196" s="3">
        <v>246501759</v>
      </c>
      <c r="B2196" s="4" t="s">
        <v>6445</v>
      </c>
      <c r="C2196" s="3" t="s">
        <v>6446</v>
      </c>
      <c r="D2196" s="3" t="s">
        <v>6447</v>
      </c>
      <c r="E2196" s="3" t="s">
        <v>6448</v>
      </c>
      <c r="F2196" s="4" t="s">
        <v>960</v>
      </c>
      <c r="G2196" s="4" t="s">
        <v>961</v>
      </c>
    </row>
    <row r="2197" spans="1:7" ht="15.75" customHeight="1">
      <c r="A2197" s="5">
        <v>246505575</v>
      </c>
      <c r="B2197" s="6" t="s">
        <v>6449</v>
      </c>
      <c r="C2197" s="5" t="s">
        <v>6450</v>
      </c>
      <c r="D2197" s="5">
        <v>79215413062</v>
      </c>
      <c r="E2197" s="5" t="s">
        <v>6451</v>
      </c>
      <c r="F2197" s="6" t="s">
        <v>960</v>
      </c>
      <c r="G2197" s="6" t="s">
        <v>961</v>
      </c>
    </row>
    <row r="2198" spans="1:7" ht="15.75" customHeight="1">
      <c r="A2198" s="3">
        <v>246506576</v>
      </c>
      <c r="B2198" s="4" t="s">
        <v>6452</v>
      </c>
      <c r="C2198" s="3" t="s">
        <v>6453</v>
      </c>
      <c r="D2198" s="3" t="s">
        <v>6454</v>
      </c>
      <c r="E2198" s="3" t="s">
        <v>6455</v>
      </c>
      <c r="F2198" s="4" t="s">
        <v>960</v>
      </c>
      <c r="G2198" s="4" t="s">
        <v>961</v>
      </c>
    </row>
    <row r="2199" spans="1:7" ht="15.75" customHeight="1">
      <c r="A2199" s="5">
        <v>246507766</v>
      </c>
      <c r="B2199" s="6" t="s">
        <v>6456</v>
      </c>
      <c r="C2199" s="5" t="s">
        <v>6457</v>
      </c>
      <c r="D2199" s="5">
        <v>79999095867</v>
      </c>
      <c r="E2199" s="5" t="s">
        <v>6458</v>
      </c>
      <c r="F2199" s="6" t="s">
        <v>960</v>
      </c>
      <c r="G2199" s="6" t="s">
        <v>961</v>
      </c>
    </row>
    <row r="2200" spans="1:7" ht="15.75" customHeight="1">
      <c r="A2200" s="3">
        <v>246507892</v>
      </c>
      <c r="B2200" s="4" t="s">
        <v>6459</v>
      </c>
      <c r="C2200" s="3" t="s">
        <v>6460</v>
      </c>
      <c r="D2200" s="3" t="s">
        <v>6461</v>
      </c>
      <c r="E2200" s="3" t="s">
        <v>6462</v>
      </c>
      <c r="F2200" s="4" t="s">
        <v>960</v>
      </c>
      <c r="G2200" s="4" t="s">
        <v>961</v>
      </c>
    </row>
    <row r="2201" spans="1:7" ht="15.75" customHeight="1">
      <c r="A2201" s="5">
        <v>246507990</v>
      </c>
      <c r="B2201" s="6" t="s">
        <v>6463</v>
      </c>
      <c r="C2201" s="5" t="s">
        <v>6464</v>
      </c>
      <c r="D2201" s="5" t="s">
        <v>6465</v>
      </c>
      <c r="E2201" s="5" t="s">
        <v>6466</v>
      </c>
      <c r="F2201" s="6" t="s">
        <v>960</v>
      </c>
      <c r="G2201" s="6" t="s">
        <v>961</v>
      </c>
    </row>
    <row r="2202" spans="1:7" ht="15.75" customHeight="1">
      <c r="A2202" s="3">
        <v>246508629</v>
      </c>
      <c r="B2202" s="4" t="s">
        <v>6467</v>
      </c>
      <c r="C2202" s="3" t="s">
        <v>6468</v>
      </c>
      <c r="D2202" s="3" t="s">
        <v>6469</v>
      </c>
      <c r="E2202" s="3" t="s">
        <v>6470</v>
      </c>
      <c r="F2202" s="4" t="s">
        <v>960</v>
      </c>
      <c r="G2202" s="4" t="s">
        <v>961</v>
      </c>
    </row>
    <row r="2203" spans="1:7" ht="15.75" customHeight="1">
      <c r="A2203" s="5">
        <v>246512321</v>
      </c>
      <c r="B2203" s="6" t="s">
        <v>6471</v>
      </c>
      <c r="C2203" s="5" t="s">
        <v>6472</v>
      </c>
      <c r="D2203" s="5">
        <v>79113288990</v>
      </c>
      <c r="E2203" s="5" t="s">
        <v>6473</v>
      </c>
      <c r="F2203" s="6" t="s">
        <v>960</v>
      </c>
      <c r="G2203" s="6" t="s">
        <v>961</v>
      </c>
    </row>
    <row r="2204" spans="1:7" ht="15.75" customHeight="1">
      <c r="A2204" s="3">
        <v>246523871</v>
      </c>
      <c r="B2204" s="4" t="s">
        <v>6474</v>
      </c>
      <c r="C2204" s="3" t="s">
        <v>6475</v>
      </c>
      <c r="D2204" s="3">
        <v>87059801717</v>
      </c>
      <c r="E2204" s="3" t="s">
        <v>6476</v>
      </c>
      <c r="F2204" s="4" t="s">
        <v>949</v>
      </c>
      <c r="G2204" s="4" t="s">
        <v>950</v>
      </c>
    </row>
    <row r="2205" spans="1:7" ht="15.75" customHeight="1">
      <c r="A2205" s="5">
        <v>246529812</v>
      </c>
      <c r="B2205" s="6" t="s">
        <v>6477</v>
      </c>
      <c r="C2205" s="5" t="s">
        <v>6478</v>
      </c>
      <c r="D2205" s="5">
        <v>79031000501</v>
      </c>
      <c r="E2205" s="5" t="s">
        <v>6479</v>
      </c>
      <c r="F2205" s="6" t="s">
        <v>960</v>
      </c>
      <c r="G2205" s="6" t="s">
        <v>961</v>
      </c>
    </row>
    <row r="2206" spans="1:7" ht="15.75" customHeight="1">
      <c r="A2206" s="3">
        <v>246531550</v>
      </c>
      <c r="B2206" s="4" t="s">
        <v>6480</v>
      </c>
      <c r="C2206" s="3" t="s">
        <v>6481</v>
      </c>
      <c r="D2206" s="3" t="s">
        <v>6482</v>
      </c>
      <c r="E2206" s="3" t="s">
        <v>6483</v>
      </c>
      <c r="F2206" s="4" t="s">
        <v>960</v>
      </c>
      <c r="G2206" s="4" t="s">
        <v>961</v>
      </c>
    </row>
    <row r="2207" spans="1:7" ht="15.75" customHeight="1">
      <c r="A2207" s="5">
        <v>246532013</v>
      </c>
      <c r="B2207" s="6" t="s">
        <v>6484</v>
      </c>
      <c r="C2207" s="5" t="s">
        <v>6485</v>
      </c>
      <c r="D2207" s="5">
        <v>79538084881</v>
      </c>
      <c r="E2207" s="5" t="s">
        <v>6486</v>
      </c>
      <c r="F2207" s="6" t="s">
        <v>960</v>
      </c>
      <c r="G2207" s="6" t="s">
        <v>961</v>
      </c>
    </row>
    <row r="2208" spans="1:7" ht="15.75" customHeight="1">
      <c r="A2208" s="3">
        <v>246533407</v>
      </c>
      <c r="B2208" s="4" t="s">
        <v>6487</v>
      </c>
      <c r="C2208" s="3" t="s">
        <v>6488</v>
      </c>
      <c r="D2208" s="3">
        <v>44444444</v>
      </c>
      <c r="E2208" s="3" t="s">
        <v>6489</v>
      </c>
      <c r="F2208" s="4" t="s">
        <v>936</v>
      </c>
      <c r="G2208" s="4" t="s">
        <v>937</v>
      </c>
    </row>
    <row r="2209" spans="1:7" ht="15.75" customHeight="1">
      <c r="A2209" s="5">
        <v>246536093</v>
      </c>
      <c r="B2209" s="6" t="s">
        <v>6490</v>
      </c>
      <c r="C2209" s="5" t="s">
        <v>6491</v>
      </c>
      <c r="D2209" s="5" t="s">
        <v>6492</v>
      </c>
      <c r="E2209" s="5" t="s">
        <v>6493</v>
      </c>
      <c r="F2209" s="6" t="s">
        <v>960</v>
      </c>
      <c r="G2209" s="6" t="s">
        <v>961</v>
      </c>
    </row>
    <row r="2210" spans="1:7" ht="15.75" customHeight="1">
      <c r="A2210" s="3">
        <v>246540791</v>
      </c>
      <c r="B2210" s="4" t="s">
        <v>6494</v>
      </c>
      <c r="C2210" s="3" t="s">
        <v>6495</v>
      </c>
      <c r="D2210" s="3" t="s">
        <v>6496</v>
      </c>
      <c r="E2210" s="3" t="s">
        <v>6497</v>
      </c>
      <c r="F2210" s="4" t="s">
        <v>960</v>
      </c>
      <c r="G2210" s="4" t="s">
        <v>961</v>
      </c>
    </row>
    <row r="2211" spans="1:7" ht="15.75" customHeight="1">
      <c r="A2211" s="5">
        <v>246542032</v>
      </c>
      <c r="B2211" s="6" t="s">
        <v>6498</v>
      </c>
      <c r="C2211" s="5" t="s">
        <v>6499</v>
      </c>
      <c r="D2211" s="5">
        <v>79139754200</v>
      </c>
      <c r="E2211" s="5" t="s">
        <v>6500</v>
      </c>
      <c r="F2211" s="6" t="s">
        <v>960</v>
      </c>
      <c r="G2211" s="6" t="s">
        <v>961</v>
      </c>
    </row>
    <row r="2212" spans="1:7" ht="15.75" customHeight="1">
      <c r="A2212" s="3">
        <v>246557052</v>
      </c>
      <c r="B2212" s="4" t="s">
        <v>6501</v>
      </c>
      <c r="C2212" s="3" t="s">
        <v>6502</v>
      </c>
      <c r="D2212" s="3">
        <v>87025288614</v>
      </c>
      <c r="E2212" s="3" t="s">
        <v>6503</v>
      </c>
      <c r="F2212" s="4" t="s">
        <v>949</v>
      </c>
      <c r="G2212" s="4" t="s">
        <v>950</v>
      </c>
    </row>
    <row r="2213" spans="1:7" ht="15.75" customHeight="1">
      <c r="A2213" s="5">
        <v>246559398</v>
      </c>
      <c r="B2213" s="6" t="s">
        <v>6504</v>
      </c>
      <c r="C2213" s="5" t="s">
        <v>6505</v>
      </c>
      <c r="D2213" s="5">
        <v>79043020903</v>
      </c>
      <c r="E2213" s="5" t="s">
        <v>6506</v>
      </c>
      <c r="F2213" s="6" t="s">
        <v>960</v>
      </c>
      <c r="G2213" s="6" t="s">
        <v>961</v>
      </c>
    </row>
    <row r="2214" spans="1:7" ht="15.75" customHeight="1">
      <c r="A2214" s="3">
        <v>246559562</v>
      </c>
      <c r="B2214" s="4" t="s">
        <v>6507</v>
      </c>
      <c r="C2214" s="3" t="s">
        <v>6508</v>
      </c>
      <c r="D2214" s="3">
        <v>79536901649</v>
      </c>
      <c r="E2214" s="3" t="s">
        <v>6509</v>
      </c>
      <c r="F2214" s="4" t="s">
        <v>960</v>
      </c>
      <c r="G2214" s="4" t="s">
        <v>961</v>
      </c>
    </row>
    <row r="2215" spans="1:7" ht="15.75" customHeight="1">
      <c r="A2215" s="5">
        <v>246559643</v>
      </c>
      <c r="B2215" s="6" t="s">
        <v>6510</v>
      </c>
      <c r="C2215" s="5" t="s">
        <v>6511</v>
      </c>
      <c r="D2215" s="5">
        <v>79127026521</v>
      </c>
      <c r="E2215" s="5" t="s">
        <v>6512</v>
      </c>
      <c r="F2215" s="6" t="s">
        <v>960</v>
      </c>
      <c r="G2215" s="6" t="s">
        <v>961</v>
      </c>
    </row>
    <row r="2216" spans="1:7" ht="15.75" customHeight="1">
      <c r="A2216" s="3">
        <v>246561823</v>
      </c>
      <c r="B2216" s="4" t="s">
        <v>6513</v>
      </c>
      <c r="C2216" s="3" t="s">
        <v>6514</v>
      </c>
      <c r="D2216" s="3" t="s">
        <v>6515</v>
      </c>
      <c r="E2216" s="3" t="s">
        <v>6516</v>
      </c>
      <c r="F2216" s="4" t="s">
        <v>949</v>
      </c>
      <c r="G2216" s="4" t="s">
        <v>950</v>
      </c>
    </row>
    <row r="2217" spans="1:7" ht="15.75" customHeight="1">
      <c r="A2217" s="5">
        <v>246561920</v>
      </c>
      <c r="B2217" s="6" t="s">
        <v>6517</v>
      </c>
      <c r="C2217" s="5" t="s">
        <v>6518</v>
      </c>
      <c r="D2217" s="5" t="s">
        <v>6519</v>
      </c>
      <c r="E2217" s="5" t="s">
        <v>6520</v>
      </c>
      <c r="F2217" s="6" t="s">
        <v>960</v>
      </c>
      <c r="G2217" s="6" t="s">
        <v>961</v>
      </c>
    </row>
    <row r="2218" spans="1:7" ht="15.75" customHeight="1">
      <c r="A2218" s="3">
        <v>246565726</v>
      </c>
      <c r="B2218" s="4" t="s">
        <v>6521</v>
      </c>
      <c r="C2218" s="3" t="s">
        <v>6522</v>
      </c>
      <c r="D2218" s="3">
        <v>80291925710</v>
      </c>
      <c r="E2218" s="3" t="s">
        <v>6523</v>
      </c>
      <c r="F2218" s="4" t="s">
        <v>960</v>
      </c>
      <c r="G2218" s="4" t="s">
        <v>961</v>
      </c>
    </row>
    <row r="2219" spans="1:7" ht="15.75" customHeight="1">
      <c r="A2219" s="5">
        <v>246566321</v>
      </c>
      <c r="B2219" s="6" t="s">
        <v>6524</v>
      </c>
      <c r="C2219" s="5" t="s">
        <v>6525</v>
      </c>
      <c r="D2219" s="5" t="s">
        <v>6526</v>
      </c>
      <c r="E2219" s="5" t="s">
        <v>6527</v>
      </c>
      <c r="F2219" s="6" t="s">
        <v>960</v>
      </c>
      <c r="G2219" s="6" t="s">
        <v>961</v>
      </c>
    </row>
    <row r="2220" spans="1:7" ht="15.75" customHeight="1">
      <c r="A2220" s="3">
        <v>246573003</v>
      </c>
      <c r="B2220" s="4" t="s">
        <v>6528</v>
      </c>
      <c r="C2220" s="3" t="s">
        <v>6529</v>
      </c>
      <c r="D2220" s="3">
        <v>79221166587</v>
      </c>
      <c r="E2220" s="3" t="s">
        <v>6530</v>
      </c>
      <c r="F2220" s="4" t="s">
        <v>960</v>
      </c>
      <c r="G2220" s="4" t="s">
        <v>961</v>
      </c>
    </row>
    <row r="2221" spans="1:7" ht="15.75" customHeight="1">
      <c r="A2221" s="5">
        <v>246578444</v>
      </c>
      <c r="B2221" s="6" t="s">
        <v>6531</v>
      </c>
      <c r="C2221" s="5" t="s">
        <v>6532</v>
      </c>
      <c r="D2221" s="5" t="s">
        <v>6533</v>
      </c>
      <c r="E2221" s="5" t="s">
        <v>6534</v>
      </c>
      <c r="F2221" s="6" t="s">
        <v>960</v>
      </c>
      <c r="G2221" s="6" t="s">
        <v>961</v>
      </c>
    </row>
    <row r="2222" spans="1:7" ht="15.75" customHeight="1">
      <c r="A2222" s="3">
        <v>246578760</v>
      </c>
      <c r="B2222" s="4" t="s">
        <v>6535</v>
      </c>
      <c r="C2222" s="3" t="s">
        <v>6536</v>
      </c>
      <c r="D2222" s="3" t="s">
        <v>6537</v>
      </c>
      <c r="E2222" s="3" t="s">
        <v>6538</v>
      </c>
      <c r="F2222" s="4" t="s">
        <v>960</v>
      </c>
      <c r="G2222" s="4" t="s">
        <v>961</v>
      </c>
    </row>
    <row r="2223" spans="1:7" ht="15.75" customHeight="1">
      <c r="A2223" s="5">
        <v>246581915</v>
      </c>
      <c r="B2223" s="6" t="s">
        <v>6539</v>
      </c>
      <c r="C2223" s="5" t="s">
        <v>6540</v>
      </c>
      <c r="D2223" s="5">
        <v>8909703280</v>
      </c>
      <c r="E2223" s="5" t="s">
        <v>6541</v>
      </c>
      <c r="F2223" s="6" t="s">
        <v>949</v>
      </c>
      <c r="G2223" s="6" t="s">
        <v>950</v>
      </c>
    </row>
    <row r="2224" spans="1:7" ht="15.75" customHeight="1">
      <c r="A2224" s="3">
        <v>246583014</v>
      </c>
      <c r="B2224" s="4" t="s">
        <v>6542</v>
      </c>
      <c r="C2224" s="3" t="s">
        <v>6543</v>
      </c>
      <c r="D2224" s="3">
        <v>79502400277</v>
      </c>
      <c r="E2224" s="3" t="s">
        <v>6544</v>
      </c>
      <c r="F2224" s="4" t="s">
        <v>960</v>
      </c>
      <c r="G2224" s="4" t="s">
        <v>961</v>
      </c>
    </row>
    <row r="2225" spans="1:7" ht="15.75" customHeight="1">
      <c r="A2225" s="5">
        <v>246583797</v>
      </c>
      <c r="B2225" s="6" t="s">
        <v>6545</v>
      </c>
      <c r="C2225" s="5" t="s">
        <v>6546</v>
      </c>
      <c r="D2225" s="5">
        <v>906356763</v>
      </c>
      <c r="E2225" s="5" t="s">
        <v>6547</v>
      </c>
      <c r="F2225" s="6" t="s">
        <v>949</v>
      </c>
      <c r="G2225" s="6" t="s">
        <v>950</v>
      </c>
    </row>
    <row r="2226" spans="1:7" ht="15.75" customHeight="1">
      <c r="A2226" s="3">
        <v>246587536</v>
      </c>
      <c r="B2226" s="4" t="s">
        <v>6548</v>
      </c>
      <c r="C2226" s="3" t="s">
        <v>6549</v>
      </c>
      <c r="D2226" s="3">
        <v>79605894756</v>
      </c>
      <c r="E2226" s="3" t="s">
        <v>6550</v>
      </c>
      <c r="F2226" s="4" t="s">
        <v>960</v>
      </c>
      <c r="G2226" s="4" t="s">
        <v>961</v>
      </c>
    </row>
    <row r="2227" spans="1:7" ht="15.75" customHeight="1">
      <c r="A2227" s="5">
        <v>246447868</v>
      </c>
      <c r="B2227" s="6" t="s">
        <v>6336</v>
      </c>
      <c r="C2227" s="5" t="s">
        <v>6337</v>
      </c>
      <c r="D2227" s="5">
        <v>8917352754</v>
      </c>
      <c r="E2227" s="5" t="s">
        <v>6551</v>
      </c>
      <c r="F2227" s="6" t="s">
        <v>960</v>
      </c>
      <c r="G2227" s="6" t="s">
        <v>961</v>
      </c>
    </row>
    <row r="2228" spans="1:7" ht="15.75" customHeight="1">
      <c r="A2228" s="3">
        <v>246593213</v>
      </c>
      <c r="B2228" s="4" t="s">
        <v>6552</v>
      </c>
      <c r="C2228" s="3" t="s">
        <v>6553</v>
      </c>
      <c r="D2228" s="3">
        <v>79832441595</v>
      </c>
      <c r="E2228" s="3" t="s">
        <v>6554</v>
      </c>
      <c r="F2228" s="4" t="s">
        <v>960</v>
      </c>
      <c r="G2228" s="4" t="s">
        <v>961</v>
      </c>
    </row>
    <row r="2229" spans="1:7" ht="15.75" customHeight="1">
      <c r="A2229" s="5">
        <v>246600962</v>
      </c>
      <c r="B2229" s="6" t="s">
        <v>6555</v>
      </c>
      <c r="C2229" s="5" t="s">
        <v>6556</v>
      </c>
      <c r="D2229" s="5" t="s">
        <v>6557</v>
      </c>
      <c r="E2229" s="5" t="s">
        <v>6558</v>
      </c>
      <c r="F2229" s="6" t="s">
        <v>960</v>
      </c>
      <c r="G2229" s="6" t="s">
        <v>961</v>
      </c>
    </row>
    <row r="2230" spans="1:7" ht="15.75" customHeight="1">
      <c r="A2230" s="3">
        <v>246601689</v>
      </c>
      <c r="B2230" s="4" t="s">
        <v>6559</v>
      </c>
      <c r="C2230" s="3" t="s">
        <v>6560</v>
      </c>
      <c r="D2230" s="3">
        <v>79632748880</v>
      </c>
      <c r="E2230" s="3" t="s">
        <v>6561</v>
      </c>
      <c r="F2230" s="4" t="s">
        <v>960</v>
      </c>
      <c r="G2230" s="4" t="s">
        <v>961</v>
      </c>
    </row>
    <row r="2231" spans="1:7" ht="15.75" customHeight="1">
      <c r="A2231" s="5">
        <v>246606447</v>
      </c>
      <c r="B2231" s="6" t="s">
        <v>6562</v>
      </c>
      <c r="C2231" s="5" t="s">
        <v>6563</v>
      </c>
      <c r="D2231" s="5" t="s">
        <v>6564</v>
      </c>
      <c r="E2231" s="5" t="s">
        <v>6565</v>
      </c>
      <c r="F2231" s="6" t="s">
        <v>960</v>
      </c>
      <c r="G2231" s="6" t="s">
        <v>961</v>
      </c>
    </row>
    <row r="2232" spans="1:7" ht="15.75" customHeight="1">
      <c r="A2232" s="3">
        <v>246607661</v>
      </c>
      <c r="B2232" s="4" t="s">
        <v>6566</v>
      </c>
      <c r="C2232" s="3" t="s">
        <v>6567</v>
      </c>
      <c r="D2232" s="3" t="s">
        <v>6568</v>
      </c>
      <c r="E2232" s="3" t="s">
        <v>6569</v>
      </c>
      <c r="F2232" s="4" t="s">
        <v>960</v>
      </c>
      <c r="G2232" s="4" t="s">
        <v>961</v>
      </c>
    </row>
    <row r="2233" spans="1:7" ht="15.75" customHeight="1">
      <c r="A2233" s="5">
        <v>246612944</v>
      </c>
      <c r="B2233" s="6" t="s">
        <v>6570</v>
      </c>
      <c r="C2233" s="5" t="s">
        <v>6571</v>
      </c>
      <c r="D2233" s="5">
        <v>79997554050</v>
      </c>
      <c r="E2233" s="5" t="s">
        <v>6572</v>
      </c>
      <c r="F2233" s="6" t="s">
        <v>960</v>
      </c>
      <c r="G2233" s="6" t="s">
        <v>961</v>
      </c>
    </row>
    <row r="2234" spans="1:7" ht="15.75" customHeight="1">
      <c r="A2234" s="3">
        <v>246613999</v>
      </c>
      <c r="B2234" s="4" t="s">
        <v>6573</v>
      </c>
      <c r="C2234" s="3" t="s">
        <v>6574</v>
      </c>
      <c r="D2234" s="3" t="s">
        <v>6575</v>
      </c>
      <c r="E2234" s="3" t="s">
        <v>6576</v>
      </c>
      <c r="F2234" s="4" t="s">
        <v>960</v>
      </c>
      <c r="G2234" s="4" t="s">
        <v>961</v>
      </c>
    </row>
    <row r="2235" spans="1:7" ht="15.75" customHeight="1">
      <c r="A2235" s="5">
        <v>246614535</v>
      </c>
      <c r="B2235" s="6" t="s">
        <v>6577</v>
      </c>
      <c r="C2235" s="5" t="s">
        <v>6578</v>
      </c>
      <c r="D2235" s="5" t="s">
        <v>6579</v>
      </c>
      <c r="E2235" s="5" t="s">
        <v>6580</v>
      </c>
      <c r="F2235" s="6" t="s">
        <v>960</v>
      </c>
      <c r="G2235" s="6" t="s">
        <v>961</v>
      </c>
    </row>
    <row r="2236" spans="1:7" ht="15.75" customHeight="1">
      <c r="A2236" s="3">
        <v>246615501</v>
      </c>
      <c r="B2236" s="4" t="s">
        <v>6581</v>
      </c>
      <c r="C2236" s="3" t="s">
        <v>6582</v>
      </c>
      <c r="D2236" s="3" t="s">
        <v>6583</v>
      </c>
      <c r="E2236" s="3" t="s">
        <v>6584</v>
      </c>
      <c r="F2236" s="4" t="s">
        <v>960</v>
      </c>
      <c r="G2236" s="4" t="s">
        <v>961</v>
      </c>
    </row>
    <row r="2237" spans="1:7" ht="15.75" customHeight="1">
      <c r="A2237" s="5">
        <v>246618149</v>
      </c>
      <c r="B2237" s="6" t="s">
        <v>6585</v>
      </c>
      <c r="C2237" s="5" t="s">
        <v>6586</v>
      </c>
      <c r="D2237" s="5">
        <v>79122204953</v>
      </c>
      <c r="E2237" s="5" t="s">
        <v>6587</v>
      </c>
      <c r="F2237" s="6" t="s">
        <v>960</v>
      </c>
      <c r="G2237" s="6" t="s">
        <v>961</v>
      </c>
    </row>
    <row r="2238" spans="1:7" ht="15.75" customHeight="1">
      <c r="A2238" s="3">
        <v>246627820</v>
      </c>
      <c r="B2238" s="4" t="s">
        <v>6588</v>
      </c>
      <c r="C2238" s="3" t="s">
        <v>6589</v>
      </c>
      <c r="D2238" s="3" t="s">
        <v>6590</v>
      </c>
      <c r="E2238" s="3" t="s">
        <v>6591</v>
      </c>
      <c r="F2238" s="4" t="s">
        <v>936</v>
      </c>
      <c r="G2238" s="4" t="s">
        <v>937</v>
      </c>
    </row>
    <row r="2239" spans="1:7" ht="15.75" customHeight="1">
      <c r="A2239" s="5">
        <v>246449448</v>
      </c>
      <c r="B2239" s="6" t="s">
        <v>6339</v>
      </c>
      <c r="C2239" s="5" t="s">
        <v>6340</v>
      </c>
      <c r="D2239" s="5">
        <v>79536711670</v>
      </c>
      <c r="E2239" s="5" t="s">
        <v>6592</v>
      </c>
      <c r="F2239" s="6" t="s">
        <v>960</v>
      </c>
      <c r="G2239" s="6" t="s">
        <v>961</v>
      </c>
    </row>
    <row r="2240" spans="1:7" ht="15.75" customHeight="1">
      <c r="A2240" s="3">
        <v>246473968</v>
      </c>
      <c r="B2240" s="4" t="s">
        <v>6406</v>
      </c>
      <c r="C2240" s="3" t="s">
        <v>6407</v>
      </c>
      <c r="D2240" s="3" t="s">
        <v>6408</v>
      </c>
      <c r="E2240" s="3" t="s">
        <v>6593</v>
      </c>
      <c r="F2240" s="4" t="s">
        <v>960</v>
      </c>
      <c r="G2240" s="4" t="s">
        <v>961</v>
      </c>
    </row>
    <row r="2241" spans="1:7" ht="15.75" customHeight="1">
      <c r="A2241" s="5">
        <v>246630313</v>
      </c>
      <c r="B2241" s="6" t="s">
        <v>6594</v>
      </c>
      <c r="C2241" s="5" t="s">
        <v>6595</v>
      </c>
      <c r="D2241" s="5">
        <v>79270892210</v>
      </c>
      <c r="E2241" s="5" t="s">
        <v>6596</v>
      </c>
      <c r="F2241" s="6" t="s">
        <v>960</v>
      </c>
      <c r="G2241" s="6" t="s">
        <v>961</v>
      </c>
    </row>
    <row r="2242" spans="1:7" ht="15.75" customHeight="1">
      <c r="A2242" s="3">
        <v>246646742</v>
      </c>
      <c r="B2242" s="4" t="s">
        <v>6597</v>
      </c>
      <c r="C2242" s="3" t="s">
        <v>6598</v>
      </c>
      <c r="D2242" s="3" t="s">
        <v>6599</v>
      </c>
      <c r="E2242" s="3" t="s">
        <v>6600</v>
      </c>
      <c r="F2242" s="4" t="s">
        <v>960</v>
      </c>
      <c r="G2242" s="4" t="s">
        <v>961</v>
      </c>
    </row>
    <row r="2243" spans="1:7" ht="15.75" customHeight="1">
      <c r="A2243" s="5">
        <v>246658600</v>
      </c>
      <c r="B2243" s="6" t="s">
        <v>6601</v>
      </c>
      <c r="C2243" s="5" t="s">
        <v>6602</v>
      </c>
      <c r="D2243" s="5" t="s">
        <v>6603</v>
      </c>
      <c r="E2243" s="5" t="s">
        <v>6604</v>
      </c>
      <c r="F2243" s="6" t="s">
        <v>960</v>
      </c>
      <c r="G2243" s="6" t="s">
        <v>961</v>
      </c>
    </row>
    <row r="2244" spans="1:7" ht="15.75" customHeight="1">
      <c r="A2244" s="3">
        <v>246660292</v>
      </c>
      <c r="B2244" s="4" t="s">
        <v>6605</v>
      </c>
      <c r="C2244" s="3" t="s">
        <v>6606</v>
      </c>
      <c r="D2244" s="3" t="s">
        <v>6607</v>
      </c>
      <c r="E2244" s="3" t="s">
        <v>6608</v>
      </c>
      <c r="F2244" s="4" t="s">
        <v>960</v>
      </c>
      <c r="G2244" s="4" t="s">
        <v>961</v>
      </c>
    </row>
    <row r="2245" spans="1:7" ht="15.75" customHeight="1">
      <c r="A2245" s="5">
        <v>246665124</v>
      </c>
      <c r="B2245" s="6" t="s">
        <v>6609</v>
      </c>
      <c r="C2245" s="5" t="s">
        <v>6610</v>
      </c>
      <c r="D2245" s="5" t="s">
        <v>6611</v>
      </c>
      <c r="E2245" s="5" t="s">
        <v>6612</v>
      </c>
      <c r="F2245" s="6" t="s">
        <v>960</v>
      </c>
      <c r="G2245" s="6" t="s">
        <v>961</v>
      </c>
    </row>
    <row r="2246" spans="1:7" ht="15.75" customHeight="1">
      <c r="A2246" s="3">
        <v>246665350</v>
      </c>
      <c r="B2246" s="4" t="s">
        <v>6613</v>
      </c>
      <c r="C2246" s="3" t="s">
        <v>6614</v>
      </c>
      <c r="D2246" s="3">
        <v>79144437086</v>
      </c>
      <c r="E2246" s="3" t="s">
        <v>6615</v>
      </c>
      <c r="F2246" s="4" t="s">
        <v>960</v>
      </c>
      <c r="G2246" s="4" t="s">
        <v>961</v>
      </c>
    </row>
    <row r="2247" spans="1:7" ht="15.75" customHeight="1">
      <c r="A2247" s="5">
        <v>246665449</v>
      </c>
      <c r="B2247" s="6" t="s">
        <v>6616</v>
      </c>
      <c r="C2247" s="5" t="s">
        <v>6617</v>
      </c>
      <c r="D2247" s="5">
        <v>79002803158</v>
      </c>
      <c r="E2247" s="5" t="s">
        <v>6618</v>
      </c>
      <c r="F2247" s="6" t="s">
        <v>960</v>
      </c>
      <c r="G2247" s="6" t="s">
        <v>961</v>
      </c>
    </row>
    <row r="2248" spans="1:7" ht="15.75" customHeight="1">
      <c r="A2248" s="3">
        <v>246669802</v>
      </c>
      <c r="B2248" s="4" t="s">
        <v>6619</v>
      </c>
      <c r="C2248" s="3" t="s">
        <v>6620</v>
      </c>
      <c r="D2248" s="3">
        <v>79082703505</v>
      </c>
      <c r="E2248" s="3" t="s">
        <v>6621</v>
      </c>
      <c r="F2248" s="4" t="s">
        <v>960</v>
      </c>
      <c r="G2248" s="4" t="s">
        <v>961</v>
      </c>
    </row>
    <row r="2249" spans="1:7" ht="15.75" customHeight="1">
      <c r="A2249" s="5">
        <v>246673795</v>
      </c>
      <c r="B2249" s="6" t="s">
        <v>6622</v>
      </c>
      <c r="C2249" s="5" t="s">
        <v>6623</v>
      </c>
      <c r="D2249" s="5" t="s">
        <v>6624</v>
      </c>
      <c r="E2249" s="5" t="s">
        <v>6625</v>
      </c>
      <c r="F2249" s="6" t="s">
        <v>960</v>
      </c>
      <c r="G2249" s="6" t="s">
        <v>961</v>
      </c>
    </row>
    <row r="2250" spans="1:7" ht="15.75" customHeight="1">
      <c r="A2250" s="3">
        <v>246702780</v>
      </c>
      <c r="B2250" s="4" t="s">
        <v>6626</v>
      </c>
      <c r="C2250" s="3" t="s">
        <v>6627</v>
      </c>
      <c r="D2250" s="3">
        <v>79181741820</v>
      </c>
      <c r="E2250" s="3" t="s">
        <v>6628</v>
      </c>
      <c r="F2250" s="4" t="s">
        <v>960</v>
      </c>
      <c r="G2250" s="4" t="s">
        <v>961</v>
      </c>
    </row>
    <row r="2251" spans="1:7" ht="15.75" customHeight="1">
      <c r="A2251" s="5">
        <v>246720811</v>
      </c>
      <c r="B2251" s="6" t="s">
        <v>6629</v>
      </c>
      <c r="C2251" s="5" t="s">
        <v>6630</v>
      </c>
      <c r="D2251" s="5">
        <v>79872840454</v>
      </c>
      <c r="E2251" s="5" t="s">
        <v>6631</v>
      </c>
      <c r="F2251" s="6" t="s">
        <v>960</v>
      </c>
      <c r="G2251" s="6" t="s">
        <v>961</v>
      </c>
    </row>
    <row r="2252" spans="1:7" ht="15.75" customHeight="1">
      <c r="A2252" s="3">
        <v>246732067</v>
      </c>
      <c r="B2252" s="4" t="s">
        <v>6632</v>
      </c>
      <c r="C2252" s="3" t="s">
        <v>6633</v>
      </c>
      <c r="D2252" s="3" t="s">
        <v>6634</v>
      </c>
      <c r="E2252" s="3" t="s">
        <v>6635</v>
      </c>
      <c r="F2252" s="4" t="s">
        <v>960</v>
      </c>
      <c r="G2252" s="4" t="s">
        <v>961</v>
      </c>
    </row>
    <row r="2253" spans="1:7" ht="15.75" customHeight="1">
      <c r="A2253" s="5">
        <v>246734420</v>
      </c>
      <c r="B2253" s="6" t="s">
        <v>6636</v>
      </c>
      <c r="C2253" s="5" t="s">
        <v>6637</v>
      </c>
      <c r="D2253" s="5">
        <v>79064370440</v>
      </c>
      <c r="E2253" s="5" t="s">
        <v>6638</v>
      </c>
      <c r="F2253" s="6" t="s">
        <v>960</v>
      </c>
      <c r="G2253" s="6" t="s">
        <v>961</v>
      </c>
    </row>
    <row r="2254" spans="1:7" ht="15.75" customHeight="1">
      <c r="A2254" s="3">
        <v>246737204</v>
      </c>
      <c r="B2254" s="4" t="s">
        <v>6639</v>
      </c>
      <c r="C2254" s="3" t="s">
        <v>6640</v>
      </c>
      <c r="D2254" s="3">
        <v>79821398992</v>
      </c>
      <c r="E2254" s="3" t="s">
        <v>6641</v>
      </c>
      <c r="F2254" s="4" t="s">
        <v>960</v>
      </c>
      <c r="G2254" s="4" t="s">
        <v>961</v>
      </c>
    </row>
    <row r="2255" spans="1:7" ht="15.75" customHeight="1">
      <c r="A2255" s="5">
        <v>246341703</v>
      </c>
      <c r="B2255" s="6" t="s">
        <v>5879</v>
      </c>
      <c r="C2255" s="5" t="s">
        <v>5880</v>
      </c>
      <c r="D2255" s="5">
        <v>87779905659</v>
      </c>
      <c r="E2255" s="5" t="s">
        <v>6642</v>
      </c>
      <c r="F2255" s="6" t="s">
        <v>949</v>
      </c>
      <c r="G2255" s="6" t="s">
        <v>950</v>
      </c>
    </row>
    <row r="2256" spans="1:7" ht="15.75" customHeight="1">
      <c r="A2256" s="3">
        <v>246745449</v>
      </c>
      <c r="B2256" s="4" t="s">
        <v>6643</v>
      </c>
      <c r="C2256" s="3" t="s">
        <v>6644</v>
      </c>
      <c r="D2256" s="3">
        <v>79655235508</v>
      </c>
      <c r="E2256" s="3" t="s">
        <v>6645</v>
      </c>
      <c r="F2256" s="4" t="s">
        <v>960</v>
      </c>
      <c r="G2256" s="4" t="s">
        <v>961</v>
      </c>
    </row>
    <row r="2257" spans="1:7" ht="15.75" customHeight="1">
      <c r="A2257" s="5">
        <v>246756476</v>
      </c>
      <c r="B2257" s="6" t="s">
        <v>6646</v>
      </c>
      <c r="C2257" s="5" t="s">
        <v>6647</v>
      </c>
      <c r="D2257" s="5">
        <v>79202126196</v>
      </c>
      <c r="E2257" s="5" t="s">
        <v>6648</v>
      </c>
      <c r="F2257" s="6" t="s">
        <v>960</v>
      </c>
      <c r="G2257" s="6" t="s">
        <v>961</v>
      </c>
    </row>
    <row r="2258" spans="1:7" ht="15.75" customHeight="1">
      <c r="A2258" s="3">
        <v>246757049</v>
      </c>
      <c r="B2258" s="4" t="s">
        <v>6649</v>
      </c>
      <c r="C2258" s="3" t="s">
        <v>6650</v>
      </c>
      <c r="D2258" s="3" t="s">
        <v>6651</v>
      </c>
      <c r="E2258" s="3" t="s">
        <v>6652</v>
      </c>
      <c r="F2258" s="4" t="s">
        <v>1067</v>
      </c>
      <c r="G2258" s="4" t="s">
        <v>1068</v>
      </c>
    </row>
    <row r="2259" spans="1:7" ht="15.75" customHeight="1">
      <c r="A2259" s="5">
        <v>246804813</v>
      </c>
      <c r="B2259" s="6" t="s">
        <v>4260</v>
      </c>
      <c r="C2259" s="5" t="s">
        <v>6653</v>
      </c>
      <c r="D2259" s="5">
        <v>79143579999</v>
      </c>
      <c r="E2259" s="5" t="s">
        <v>6654</v>
      </c>
      <c r="F2259" s="6" t="s">
        <v>960</v>
      </c>
      <c r="G2259" s="6" t="s">
        <v>961</v>
      </c>
    </row>
    <row r="2260" spans="1:7" ht="15.75" customHeight="1">
      <c r="A2260" s="3">
        <v>246807537</v>
      </c>
      <c r="B2260" s="4" t="s">
        <v>6655</v>
      </c>
      <c r="C2260" s="3" t="s">
        <v>6656</v>
      </c>
      <c r="D2260" s="3" t="s">
        <v>6657</v>
      </c>
      <c r="E2260" s="3" t="s">
        <v>6658</v>
      </c>
      <c r="F2260" s="4" t="s">
        <v>6659</v>
      </c>
      <c r="G2260" s="4" t="s">
        <v>940</v>
      </c>
    </row>
    <row r="2261" spans="1:7" ht="15.75" customHeight="1">
      <c r="A2261" s="5">
        <v>246810550</v>
      </c>
      <c r="B2261" s="6" t="s">
        <v>6660</v>
      </c>
      <c r="C2261" s="5" t="s">
        <v>6661</v>
      </c>
      <c r="D2261" s="5">
        <v>79167036699</v>
      </c>
      <c r="E2261" s="5" t="s">
        <v>6662</v>
      </c>
      <c r="F2261" s="6" t="s">
        <v>960</v>
      </c>
      <c r="G2261" s="6" t="s">
        <v>961</v>
      </c>
    </row>
    <row r="2262" spans="1:7" ht="15.75" customHeight="1">
      <c r="A2262" s="3">
        <v>246454963</v>
      </c>
      <c r="B2262" s="4" t="s">
        <v>6367</v>
      </c>
      <c r="C2262" s="3" t="s">
        <v>6368</v>
      </c>
      <c r="D2262" s="3">
        <v>79517437871</v>
      </c>
      <c r="E2262" s="3" t="s">
        <v>6663</v>
      </c>
      <c r="F2262" s="4" t="s">
        <v>960</v>
      </c>
      <c r="G2262" s="4" t="s">
        <v>961</v>
      </c>
    </row>
    <row r="2263" spans="1:7" ht="15.75" customHeight="1">
      <c r="A2263" s="5">
        <v>246848689</v>
      </c>
      <c r="B2263" s="6" t="s">
        <v>6664</v>
      </c>
      <c r="C2263" s="5" t="s">
        <v>6665</v>
      </c>
      <c r="D2263" s="5">
        <v>79671939811</v>
      </c>
      <c r="E2263" s="5" t="s">
        <v>6666</v>
      </c>
      <c r="F2263" s="6" t="s">
        <v>960</v>
      </c>
      <c r="G2263" s="6" t="s">
        <v>961</v>
      </c>
    </row>
    <row r="2264" spans="1:7" ht="15.75" customHeight="1">
      <c r="A2264" s="3">
        <v>246867770</v>
      </c>
      <c r="B2264" s="4" t="s">
        <v>6667</v>
      </c>
      <c r="C2264" s="3" t="s">
        <v>6668</v>
      </c>
      <c r="D2264" s="3">
        <v>79170445016</v>
      </c>
      <c r="E2264" s="3" t="s">
        <v>6669</v>
      </c>
      <c r="F2264" s="4" t="s">
        <v>960</v>
      </c>
      <c r="G2264" s="4" t="s">
        <v>961</v>
      </c>
    </row>
    <row r="2265" spans="1:7" ht="15.75" customHeight="1">
      <c r="A2265" s="5">
        <v>246910046</v>
      </c>
      <c r="B2265" s="6" t="s">
        <v>6670</v>
      </c>
      <c r="C2265" s="5" t="s">
        <v>6671</v>
      </c>
      <c r="D2265" s="5">
        <v>87776104857</v>
      </c>
      <c r="E2265" s="5" t="s">
        <v>6672</v>
      </c>
      <c r="F2265" s="6" t="s">
        <v>949</v>
      </c>
      <c r="G2265" s="6" t="s">
        <v>950</v>
      </c>
    </row>
    <row r="2266" spans="1:7" ht="15.75" customHeight="1">
      <c r="A2266" s="3">
        <v>246943214</v>
      </c>
      <c r="B2266" s="4" t="s">
        <v>6673</v>
      </c>
      <c r="C2266" s="3" t="s">
        <v>6674</v>
      </c>
      <c r="D2266" s="3" t="s">
        <v>6675</v>
      </c>
      <c r="E2266" s="3" t="s">
        <v>6676</v>
      </c>
      <c r="F2266" s="4" t="s">
        <v>97</v>
      </c>
      <c r="G2266" s="4" t="s">
        <v>98</v>
      </c>
    </row>
    <row r="2267" spans="1:7" ht="15.75" customHeight="1">
      <c r="A2267" s="5">
        <v>246954820</v>
      </c>
      <c r="B2267" s="6" t="s">
        <v>6677</v>
      </c>
      <c r="C2267" s="5" t="s">
        <v>6678</v>
      </c>
      <c r="D2267" s="5">
        <v>674551707</v>
      </c>
      <c r="E2267" s="5" t="s">
        <v>6679</v>
      </c>
      <c r="F2267" s="6" t="s">
        <v>960</v>
      </c>
      <c r="G2267" s="6" t="s">
        <v>961</v>
      </c>
    </row>
    <row r="2268" spans="1:7" ht="15.75" customHeight="1">
      <c r="A2268" s="3">
        <v>246966144</v>
      </c>
      <c r="B2268" s="4" t="s">
        <v>6680</v>
      </c>
      <c r="C2268" s="3" t="s">
        <v>6681</v>
      </c>
      <c r="D2268" s="3" t="s">
        <v>6682</v>
      </c>
      <c r="E2268" s="3" t="s">
        <v>6683</v>
      </c>
      <c r="F2268" s="4" t="s">
        <v>960</v>
      </c>
      <c r="G2268" s="4" t="s">
        <v>961</v>
      </c>
    </row>
    <row r="2269" spans="1:7" ht="15.75" customHeight="1">
      <c r="A2269" s="5">
        <v>246467037</v>
      </c>
      <c r="B2269" s="6" t="s">
        <v>6390</v>
      </c>
      <c r="C2269" s="5" t="s">
        <v>6391</v>
      </c>
      <c r="D2269" s="5">
        <v>79150953355</v>
      </c>
      <c r="E2269" s="5" t="s">
        <v>6684</v>
      </c>
      <c r="F2269" s="6" t="s">
        <v>949</v>
      </c>
      <c r="G2269" s="6" t="s">
        <v>950</v>
      </c>
    </row>
    <row r="2270" spans="1:7" ht="15.75" customHeight="1">
      <c r="A2270" s="3">
        <v>247047826</v>
      </c>
      <c r="B2270" s="4" t="s">
        <v>6685</v>
      </c>
      <c r="C2270" s="3" t="s">
        <v>6686</v>
      </c>
      <c r="D2270" s="3">
        <v>79111570570</v>
      </c>
      <c r="E2270" s="3" t="s">
        <v>6687</v>
      </c>
      <c r="F2270" s="4" t="s">
        <v>949</v>
      </c>
      <c r="G2270" s="4" t="s">
        <v>950</v>
      </c>
    </row>
    <row r="2271" spans="1:7" ht="15.75" customHeight="1">
      <c r="A2271" s="5">
        <v>247060530</v>
      </c>
      <c r="B2271" s="6" t="s">
        <v>6688</v>
      </c>
      <c r="C2271" s="5" t="s">
        <v>6689</v>
      </c>
      <c r="D2271" s="5" t="s">
        <v>6690</v>
      </c>
      <c r="E2271" s="5" t="s">
        <v>6691</v>
      </c>
      <c r="F2271" s="6" t="s">
        <v>960</v>
      </c>
      <c r="G2271" s="6" t="s">
        <v>961</v>
      </c>
    </row>
    <row r="2272" spans="1:7" ht="15.75" customHeight="1">
      <c r="A2272" s="3">
        <v>247067266</v>
      </c>
      <c r="B2272" s="4" t="s">
        <v>6692</v>
      </c>
      <c r="C2272" s="3" t="s">
        <v>6693</v>
      </c>
      <c r="D2272" s="3" t="s">
        <v>6694</v>
      </c>
      <c r="E2272" s="3" t="s">
        <v>6695</v>
      </c>
      <c r="F2272" s="4" t="s">
        <v>960</v>
      </c>
      <c r="G2272" s="4" t="s">
        <v>961</v>
      </c>
    </row>
    <row r="2273" spans="1:7" ht="15.75" customHeight="1">
      <c r="A2273" s="5">
        <v>247070364</v>
      </c>
      <c r="B2273" s="6" t="s">
        <v>6696</v>
      </c>
      <c r="C2273" s="5" t="s">
        <v>6697</v>
      </c>
      <c r="D2273" s="5" t="s">
        <v>6698</v>
      </c>
      <c r="E2273" s="5" t="s">
        <v>6699</v>
      </c>
      <c r="F2273" s="6" t="s">
        <v>960</v>
      </c>
      <c r="G2273" s="6" t="s">
        <v>961</v>
      </c>
    </row>
    <row r="2274" spans="1:7" ht="15.75" customHeight="1">
      <c r="A2274" s="3">
        <v>247070759</v>
      </c>
      <c r="B2274" s="4" t="s">
        <v>6700</v>
      </c>
      <c r="C2274" s="3" t="s">
        <v>6701</v>
      </c>
      <c r="D2274" s="3">
        <v>79781369224</v>
      </c>
      <c r="E2274" s="3" t="s">
        <v>6702</v>
      </c>
      <c r="F2274" s="4" t="s">
        <v>960</v>
      </c>
      <c r="G2274" s="4" t="s">
        <v>961</v>
      </c>
    </row>
    <row r="2275" spans="1:7" ht="15.75" customHeight="1">
      <c r="A2275" s="5">
        <v>247071171</v>
      </c>
      <c r="B2275" s="6" t="s">
        <v>6703</v>
      </c>
      <c r="C2275" s="5" t="s">
        <v>6704</v>
      </c>
      <c r="D2275" s="5" t="s">
        <v>6705</v>
      </c>
      <c r="E2275" s="5" t="s">
        <v>6706</v>
      </c>
      <c r="F2275" s="6" t="s">
        <v>960</v>
      </c>
      <c r="G2275" s="6" t="s">
        <v>961</v>
      </c>
    </row>
    <row r="2276" spans="1:7" ht="15.75" customHeight="1">
      <c r="A2276" s="3">
        <v>247078456</v>
      </c>
      <c r="B2276" s="4" t="s">
        <v>6707</v>
      </c>
      <c r="C2276" s="3" t="s">
        <v>6708</v>
      </c>
      <c r="D2276" s="3">
        <v>79514104048</v>
      </c>
      <c r="E2276" s="3" t="s">
        <v>6709</v>
      </c>
      <c r="F2276" s="4" t="s">
        <v>960</v>
      </c>
      <c r="G2276" s="4" t="s">
        <v>961</v>
      </c>
    </row>
    <row r="2277" spans="1:7" ht="15.75" customHeight="1">
      <c r="A2277" s="5">
        <v>247080453</v>
      </c>
      <c r="B2277" s="6" t="s">
        <v>6710</v>
      </c>
      <c r="C2277" s="5" t="s">
        <v>6711</v>
      </c>
      <c r="D2277" s="5" t="s">
        <v>6712</v>
      </c>
      <c r="E2277" s="5" t="s">
        <v>6713</v>
      </c>
      <c r="F2277" s="6" t="s">
        <v>960</v>
      </c>
      <c r="G2277" s="6" t="s">
        <v>961</v>
      </c>
    </row>
    <row r="2278" spans="1:7" ht="15.75" customHeight="1">
      <c r="A2278" s="3">
        <v>247084420</v>
      </c>
      <c r="B2278" s="4" t="s">
        <v>6714</v>
      </c>
      <c r="C2278" s="3" t="s">
        <v>6715</v>
      </c>
      <c r="D2278" s="3" t="s">
        <v>6716</v>
      </c>
      <c r="E2278" s="3" t="s">
        <v>6717</v>
      </c>
      <c r="F2278" s="4" t="s">
        <v>960</v>
      </c>
      <c r="G2278" s="4" t="s">
        <v>961</v>
      </c>
    </row>
    <row r="2279" spans="1:7" ht="15.75" customHeight="1">
      <c r="A2279" s="5">
        <v>247084951</v>
      </c>
      <c r="B2279" s="6" t="s">
        <v>6718</v>
      </c>
      <c r="C2279" s="5" t="s">
        <v>6719</v>
      </c>
      <c r="D2279" s="5">
        <v>79235749363</v>
      </c>
      <c r="E2279" s="5" t="s">
        <v>6720</v>
      </c>
      <c r="F2279" s="6" t="s">
        <v>960</v>
      </c>
      <c r="G2279" s="6" t="s">
        <v>961</v>
      </c>
    </row>
    <row r="2280" spans="1:7" ht="15.75" customHeight="1">
      <c r="A2280" s="3">
        <v>247089240</v>
      </c>
      <c r="B2280" s="4" t="s">
        <v>6721</v>
      </c>
      <c r="C2280" s="3" t="s">
        <v>6722</v>
      </c>
      <c r="D2280" s="3" t="s">
        <v>6723</v>
      </c>
      <c r="E2280" s="3" t="s">
        <v>6724</v>
      </c>
      <c r="F2280" s="4" t="s">
        <v>960</v>
      </c>
      <c r="G2280" s="4" t="s">
        <v>961</v>
      </c>
    </row>
    <row r="2281" spans="1:7" ht="15.75" customHeight="1">
      <c r="A2281" s="5">
        <v>247091087</v>
      </c>
      <c r="B2281" s="6" t="s">
        <v>6725</v>
      </c>
      <c r="C2281" s="5" t="s">
        <v>6726</v>
      </c>
      <c r="D2281" s="5">
        <v>13103081383</v>
      </c>
      <c r="E2281" s="5" t="s">
        <v>6727</v>
      </c>
      <c r="F2281" s="6" t="s">
        <v>960</v>
      </c>
      <c r="G2281" s="6" t="s">
        <v>961</v>
      </c>
    </row>
    <row r="2282" spans="1:7" ht="15.75" customHeight="1">
      <c r="A2282" s="3">
        <v>247091726</v>
      </c>
      <c r="B2282" s="4" t="s">
        <v>6728</v>
      </c>
      <c r="C2282" s="3" t="s">
        <v>6729</v>
      </c>
      <c r="D2282" s="3">
        <v>375298631529</v>
      </c>
      <c r="E2282" s="3" t="s">
        <v>6730</v>
      </c>
      <c r="F2282" s="4" t="s">
        <v>960</v>
      </c>
      <c r="G2282" s="4" t="s">
        <v>961</v>
      </c>
    </row>
    <row r="2283" spans="1:7" ht="15.75" customHeight="1">
      <c r="A2283" s="5">
        <v>247098502</v>
      </c>
      <c r="B2283" s="6" t="s">
        <v>6731</v>
      </c>
      <c r="C2283" s="5" t="s">
        <v>6732</v>
      </c>
      <c r="D2283" s="5" t="s">
        <v>6733</v>
      </c>
      <c r="E2283" s="5" t="s">
        <v>6734</v>
      </c>
      <c r="F2283" s="6" t="s">
        <v>960</v>
      </c>
      <c r="G2283" s="6" t="s">
        <v>961</v>
      </c>
    </row>
    <row r="2284" spans="1:7" ht="15.75" customHeight="1">
      <c r="A2284" s="3">
        <v>247103689</v>
      </c>
      <c r="B2284" s="4" t="s">
        <v>6735</v>
      </c>
      <c r="C2284" s="3" t="s">
        <v>6736</v>
      </c>
      <c r="D2284" s="3" t="s">
        <v>6737</v>
      </c>
      <c r="E2284" s="3" t="s">
        <v>6738</v>
      </c>
      <c r="F2284" s="4" t="s">
        <v>949</v>
      </c>
      <c r="G2284" s="4" t="s">
        <v>950</v>
      </c>
    </row>
    <row r="2285" spans="1:7" ht="15.75" customHeight="1">
      <c r="A2285" s="5">
        <v>247128017</v>
      </c>
      <c r="B2285" s="6" t="s">
        <v>6739</v>
      </c>
      <c r="C2285" s="5" t="s">
        <v>6740</v>
      </c>
      <c r="D2285" s="5" t="s">
        <v>6741</v>
      </c>
      <c r="E2285" s="5" t="s">
        <v>6742</v>
      </c>
      <c r="F2285" s="6" t="s">
        <v>960</v>
      </c>
      <c r="G2285" s="6" t="s">
        <v>961</v>
      </c>
    </row>
    <row r="2286" spans="1:7" ht="15.75" customHeight="1">
      <c r="A2286" s="3">
        <v>247128947</v>
      </c>
      <c r="B2286" s="4" t="s">
        <v>6743</v>
      </c>
      <c r="C2286" s="3" t="s">
        <v>6744</v>
      </c>
      <c r="D2286" s="3">
        <v>79031930091</v>
      </c>
      <c r="E2286" s="3" t="s">
        <v>6745</v>
      </c>
      <c r="F2286" s="4" t="s">
        <v>960</v>
      </c>
      <c r="G2286" s="4" t="s">
        <v>961</v>
      </c>
    </row>
    <row r="2287" spans="1:7" ht="15.75" customHeight="1">
      <c r="A2287" s="5">
        <v>247137990</v>
      </c>
      <c r="B2287" s="6" t="s">
        <v>6746</v>
      </c>
      <c r="C2287" s="5" t="s">
        <v>6747</v>
      </c>
      <c r="D2287" s="5">
        <v>87771616012</v>
      </c>
      <c r="E2287" s="5" t="s">
        <v>6748</v>
      </c>
      <c r="F2287" s="6" t="s">
        <v>960</v>
      </c>
      <c r="G2287" s="6" t="s">
        <v>961</v>
      </c>
    </row>
    <row r="2288" spans="1:7" ht="15.75" customHeight="1">
      <c r="A2288" s="3">
        <v>247139447</v>
      </c>
      <c r="B2288" s="4" t="s">
        <v>6749</v>
      </c>
      <c r="C2288" s="3" t="s">
        <v>6750</v>
      </c>
      <c r="D2288" s="3">
        <v>79297921406</v>
      </c>
      <c r="E2288" s="3" t="s">
        <v>6751</v>
      </c>
      <c r="F2288" s="4" t="s">
        <v>960</v>
      </c>
      <c r="G2288" s="4" t="s">
        <v>961</v>
      </c>
    </row>
    <row r="2289" spans="1:7" ht="15.75" customHeight="1">
      <c r="A2289" s="5">
        <v>247139694</v>
      </c>
      <c r="B2289" s="6" t="s">
        <v>6752</v>
      </c>
      <c r="C2289" s="5" t="s">
        <v>6753</v>
      </c>
      <c r="D2289" s="5" t="s">
        <v>6754</v>
      </c>
      <c r="E2289" s="5" t="s">
        <v>6755</v>
      </c>
      <c r="F2289" s="6" t="s">
        <v>960</v>
      </c>
      <c r="G2289" s="6" t="s">
        <v>961</v>
      </c>
    </row>
    <row r="2290" spans="1:7" ht="15.75" customHeight="1">
      <c r="A2290" s="3">
        <v>247144185</v>
      </c>
      <c r="B2290" s="4" t="s">
        <v>6756</v>
      </c>
      <c r="C2290" s="3" t="s">
        <v>6757</v>
      </c>
      <c r="D2290" s="3" t="s">
        <v>6758</v>
      </c>
      <c r="E2290" s="3" t="s">
        <v>6759</v>
      </c>
      <c r="F2290" s="4" t="s">
        <v>960</v>
      </c>
      <c r="G2290" s="4" t="s">
        <v>961</v>
      </c>
    </row>
    <row r="2291" spans="1:7" ht="15.75" customHeight="1">
      <c r="A2291" s="5">
        <v>247080453</v>
      </c>
      <c r="B2291" s="6" t="s">
        <v>6710</v>
      </c>
      <c r="C2291" s="5" t="s">
        <v>6711</v>
      </c>
      <c r="D2291" s="5" t="s">
        <v>6712</v>
      </c>
      <c r="E2291" s="5" t="s">
        <v>6760</v>
      </c>
      <c r="F2291" s="6" t="s">
        <v>960</v>
      </c>
      <c r="G2291" s="6" t="s">
        <v>961</v>
      </c>
    </row>
    <row r="2292" spans="1:7" ht="15.75" customHeight="1">
      <c r="A2292" s="3">
        <v>247145761</v>
      </c>
      <c r="B2292" s="4" t="s">
        <v>6761</v>
      </c>
      <c r="C2292" s="3" t="s">
        <v>6762</v>
      </c>
      <c r="D2292" s="3">
        <v>79648828313</v>
      </c>
      <c r="E2292" s="3" t="s">
        <v>6763</v>
      </c>
      <c r="F2292" s="4" t="s">
        <v>960</v>
      </c>
      <c r="G2292" s="4" t="s">
        <v>961</v>
      </c>
    </row>
    <row r="2293" spans="1:7" ht="15.75" customHeight="1">
      <c r="A2293" s="5">
        <v>247153240</v>
      </c>
      <c r="B2293" s="6" t="s">
        <v>6764</v>
      </c>
      <c r="C2293" s="5" t="s">
        <v>6765</v>
      </c>
      <c r="D2293" s="5" t="s">
        <v>6766</v>
      </c>
      <c r="E2293" s="5" t="s">
        <v>6767</v>
      </c>
      <c r="F2293" s="6" t="s">
        <v>960</v>
      </c>
      <c r="G2293" s="6" t="s">
        <v>961</v>
      </c>
    </row>
    <row r="2294" spans="1:7" ht="15.75" customHeight="1">
      <c r="A2294" s="3">
        <v>247157442</v>
      </c>
      <c r="B2294" s="4" t="s">
        <v>6768</v>
      </c>
      <c r="C2294" s="3" t="s">
        <v>6769</v>
      </c>
      <c r="D2294" s="3" t="s">
        <v>6770</v>
      </c>
      <c r="E2294" s="3" t="s">
        <v>6771</v>
      </c>
      <c r="F2294" s="4" t="s">
        <v>960</v>
      </c>
      <c r="G2294" s="4" t="s">
        <v>961</v>
      </c>
    </row>
    <row r="2295" spans="1:7" ht="15.75" customHeight="1">
      <c r="A2295" s="5">
        <v>247163524</v>
      </c>
      <c r="B2295" s="6" t="s">
        <v>6772</v>
      </c>
      <c r="C2295" s="5" t="s">
        <v>6773</v>
      </c>
      <c r="D2295" s="5">
        <v>87712423307</v>
      </c>
      <c r="E2295" s="5" t="s">
        <v>6774</v>
      </c>
      <c r="F2295" s="6" t="s">
        <v>960</v>
      </c>
      <c r="G2295" s="6" t="s">
        <v>961</v>
      </c>
    </row>
    <row r="2296" spans="1:7" ht="15.75" customHeight="1">
      <c r="A2296" s="3">
        <v>247167367</v>
      </c>
      <c r="B2296" s="4" t="s">
        <v>6775</v>
      </c>
      <c r="C2296" s="3" t="s">
        <v>6776</v>
      </c>
      <c r="D2296" s="3">
        <v>514195994</v>
      </c>
      <c r="E2296" s="3" t="s">
        <v>6777</v>
      </c>
      <c r="F2296" s="4" t="s">
        <v>960</v>
      </c>
      <c r="G2296" s="4" t="s">
        <v>961</v>
      </c>
    </row>
    <row r="2297" spans="1:7" ht="15.75" customHeight="1">
      <c r="A2297" s="5">
        <v>247180186</v>
      </c>
      <c r="B2297" s="6" t="s">
        <v>6778</v>
      </c>
      <c r="C2297" s="5" t="s">
        <v>6779</v>
      </c>
      <c r="D2297" s="5">
        <v>974406886</v>
      </c>
      <c r="E2297" s="5" t="s">
        <v>6780</v>
      </c>
      <c r="F2297" s="6" t="s">
        <v>949</v>
      </c>
      <c r="G2297" s="6" t="s">
        <v>950</v>
      </c>
    </row>
    <row r="2298" spans="1:7" ht="15.75" customHeight="1">
      <c r="A2298" s="3">
        <v>247196584</v>
      </c>
      <c r="B2298" s="4" t="s">
        <v>6781</v>
      </c>
      <c r="C2298" s="3" t="s">
        <v>6782</v>
      </c>
      <c r="D2298" s="3" t="s">
        <v>6783</v>
      </c>
      <c r="E2298" s="3" t="s">
        <v>6784</v>
      </c>
      <c r="F2298" s="4" t="s">
        <v>1207</v>
      </c>
      <c r="G2298" s="4" t="s">
        <v>1208</v>
      </c>
    </row>
    <row r="2299" spans="1:7" ht="15.75" customHeight="1">
      <c r="A2299" s="5">
        <v>247228656</v>
      </c>
      <c r="B2299" s="6" t="s">
        <v>6785</v>
      </c>
      <c r="C2299" s="5" t="s">
        <v>6786</v>
      </c>
      <c r="D2299" s="5" t="s">
        <v>6787</v>
      </c>
      <c r="E2299" s="5" t="s">
        <v>6788</v>
      </c>
      <c r="F2299" s="6" t="s">
        <v>960</v>
      </c>
      <c r="G2299" s="6" t="s">
        <v>961</v>
      </c>
    </row>
    <row r="2300" spans="1:7" ht="15.75" customHeight="1">
      <c r="A2300" s="3">
        <v>247228778</v>
      </c>
      <c r="B2300" s="4" t="s">
        <v>6789</v>
      </c>
      <c r="C2300" s="3" t="s">
        <v>6790</v>
      </c>
      <c r="D2300" s="3" t="s">
        <v>6791</v>
      </c>
      <c r="E2300" s="3" t="s">
        <v>6792</v>
      </c>
      <c r="F2300" s="4" t="s">
        <v>960</v>
      </c>
      <c r="G2300" s="4" t="s">
        <v>961</v>
      </c>
    </row>
    <row r="2301" spans="1:7" ht="15.75" customHeight="1">
      <c r="A2301" s="5">
        <v>247229308</v>
      </c>
      <c r="B2301" s="6" t="s">
        <v>6793</v>
      </c>
      <c r="C2301" s="5" t="s">
        <v>6794</v>
      </c>
      <c r="D2301" s="5" t="s">
        <v>6795</v>
      </c>
      <c r="E2301" s="5" t="s">
        <v>6796</v>
      </c>
      <c r="F2301" s="6" t="s">
        <v>960</v>
      </c>
      <c r="G2301" s="6" t="s">
        <v>961</v>
      </c>
    </row>
    <row r="2302" spans="1:7" ht="15.75" customHeight="1">
      <c r="A2302" s="3">
        <v>247230718</v>
      </c>
      <c r="B2302" s="4" t="s">
        <v>6797</v>
      </c>
      <c r="C2302" s="3" t="s">
        <v>6798</v>
      </c>
      <c r="D2302" s="3">
        <v>87051610734</v>
      </c>
      <c r="E2302" s="3" t="s">
        <v>6799</v>
      </c>
      <c r="F2302" s="4" t="s">
        <v>960</v>
      </c>
      <c r="G2302" s="4" t="s">
        <v>961</v>
      </c>
    </row>
    <row r="2303" spans="1:7" ht="15.75" customHeight="1">
      <c r="A2303" s="5">
        <v>247232396</v>
      </c>
      <c r="B2303" s="6" t="s">
        <v>6800</v>
      </c>
      <c r="C2303" s="5" t="s">
        <v>6801</v>
      </c>
      <c r="D2303" s="5">
        <v>79212267888</v>
      </c>
      <c r="E2303" s="5" t="s">
        <v>6802</v>
      </c>
      <c r="F2303" s="6" t="s">
        <v>960</v>
      </c>
      <c r="G2303" s="6" t="s">
        <v>961</v>
      </c>
    </row>
    <row r="2304" spans="1:7" ht="15.75" customHeight="1">
      <c r="A2304" s="3">
        <v>247237032</v>
      </c>
      <c r="B2304" s="4" t="s">
        <v>6803</v>
      </c>
      <c r="C2304" s="3" t="s">
        <v>6804</v>
      </c>
      <c r="D2304" s="3" t="s">
        <v>6805</v>
      </c>
      <c r="E2304" s="3" t="s">
        <v>6806</v>
      </c>
      <c r="F2304" s="4" t="s">
        <v>960</v>
      </c>
      <c r="G2304" s="4" t="s">
        <v>961</v>
      </c>
    </row>
    <row r="2305" spans="1:7" ht="15.75" customHeight="1">
      <c r="A2305" s="5">
        <v>247237665</v>
      </c>
      <c r="B2305" s="6" t="s">
        <v>6807</v>
      </c>
      <c r="C2305" s="5" t="s">
        <v>6808</v>
      </c>
      <c r="D2305" s="5">
        <v>79821408635</v>
      </c>
      <c r="E2305" s="5" t="s">
        <v>6809</v>
      </c>
      <c r="F2305" s="6" t="s">
        <v>960</v>
      </c>
      <c r="G2305" s="6" t="s">
        <v>961</v>
      </c>
    </row>
    <row r="2306" spans="1:7" ht="15.75" customHeight="1">
      <c r="A2306" s="3">
        <v>247238488</v>
      </c>
      <c r="B2306" s="4" t="s">
        <v>6810</v>
      </c>
      <c r="C2306" s="3" t="s">
        <v>6811</v>
      </c>
      <c r="D2306" s="3">
        <v>79874861557</v>
      </c>
      <c r="E2306" s="3" t="s">
        <v>6812</v>
      </c>
      <c r="F2306" s="4" t="s">
        <v>960</v>
      </c>
      <c r="G2306" s="4" t="s">
        <v>961</v>
      </c>
    </row>
    <row r="2307" spans="1:7" ht="15.75" customHeight="1">
      <c r="A2307" s="5">
        <v>247256698</v>
      </c>
      <c r="B2307" s="6" t="s">
        <v>6813</v>
      </c>
      <c r="C2307" s="5" t="s">
        <v>6814</v>
      </c>
      <c r="D2307" s="5" t="s">
        <v>6815</v>
      </c>
      <c r="E2307" s="5" t="s">
        <v>6816</v>
      </c>
      <c r="F2307" s="6" t="s">
        <v>960</v>
      </c>
      <c r="G2307" s="6" t="s">
        <v>961</v>
      </c>
    </row>
    <row r="2308" spans="1:7" ht="15.75" customHeight="1">
      <c r="A2308" s="3">
        <v>247295664</v>
      </c>
      <c r="B2308" s="4" t="s">
        <v>6817</v>
      </c>
      <c r="C2308" s="3" t="s">
        <v>6818</v>
      </c>
      <c r="D2308" s="3" t="s">
        <v>6819</v>
      </c>
      <c r="E2308" s="3" t="s">
        <v>6820</v>
      </c>
      <c r="F2308" s="4" t="s">
        <v>936</v>
      </c>
      <c r="G2308" s="4" t="s">
        <v>937</v>
      </c>
    </row>
    <row r="2309" spans="1:7" ht="15.75" customHeight="1">
      <c r="A2309" s="5">
        <v>247325869</v>
      </c>
      <c r="B2309" s="6" t="s">
        <v>6821</v>
      </c>
      <c r="C2309" s="5" t="s">
        <v>6822</v>
      </c>
      <c r="D2309" s="5">
        <v>79911131933</v>
      </c>
      <c r="E2309" s="5" t="s">
        <v>6823</v>
      </c>
      <c r="F2309" s="6" t="s">
        <v>960</v>
      </c>
      <c r="G2309" s="6" t="s">
        <v>961</v>
      </c>
    </row>
    <row r="2310" spans="1:7" ht="15.75" customHeight="1">
      <c r="A2310" s="3">
        <v>247326698</v>
      </c>
      <c r="B2310" s="4" t="s">
        <v>6824</v>
      </c>
      <c r="C2310" s="3" t="s">
        <v>6825</v>
      </c>
      <c r="D2310" s="3">
        <v>79875834568</v>
      </c>
      <c r="E2310" s="3" t="s">
        <v>6826</v>
      </c>
      <c r="F2310" s="4" t="s">
        <v>960</v>
      </c>
      <c r="G2310" s="4" t="s">
        <v>961</v>
      </c>
    </row>
    <row r="2311" spans="1:7" ht="15.75" customHeight="1">
      <c r="A2311" s="5">
        <v>247328975</v>
      </c>
      <c r="B2311" s="6" t="s">
        <v>6827</v>
      </c>
      <c r="C2311" s="5" t="s">
        <v>6828</v>
      </c>
      <c r="D2311" s="5" t="s">
        <v>6829</v>
      </c>
      <c r="E2311" s="5" t="s">
        <v>6830</v>
      </c>
      <c r="F2311" s="6" t="s">
        <v>960</v>
      </c>
      <c r="G2311" s="6" t="s">
        <v>961</v>
      </c>
    </row>
    <row r="2312" spans="1:7" ht="15.75" customHeight="1">
      <c r="A2312" s="3">
        <v>247329273</v>
      </c>
      <c r="B2312" s="4" t="s">
        <v>6831</v>
      </c>
      <c r="C2312" s="3" t="s">
        <v>6832</v>
      </c>
      <c r="D2312" s="3" t="s">
        <v>6833</v>
      </c>
      <c r="E2312" s="3" t="s">
        <v>6834</v>
      </c>
      <c r="F2312" s="4" t="s">
        <v>960</v>
      </c>
      <c r="G2312" s="4" t="s">
        <v>961</v>
      </c>
    </row>
    <row r="2313" spans="1:7" ht="15.75" customHeight="1">
      <c r="A2313" s="5">
        <v>247332938</v>
      </c>
      <c r="B2313" s="6" t="s">
        <v>6835</v>
      </c>
      <c r="C2313" s="5" t="s">
        <v>6836</v>
      </c>
      <c r="D2313" s="5">
        <v>79991217157</v>
      </c>
      <c r="E2313" s="5" t="s">
        <v>6837</v>
      </c>
      <c r="F2313" s="6" t="s">
        <v>960</v>
      </c>
      <c r="G2313" s="6" t="s">
        <v>961</v>
      </c>
    </row>
    <row r="2314" spans="1:7" ht="15.75" customHeight="1">
      <c r="A2314" s="3">
        <v>247341387</v>
      </c>
      <c r="B2314" s="4" t="s">
        <v>6838</v>
      </c>
      <c r="C2314" s="3" t="s">
        <v>6839</v>
      </c>
      <c r="D2314" s="3">
        <v>79284053388</v>
      </c>
      <c r="E2314" s="3" t="s">
        <v>6840</v>
      </c>
      <c r="F2314" s="4" t="s">
        <v>960</v>
      </c>
      <c r="G2314" s="4" t="s">
        <v>961</v>
      </c>
    </row>
    <row r="2315" spans="1:7" ht="15.75" customHeight="1">
      <c r="A2315" s="5">
        <v>247347561</v>
      </c>
      <c r="B2315" s="6" t="s">
        <v>6841</v>
      </c>
      <c r="C2315" s="5" t="s">
        <v>6842</v>
      </c>
      <c r="D2315" s="5">
        <v>79196914555</v>
      </c>
      <c r="E2315" s="5" t="s">
        <v>6843</v>
      </c>
      <c r="F2315" s="6" t="s">
        <v>960</v>
      </c>
      <c r="G2315" s="6" t="s">
        <v>961</v>
      </c>
    </row>
    <row r="2316" spans="1:7" ht="15.75" customHeight="1">
      <c r="A2316" s="3">
        <v>247354324</v>
      </c>
      <c r="B2316" s="4" t="s">
        <v>6844</v>
      </c>
      <c r="C2316" s="3" t="s">
        <v>6845</v>
      </c>
      <c r="D2316" s="3" t="s">
        <v>6846</v>
      </c>
      <c r="E2316" s="3" t="s">
        <v>6847</v>
      </c>
      <c r="F2316" s="4" t="s">
        <v>960</v>
      </c>
      <c r="G2316" s="4" t="s">
        <v>961</v>
      </c>
    </row>
    <row r="2317" spans="1:7" ht="15.75" customHeight="1">
      <c r="A2317" s="5">
        <v>247364127</v>
      </c>
      <c r="B2317" s="6" t="s">
        <v>6848</v>
      </c>
      <c r="C2317" s="5" t="s">
        <v>6849</v>
      </c>
      <c r="D2317" s="5">
        <v>79182424072</v>
      </c>
      <c r="E2317" s="5" t="s">
        <v>6850</v>
      </c>
      <c r="F2317" s="6" t="s">
        <v>960</v>
      </c>
      <c r="G2317" s="6" t="s">
        <v>961</v>
      </c>
    </row>
    <row r="2318" spans="1:7" ht="15.75" customHeight="1">
      <c r="A2318" s="3">
        <v>247373991</v>
      </c>
      <c r="B2318" s="4" t="s">
        <v>6851</v>
      </c>
      <c r="C2318" s="3" t="s">
        <v>6852</v>
      </c>
      <c r="D2318" s="3" t="s">
        <v>6853</v>
      </c>
      <c r="E2318" s="3" t="s">
        <v>6854</v>
      </c>
      <c r="F2318" s="4" t="s">
        <v>960</v>
      </c>
      <c r="G2318" s="4" t="s">
        <v>961</v>
      </c>
    </row>
    <row r="2319" spans="1:7" ht="15.75" customHeight="1">
      <c r="A2319" s="5">
        <v>247070364</v>
      </c>
      <c r="B2319" s="6" t="s">
        <v>6696</v>
      </c>
      <c r="C2319" s="5" t="s">
        <v>6697</v>
      </c>
      <c r="D2319" s="5" t="s">
        <v>6698</v>
      </c>
      <c r="E2319" s="5" t="s">
        <v>6855</v>
      </c>
      <c r="F2319" s="6" t="s">
        <v>1096</v>
      </c>
      <c r="G2319" s="6" t="s">
        <v>1097</v>
      </c>
    </row>
    <row r="2320" spans="1:7" ht="15.75" customHeight="1">
      <c r="A2320" s="3">
        <v>247392441</v>
      </c>
      <c r="B2320" s="4" t="s">
        <v>6856</v>
      </c>
      <c r="C2320" s="3" t="s">
        <v>6857</v>
      </c>
      <c r="D2320" s="3">
        <v>79212572676</v>
      </c>
      <c r="E2320" s="3" t="s">
        <v>6858</v>
      </c>
      <c r="F2320" s="4" t="s">
        <v>960</v>
      </c>
      <c r="G2320" s="4" t="s">
        <v>961</v>
      </c>
    </row>
    <row r="2321" spans="1:7" ht="15.75" customHeight="1">
      <c r="A2321" s="5">
        <v>247398102</v>
      </c>
      <c r="B2321" s="6" t="s">
        <v>6859</v>
      </c>
      <c r="C2321" s="5" t="s">
        <v>6860</v>
      </c>
      <c r="D2321" s="5">
        <v>79852614977</v>
      </c>
      <c r="E2321" s="5" t="s">
        <v>6861</v>
      </c>
      <c r="F2321" s="6" t="s">
        <v>1096</v>
      </c>
      <c r="G2321" s="6" t="s">
        <v>1097</v>
      </c>
    </row>
    <row r="2322" spans="1:7" ht="15.75" customHeight="1">
      <c r="A2322" s="3">
        <v>247399577</v>
      </c>
      <c r="B2322" s="4" t="s">
        <v>6862</v>
      </c>
      <c r="C2322" s="3" t="s">
        <v>6863</v>
      </c>
      <c r="D2322" s="3" t="s">
        <v>6864</v>
      </c>
      <c r="E2322" s="3" t="s">
        <v>6865</v>
      </c>
      <c r="F2322" s="4" t="s">
        <v>1061</v>
      </c>
      <c r="G2322" s="4" t="s">
        <v>1048</v>
      </c>
    </row>
    <row r="2323" spans="1:7" ht="15.75" customHeight="1">
      <c r="A2323" s="5">
        <v>247410457</v>
      </c>
      <c r="B2323" s="6" t="s">
        <v>6866</v>
      </c>
      <c r="C2323" s="5" t="s">
        <v>6867</v>
      </c>
      <c r="D2323" s="5" t="s">
        <v>6868</v>
      </c>
      <c r="E2323" s="5" t="s">
        <v>6869</v>
      </c>
      <c r="F2323" s="6" t="s">
        <v>1096</v>
      </c>
      <c r="G2323" s="6" t="s">
        <v>1097</v>
      </c>
    </row>
    <row r="2324" spans="1:7" ht="15.75" customHeight="1">
      <c r="A2324" s="3">
        <v>247410704</v>
      </c>
      <c r="B2324" s="4" t="s">
        <v>6870</v>
      </c>
      <c r="C2324" s="3" t="s">
        <v>6871</v>
      </c>
      <c r="D2324" s="3" t="s">
        <v>6872</v>
      </c>
      <c r="E2324" s="3" t="s">
        <v>6873</v>
      </c>
      <c r="F2324" s="4" t="s">
        <v>1096</v>
      </c>
      <c r="G2324" s="4" t="s">
        <v>1097</v>
      </c>
    </row>
    <row r="2325" spans="1:7" ht="15.75" customHeight="1">
      <c r="A2325" s="5">
        <v>247411444</v>
      </c>
      <c r="B2325" s="6" t="s">
        <v>6874</v>
      </c>
      <c r="C2325" s="5" t="s">
        <v>6875</v>
      </c>
      <c r="D2325" s="5" t="s">
        <v>6876</v>
      </c>
      <c r="E2325" s="5" t="s">
        <v>6877</v>
      </c>
      <c r="F2325" s="6" t="s">
        <v>1096</v>
      </c>
      <c r="G2325" s="6" t="s">
        <v>1097</v>
      </c>
    </row>
    <row r="2326" spans="1:7" ht="15.75" customHeight="1">
      <c r="A2326" s="3">
        <v>247412048</v>
      </c>
      <c r="B2326" s="4" t="s">
        <v>6878</v>
      </c>
      <c r="C2326" s="3" t="s">
        <v>6879</v>
      </c>
      <c r="D2326" s="3">
        <v>79217518672</v>
      </c>
      <c r="E2326" s="3" t="s">
        <v>6880</v>
      </c>
      <c r="F2326" s="4" t="s">
        <v>1096</v>
      </c>
      <c r="G2326" s="4" t="s">
        <v>1097</v>
      </c>
    </row>
    <row r="2327" spans="1:7" ht="15.75" customHeight="1">
      <c r="A2327" s="5">
        <v>247412165</v>
      </c>
      <c r="B2327" s="6" t="s">
        <v>6881</v>
      </c>
      <c r="C2327" s="5" t="s">
        <v>6882</v>
      </c>
      <c r="D2327" s="5" t="s">
        <v>6883</v>
      </c>
      <c r="E2327" s="5" t="s">
        <v>6884</v>
      </c>
      <c r="F2327" s="6" t="s">
        <v>960</v>
      </c>
      <c r="G2327" s="6" t="s">
        <v>961</v>
      </c>
    </row>
    <row r="2328" spans="1:7" ht="15.75" customHeight="1">
      <c r="A2328" s="3">
        <v>247416242</v>
      </c>
      <c r="B2328" s="4" t="s">
        <v>6885</v>
      </c>
      <c r="C2328" s="3" t="s">
        <v>6886</v>
      </c>
      <c r="D2328" s="3" t="s">
        <v>6887</v>
      </c>
      <c r="E2328" s="3" t="s">
        <v>6888</v>
      </c>
      <c r="F2328" s="4" t="s">
        <v>1096</v>
      </c>
      <c r="G2328" s="4" t="s">
        <v>1097</v>
      </c>
    </row>
    <row r="2329" spans="1:7" ht="15.75" customHeight="1">
      <c r="A2329" s="5">
        <v>247399577</v>
      </c>
      <c r="B2329" s="6" t="s">
        <v>6862</v>
      </c>
      <c r="C2329" s="5" t="s">
        <v>6863</v>
      </c>
      <c r="D2329" s="5" t="s">
        <v>6864</v>
      </c>
      <c r="E2329" s="5" t="s">
        <v>6889</v>
      </c>
      <c r="F2329" s="6" t="s">
        <v>1061</v>
      </c>
      <c r="G2329" s="6" t="s">
        <v>1048</v>
      </c>
    </row>
    <row r="2330" spans="1:7" ht="15.75" customHeight="1">
      <c r="A2330" s="3">
        <v>247418563</v>
      </c>
      <c r="B2330" s="4" t="s">
        <v>6890</v>
      </c>
      <c r="C2330" s="3" t="s">
        <v>6891</v>
      </c>
      <c r="D2330" s="3" t="s">
        <v>6892</v>
      </c>
      <c r="E2330" s="3" t="s">
        <v>6893</v>
      </c>
      <c r="F2330" s="4" t="s">
        <v>1096</v>
      </c>
      <c r="G2330" s="4" t="s">
        <v>1097</v>
      </c>
    </row>
    <row r="2331" spans="1:7" ht="15.75" customHeight="1">
      <c r="A2331" s="5">
        <v>247429954</v>
      </c>
      <c r="B2331" s="6" t="s">
        <v>6894</v>
      </c>
      <c r="C2331" s="5" t="s">
        <v>6895</v>
      </c>
      <c r="D2331" s="5">
        <v>79186028541</v>
      </c>
      <c r="E2331" s="5" t="s">
        <v>6896</v>
      </c>
      <c r="F2331" s="6" t="s">
        <v>1096</v>
      </c>
      <c r="G2331" s="6" t="s">
        <v>1097</v>
      </c>
    </row>
    <row r="2332" spans="1:7" ht="15.75" customHeight="1">
      <c r="A2332" s="3">
        <v>247431615</v>
      </c>
      <c r="B2332" s="4" t="s">
        <v>6897</v>
      </c>
      <c r="C2332" s="3" t="s">
        <v>6898</v>
      </c>
      <c r="D2332" s="3">
        <v>79028755338</v>
      </c>
      <c r="E2332" s="3" t="s">
        <v>6899</v>
      </c>
      <c r="F2332" s="4" t="s">
        <v>1096</v>
      </c>
      <c r="G2332" s="4" t="s">
        <v>1097</v>
      </c>
    </row>
    <row r="2333" spans="1:7" ht="15.75" customHeight="1">
      <c r="A2333" s="5">
        <v>247157442</v>
      </c>
      <c r="B2333" s="6" t="s">
        <v>6768</v>
      </c>
      <c r="C2333" s="5" t="s">
        <v>6769</v>
      </c>
      <c r="D2333" s="5" t="s">
        <v>6770</v>
      </c>
      <c r="E2333" s="5" t="s">
        <v>6900</v>
      </c>
      <c r="F2333" s="6" t="s">
        <v>1096</v>
      </c>
      <c r="G2333" s="6" t="s">
        <v>1097</v>
      </c>
    </row>
    <row r="2334" spans="1:7" ht="15.75" customHeight="1">
      <c r="A2334" s="3">
        <v>247433774</v>
      </c>
      <c r="B2334" s="4" t="s">
        <v>6901</v>
      </c>
      <c r="C2334" s="3" t="s">
        <v>6902</v>
      </c>
      <c r="D2334" s="3" t="s">
        <v>6903</v>
      </c>
      <c r="E2334" s="3" t="s">
        <v>6904</v>
      </c>
      <c r="F2334" s="4" t="s">
        <v>1096</v>
      </c>
      <c r="G2334" s="4" t="s">
        <v>1097</v>
      </c>
    </row>
    <row r="2335" spans="1:7" ht="15.75" customHeight="1">
      <c r="A2335" s="5">
        <v>247436671</v>
      </c>
      <c r="B2335" s="6" t="s">
        <v>6905</v>
      </c>
      <c r="C2335" s="5" t="s">
        <v>6906</v>
      </c>
      <c r="D2335" s="5" t="s">
        <v>6907</v>
      </c>
      <c r="E2335" s="5" t="s">
        <v>6908</v>
      </c>
      <c r="F2335" s="6" t="s">
        <v>1096</v>
      </c>
      <c r="G2335" s="6" t="s">
        <v>1097</v>
      </c>
    </row>
    <row r="2336" spans="1:7" ht="15.75" customHeight="1">
      <c r="A2336" s="3">
        <v>247441357</v>
      </c>
      <c r="B2336" s="4" t="s">
        <v>6909</v>
      </c>
      <c r="C2336" s="3" t="s">
        <v>6910</v>
      </c>
      <c r="D2336" s="3" t="s">
        <v>6911</v>
      </c>
      <c r="E2336" s="3" t="s">
        <v>6912</v>
      </c>
      <c r="F2336" s="4" t="s">
        <v>1096</v>
      </c>
      <c r="G2336" s="4" t="s">
        <v>1097</v>
      </c>
    </row>
    <row r="2337" spans="1:7" ht="15.75" customHeight="1">
      <c r="A2337" s="5">
        <v>247442166</v>
      </c>
      <c r="B2337" s="6" t="s">
        <v>6913</v>
      </c>
      <c r="C2337" s="5" t="s">
        <v>6914</v>
      </c>
      <c r="D2337" s="5" t="s">
        <v>6915</v>
      </c>
      <c r="E2337" s="5" t="s">
        <v>6916</v>
      </c>
      <c r="F2337" s="6" t="s">
        <v>1096</v>
      </c>
      <c r="G2337" s="6" t="s">
        <v>1097</v>
      </c>
    </row>
    <row r="2338" spans="1:7" ht="15.75" customHeight="1">
      <c r="A2338" s="3">
        <v>247444683</v>
      </c>
      <c r="B2338" s="4" t="s">
        <v>6917</v>
      </c>
      <c r="C2338" s="3" t="s">
        <v>6918</v>
      </c>
      <c r="D2338" s="3" t="s">
        <v>6919</v>
      </c>
      <c r="E2338" s="3" t="s">
        <v>6920</v>
      </c>
      <c r="F2338" s="4" t="s">
        <v>1096</v>
      </c>
      <c r="G2338" s="4" t="s">
        <v>1097</v>
      </c>
    </row>
    <row r="2339" spans="1:7" ht="15.75" customHeight="1">
      <c r="A2339" s="5">
        <v>247444723</v>
      </c>
      <c r="B2339" s="6" t="s">
        <v>6921</v>
      </c>
      <c r="C2339" s="5" t="s">
        <v>6922</v>
      </c>
      <c r="D2339" s="5" t="s">
        <v>6923</v>
      </c>
      <c r="E2339" s="5" t="s">
        <v>6924</v>
      </c>
      <c r="F2339" s="6" t="s">
        <v>1096</v>
      </c>
      <c r="G2339" s="6" t="s">
        <v>1097</v>
      </c>
    </row>
    <row r="2340" spans="1:7" ht="15.75" customHeight="1">
      <c r="A2340" s="3">
        <v>247476569</v>
      </c>
      <c r="B2340" s="4" t="s">
        <v>6925</v>
      </c>
      <c r="C2340" s="3" t="s">
        <v>6926</v>
      </c>
      <c r="D2340" s="3"/>
      <c r="E2340" s="3" t="s">
        <v>6927</v>
      </c>
      <c r="F2340" s="4" t="s">
        <v>1166</v>
      </c>
      <c r="G2340" s="4" t="s">
        <v>1167</v>
      </c>
    </row>
    <row r="2341" spans="1:7" ht="15.75" customHeight="1">
      <c r="A2341" s="5">
        <v>247478107</v>
      </c>
      <c r="B2341" s="6" t="s">
        <v>6928</v>
      </c>
      <c r="C2341" s="5" t="s">
        <v>6929</v>
      </c>
      <c r="D2341" s="5" t="s">
        <v>6930</v>
      </c>
      <c r="E2341" s="5" t="s">
        <v>6931</v>
      </c>
      <c r="F2341" s="6" t="s">
        <v>1096</v>
      </c>
      <c r="G2341" s="6" t="s">
        <v>1097</v>
      </c>
    </row>
    <row r="2342" spans="1:7" ht="15.75" customHeight="1">
      <c r="A2342" s="3">
        <v>247481454</v>
      </c>
      <c r="B2342" s="4" t="s">
        <v>6932</v>
      </c>
      <c r="C2342" s="3" t="s">
        <v>6933</v>
      </c>
      <c r="D2342" s="3">
        <v>818069628318</v>
      </c>
      <c r="E2342" s="3" t="s">
        <v>6934</v>
      </c>
      <c r="F2342" s="4" t="s">
        <v>1096</v>
      </c>
      <c r="G2342" s="4" t="s">
        <v>1097</v>
      </c>
    </row>
    <row r="2343" spans="1:7" ht="15.75" customHeight="1">
      <c r="A2343" s="5">
        <v>246397495</v>
      </c>
      <c r="B2343" s="6" t="s">
        <v>6276</v>
      </c>
      <c r="C2343" s="5" t="s">
        <v>6277</v>
      </c>
      <c r="D2343" s="5" t="s">
        <v>6278</v>
      </c>
      <c r="E2343" s="5" t="s">
        <v>6935</v>
      </c>
      <c r="F2343" s="6" t="s">
        <v>1096</v>
      </c>
      <c r="G2343" s="6" t="s">
        <v>1097</v>
      </c>
    </row>
    <row r="2344" spans="1:7" ht="15.75" customHeight="1">
      <c r="A2344" s="3">
        <v>246615501</v>
      </c>
      <c r="B2344" s="4" t="s">
        <v>6581</v>
      </c>
      <c r="C2344" s="3" t="s">
        <v>6582</v>
      </c>
      <c r="D2344" s="3" t="s">
        <v>6583</v>
      </c>
      <c r="E2344" s="3" t="s">
        <v>6936</v>
      </c>
      <c r="F2344" s="4" t="s">
        <v>1096</v>
      </c>
      <c r="G2344" s="4" t="s">
        <v>1097</v>
      </c>
    </row>
    <row r="2345" spans="1:7" ht="15.75" customHeight="1">
      <c r="A2345" s="5">
        <v>246615501</v>
      </c>
      <c r="B2345" s="6" t="s">
        <v>6581</v>
      </c>
      <c r="C2345" s="5" t="s">
        <v>6582</v>
      </c>
      <c r="D2345" s="5" t="s">
        <v>6583</v>
      </c>
      <c r="E2345" s="5" t="s">
        <v>6937</v>
      </c>
      <c r="F2345" s="6" t="s">
        <v>1067</v>
      </c>
      <c r="G2345" s="6" t="s">
        <v>1068</v>
      </c>
    </row>
    <row r="2346" spans="1:7" ht="15.75" customHeight="1">
      <c r="A2346" s="3">
        <v>247504273</v>
      </c>
      <c r="B2346" s="4" t="s">
        <v>6938</v>
      </c>
      <c r="C2346" s="3" t="s">
        <v>6939</v>
      </c>
      <c r="D2346" s="3" t="s">
        <v>6940</v>
      </c>
      <c r="E2346" s="3" t="s">
        <v>6941</v>
      </c>
      <c r="F2346" s="4" t="s">
        <v>1096</v>
      </c>
      <c r="G2346" s="4" t="s">
        <v>1097</v>
      </c>
    </row>
    <row r="2347" spans="1:7" ht="15.75" customHeight="1">
      <c r="A2347" s="5">
        <v>247511490</v>
      </c>
      <c r="B2347" s="6" t="s">
        <v>6942</v>
      </c>
      <c r="C2347" s="5" t="s">
        <v>6943</v>
      </c>
      <c r="D2347" s="5" t="s">
        <v>6944</v>
      </c>
      <c r="E2347" s="5" t="s">
        <v>6945</v>
      </c>
      <c r="F2347" s="6" t="s">
        <v>1096</v>
      </c>
      <c r="G2347" s="6" t="s">
        <v>1097</v>
      </c>
    </row>
    <row r="2348" spans="1:7" ht="15.75" customHeight="1">
      <c r="A2348" s="3">
        <v>247513404</v>
      </c>
      <c r="B2348" s="4" t="s">
        <v>6946</v>
      </c>
      <c r="C2348" s="3" t="s">
        <v>6947</v>
      </c>
      <c r="D2348" s="3" t="s">
        <v>6948</v>
      </c>
      <c r="E2348" s="3" t="s">
        <v>6949</v>
      </c>
      <c r="F2348" s="4" t="s">
        <v>1124</v>
      </c>
      <c r="G2348" s="4" t="s">
        <v>1048</v>
      </c>
    </row>
    <row r="2349" spans="1:7" ht="15.75" customHeight="1">
      <c r="A2349" s="5">
        <v>247514048</v>
      </c>
      <c r="B2349" s="6" t="s">
        <v>6950</v>
      </c>
      <c r="C2349" s="5" t="s">
        <v>6951</v>
      </c>
      <c r="D2349" s="5">
        <v>79185335373</v>
      </c>
      <c r="E2349" s="5" t="s">
        <v>6952</v>
      </c>
      <c r="F2349" s="6" t="s">
        <v>1096</v>
      </c>
      <c r="G2349" s="6" t="s">
        <v>1097</v>
      </c>
    </row>
    <row r="2350" spans="1:7" ht="15.75" customHeight="1">
      <c r="A2350" s="3">
        <v>246630313</v>
      </c>
      <c r="B2350" s="4" t="s">
        <v>6594</v>
      </c>
      <c r="C2350" s="3" t="s">
        <v>6595</v>
      </c>
      <c r="D2350" s="3">
        <v>79270892210</v>
      </c>
      <c r="E2350" s="3" t="s">
        <v>6953</v>
      </c>
      <c r="F2350" s="4" t="s">
        <v>1096</v>
      </c>
      <c r="G2350" s="4" t="s">
        <v>1097</v>
      </c>
    </row>
    <row r="2351" spans="1:7" ht="15.75" customHeight="1">
      <c r="A2351" s="5">
        <v>247519918</v>
      </c>
      <c r="B2351" s="6" t="s">
        <v>6954</v>
      </c>
      <c r="C2351" s="5" t="s">
        <v>6955</v>
      </c>
      <c r="D2351" s="5" t="s">
        <v>6956</v>
      </c>
      <c r="E2351" s="5" t="s">
        <v>6957</v>
      </c>
      <c r="F2351" s="6" t="s">
        <v>1096</v>
      </c>
      <c r="G2351" s="6" t="s">
        <v>1097</v>
      </c>
    </row>
    <row r="2352" spans="1:7" ht="15.75" customHeight="1">
      <c r="A2352" s="3">
        <v>247520299</v>
      </c>
      <c r="B2352" s="4" t="s">
        <v>6958</v>
      </c>
      <c r="C2352" s="3" t="s">
        <v>6959</v>
      </c>
      <c r="D2352" s="3" t="s">
        <v>6960</v>
      </c>
      <c r="E2352" s="3" t="s">
        <v>6961</v>
      </c>
      <c r="F2352" s="4" t="s">
        <v>1096</v>
      </c>
      <c r="G2352" s="4" t="s">
        <v>1097</v>
      </c>
    </row>
    <row r="2353" spans="1:7" ht="15.75" customHeight="1">
      <c r="A2353" s="5">
        <v>247525364</v>
      </c>
      <c r="B2353" s="6" t="s">
        <v>6962</v>
      </c>
      <c r="C2353" s="5" t="s">
        <v>6963</v>
      </c>
      <c r="D2353" s="5">
        <v>79633303744</v>
      </c>
      <c r="E2353" s="5" t="s">
        <v>6964</v>
      </c>
      <c r="F2353" s="6" t="s">
        <v>1096</v>
      </c>
      <c r="G2353" s="6" t="s">
        <v>1097</v>
      </c>
    </row>
    <row r="2354" spans="1:7" ht="15.75" customHeight="1">
      <c r="A2354" s="3">
        <v>247537705</v>
      </c>
      <c r="B2354" s="4" t="s">
        <v>6965</v>
      </c>
      <c r="C2354" s="3" t="s">
        <v>6966</v>
      </c>
      <c r="D2354" s="3" t="s">
        <v>6967</v>
      </c>
      <c r="E2354" s="3" t="s">
        <v>6968</v>
      </c>
      <c r="F2354" s="4" t="s">
        <v>1096</v>
      </c>
      <c r="G2354" s="4" t="s">
        <v>1097</v>
      </c>
    </row>
    <row r="2355" spans="1:7" ht="15.75" customHeight="1">
      <c r="A2355" s="5">
        <v>247538529</v>
      </c>
      <c r="B2355" s="6" t="s">
        <v>6969</v>
      </c>
      <c r="C2355" s="5" t="s">
        <v>6970</v>
      </c>
      <c r="D2355" s="5"/>
      <c r="E2355" s="5" t="s">
        <v>6971</v>
      </c>
      <c r="F2355" s="6" t="s">
        <v>1166</v>
      </c>
      <c r="G2355" s="6" t="s">
        <v>1167</v>
      </c>
    </row>
    <row r="2356" spans="1:7" ht="15.75" customHeight="1">
      <c r="A2356" s="3">
        <v>246447868</v>
      </c>
      <c r="B2356" s="4" t="s">
        <v>6336</v>
      </c>
      <c r="C2356" s="3" t="s">
        <v>6337</v>
      </c>
      <c r="D2356" s="3">
        <v>8917352754</v>
      </c>
      <c r="E2356" s="3" t="s">
        <v>6972</v>
      </c>
      <c r="F2356" s="4" t="s">
        <v>1096</v>
      </c>
      <c r="G2356" s="4" t="s">
        <v>1097</v>
      </c>
    </row>
    <row r="2357" spans="1:7" ht="15.75" customHeight="1">
      <c r="A2357" s="5">
        <v>247157442</v>
      </c>
      <c r="B2357" s="6" t="s">
        <v>6768</v>
      </c>
      <c r="C2357" s="5" t="s">
        <v>6769</v>
      </c>
      <c r="D2357" s="5" t="s">
        <v>6770</v>
      </c>
      <c r="E2357" s="5" t="s">
        <v>6973</v>
      </c>
      <c r="F2357" s="6" t="s">
        <v>1166</v>
      </c>
      <c r="G2357" s="6" t="s">
        <v>1167</v>
      </c>
    </row>
    <row r="2358" spans="1:7" ht="15.75" customHeight="1">
      <c r="A2358" s="3">
        <v>247606890</v>
      </c>
      <c r="B2358" s="4" t="s">
        <v>6974</v>
      </c>
      <c r="C2358" s="3" t="s">
        <v>6975</v>
      </c>
      <c r="D2358" s="3" t="s">
        <v>6976</v>
      </c>
      <c r="E2358" s="3" t="s">
        <v>6977</v>
      </c>
      <c r="F2358" s="4" t="s">
        <v>1124</v>
      </c>
      <c r="G2358" s="4" t="s">
        <v>1048</v>
      </c>
    </row>
    <row r="2359" spans="1:7" ht="15.75" customHeight="1">
      <c r="A2359" s="5">
        <v>247608130</v>
      </c>
      <c r="B2359" s="6" t="s">
        <v>6978</v>
      </c>
      <c r="C2359" s="5" t="s">
        <v>6979</v>
      </c>
      <c r="D2359" s="5" t="s">
        <v>6980</v>
      </c>
      <c r="E2359" s="5" t="s">
        <v>6981</v>
      </c>
      <c r="F2359" s="6" t="s">
        <v>960</v>
      </c>
      <c r="G2359" s="6" t="s">
        <v>961</v>
      </c>
    </row>
    <row r="2360" spans="1:7" ht="15.75" customHeight="1">
      <c r="A2360" s="3">
        <v>247624941</v>
      </c>
      <c r="B2360" s="4" t="s">
        <v>6982</v>
      </c>
      <c r="C2360" s="3" t="s">
        <v>6983</v>
      </c>
      <c r="D2360" s="3">
        <v>79245110238</v>
      </c>
      <c r="E2360" s="3" t="s">
        <v>6984</v>
      </c>
      <c r="F2360" s="4" t="s">
        <v>1484</v>
      </c>
      <c r="G2360" s="4" t="s">
        <v>1485</v>
      </c>
    </row>
    <row r="2361" spans="1:7" ht="15.75" customHeight="1">
      <c r="A2361" s="5">
        <v>247629374</v>
      </c>
      <c r="B2361" s="6" t="s">
        <v>6985</v>
      </c>
      <c r="C2361" s="5" t="s">
        <v>6986</v>
      </c>
      <c r="D2361" s="5" t="s">
        <v>6987</v>
      </c>
      <c r="E2361" s="5" t="s">
        <v>6988</v>
      </c>
      <c r="F2361" s="6" t="s">
        <v>1096</v>
      </c>
      <c r="G2361" s="6" t="s">
        <v>1097</v>
      </c>
    </row>
    <row r="2362" spans="1:7" ht="15.75" customHeight="1">
      <c r="A2362" s="3">
        <v>247653674</v>
      </c>
      <c r="B2362" s="4" t="s">
        <v>6989</v>
      </c>
      <c r="C2362" s="3" t="s">
        <v>6990</v>
      </c>
      <c r="D2362" s="3">
        <v>79099993600</v>
      </c>
      <c r="E2362" s="3" t="s">
        <v>6991</v>
      </c>
      <c r="F2362" s="4" t="s">
        <v>1124</v>
      </c>
      <c r="G2362" s="4" t="s">
        <v>1048</v>
      </c>
    </row>
    <row r="2363" spans="1:7" ht="15.75" customHeight="1">
      <c r="A2363" s="5">
        <v>247654485</v>
      </c>
      <c r="B2363" s="6" t="s">
        <v>6992</v>
      </c>
      <c r="C2363" s="5" t="s">
        <v>6993</v>
      </c>
      <c r="D2363" s="5" t="s">
        <v>6994</v>
      </c>
      <c r="E2363" s="5" t="s">
        <v>6995</v>
      </c>
      <c r="F2363" s="6" t="s">
        <v>936</v>
      </c>
      <c r="G2363" s="6" t="s">
        <v>937</v>
      </c>
    </row>
    <row r="2364" spans="1:7" ht="15.75" customHeight="1">
      <c r="A2364" s="3">
        <v>246447868</v>
      </c>
      <c r="B2364" s="4" t="s">
        <v>6336</v>
      </c>
      <c r="C2364" s="3" t="s">
        <v>6337</v>
      </c>
      <c r="D2364" s="3">
        <v>8917352754</v>
      </c>
      <c r="E2364" s="3" t="s">
        <v>6996</v>
      </c>
      <c r="F2364" s="4" t="s">
        <v>960</v>
      </c>
      <c r="G2364" s="4" t="s">
        <v>961</v>
      </c>
    </row>
    <row r="2365" spans="1:7" ht="15.75" customHeight="1">
      <c r="A2365" s="5">
        <v>247674657</v>
      </c>
      <c r="B2365" s="6" t="s">
        <v>6997</v>
      </c>
      <c r="C2365" s="5" t="s">
        <v>6998</v>
      </c>
      <c r="D2365" s="5" t="s">
        <v>6999</v>
      </c>
      <c r="E2365" s="5" t="s">
        <v>7000</v>
      </c>
      <c r="F2365" s="6" t="s">
        <v>1096</v>
      </c>
      <c r="G2365" s="6" t="s">
        <v>1097</v>
      </c>
    </row>
    <row r="2366" spans="1:7" ht="15.75" customHeight="1">
      <c r="A2366" s="3">
        <v>247730346</v>
      </c>
      <c r="B2366" s="4" t="s">
        <v>7001</v>
      </c>
      <c r="C2366" s="3" t="s">
        <v>7002</v>
      </c>
      <c r="D2366" s="3" t="s">
        <v>7003</v>
      </c>
      <c r="E2366" s="3" t="s">
        <v>7004</v>
      </c>
      <c r="F2366" s="4" t="s">
        <v>1132</v>
      </c>
      <c r="G2366" s="4" t="s">
        <v>1048</v>
      </c>
    </row>
    <row r="2367" spans="1:7" ht="15.75" customHeight="1">
      <c r="A2367" s="5">
        <v>247731346</v>
      </c>
      <c r="B2367" s="6" t="s">
        <v>7005</v>
      </c>
      <c r="C2367" s="5" t="s">
        <v>7006</v>
      </c>
      <c r="D2367" s="5" t="s">
        <v>7007</v>
      </c>
      <c r="E2367" s="5" t="s">
        <v>7008</v>
      </c>
      <c r="F2367" s="6" t="s">
        <v>1096</v>
      </c>
      <c r="G2367" s="6" t="s">
        <v>1097</v>
      </c>
    </row>
    <row r="2368" spans="1:7" ht="15.75" customHeight="1">
      <c r="A2368" s="3">
        <v>247730346</v>
      </c>
      <c r="B2368" s="4" t="s">
        <v>7001</v>
      </c>
      <c r="C2368" s="3" t="s">
        <v>7002</v>
      </c>
      <c r="D2368" s="3" t="s">
        <v>7003</v>
      </c>
      <c r="E2368" s="3" t="s">
        <v>7009</v>
      </c>
      <c r="F2368" s="4" t="s">
        <v>1067</v>
      </c>
      <c r="G2368" s="4" t="s">
        <v>1068</v>
      </c>
    </row>
    <row r="2369" spans="1:7" ht="15.75" customHeight="1">
      <c r="A2369" s="5">
        <v>247738305</v>
      </c>
      <c r="B2369" s="6" t="s">
        <v>7010</v>
      </c>
      <c r="C2369" s="5" t="s">
        <v>7011</v>
      </c>
      <c r="D2369" s="5" t="s">
        <v>7012</v>
      </c>
      <c r="E2369" s="5" t="s">
        <v>7013</v>
      </c>
      <c r="F2369" s="6" t="s">
        <v>1132</v>
      </c>
      <c r="G2369" s="6" t="s">
        <v>1048</v>
      </c>
    </row>
    <row r="2370" spans="1:7" ht="15.75" customHeight="1">
      <c r="A2370" s="3">
        <v>247738305</v>
      </c>
      <c r="B2370" s="4" t="s">
        <v>7010</v>
      </c>
      <c r="C2370" s="3" t="s">
        <v>7011</v>
      </c>
      <c r="D2370" s="3" t="s">
        <v>7012</v>
      </c>
      <c r="E2370" s="3" t="s">
        <v>7014</v>
      </c>
      <c r="F2370" s="4" t="s">
        <v>1166</v>
      </c>
      <c r="G2370" s="4" t="s">
        <v>1167</v>
      </c>
    </row>
    <row r="2371" spans="1:7" ht="15.75" customHeight="1">
      <c r="A2371" s="5">
        <v>247754878</v>
      </c>
      <c r="B2371" s="6" t="s">
        <v>7015</v>
      </c>
      <c r="C2371" s="5" t="s">
        <v>7016</v>
      </c>
      <c r="D2371" s="5" t="s">
        <v>7017</v>
      </c>
      <c r="E2371" s="5" t="s">
        <v>7018</v>
      </c>
      <c r="F2371" s="6" t="s">
        <v>1126</v>
      </c>
      <c r="G2371" s="6" t="s">
        <v>1127</v>
      </c>
    </row>
    <row r="2372" spans="1:7" ht="15.75" customHeight="1">
      <c r="A2372" s="3">
        <v>247759668</v>
      </c>
      <c r="B2372" s="4" t="s">
        <v>7019</v>
      </c>
      <c r="C2372" s="3" t="s">
        <v>7020</v>
      </c>
      <c r="D2372" s="3" t="s">
        <v>7021</v>
      </c>
      <c r="E2372" s="3" t="s">
        <v>7022</v>
      </c>
      <c r="F2372" s="4" t="s">
        <v>1126</v>
      </c>
      <c r="G2372" s="4" t="s">
        <v>1127</v>
      </c>
    </row>
    <row r="2373" spans="1:7" ht="15.75" customHeight="1">
      <c r="A2373" s="5">
        <v>247783766</v>
      </c>
      <c r="B2373" s="6" t="s">
        <v>7023</v>
      </c>
      <c r="C2373" s="5" t="s">
        <v>7024</v>
      </c>
      <c r="D2373" s="5" t="s">
        <v>7025</v>
      </c>
      <c r="E2373" s="5" t="s">
        <v>7026</v>
      </c>
      <c r="F2373" s="6" t="s">
        <v>1124</v>
      </c>
      <c r="G2373" s="6" t="s">
        <v>1048</v>
      </c>
    </row>
    <row r="2374" spans="1:7" ht="15.75" customHeight="1">
      <c r="A2374" s="3">
        <v>247624941</v>
      </c>
      <c r="B2374" s="4" t="s">
        <v>6982</v>
      </c>
      <c r="C2374" s="3" t="s">
        <v>6983</v>
      </c>
      <c r="D2374" s="3">
        <v>79245110238</v>
      </c>
      <c r="E2374" s="3" t="s">
        <v>7027</v>
      </c>
      <c r="F2374" s="4" t="s">
        <v>1484</v>
      </c>
      <c r="G2374" s="4" t="s">
        <v>1485</v>
      </c>
    </row>
    <row r="2375" spans="1:7" ht="15.75" customHeight="1">
      <c r="A2375" s="5">
        <v>247872744</v>
      </c>
      <c r="B2375" s="6" t="s">
        <v>7028</v>
      </c>
      <c r="C2375" s="5" t="s">
        <v>7029</v>
      </c>
      <c r="D2375" s="5" t="s">
        <v>7030</v>
      </c>
      <c r="E2375" s="5" t="s">
        <v>7031</v>
      </c>
      <c r="F2375" s="6" t="s">
        <v>1124</v>
      </c>
      <c r="G2375" s="6" t="s">
        <v>1048</v>
      </c>
    </row>
    <row r="2376" spans="1:7" ht="15.75" customHeight="1">
      <c r="A2376" s="3">
        <v>247876402</v>
      </c>
      <c r="B2376" s="4" t="s">
        <v>7032</v>
      </c>
      <c r="C2376" s="3" t="s">
        <v>7033</v>
      </c>
      <c r="D2376" s="3" t="s">
        <v>7034</v>
      </c>
      <c r="E2376" s="3" t="s">
        <v>7035</v>
      </c>
      <c r="F2376" s="4" t="s">
        <v>1124</v>
      </c>
      <c r="G2376" s="4" t="s">
        <v>1048</v>
      </c>
    </row>
    <row r="2377" spans="1:7" ht="15.75" customHeight="1">
      <c r="A2377" s="5">
        <v>247901280</v>
      </c>
      <c r="B2377" s="6" t="s">
        <v>7036</v>
      </c>
      <c r="C2377" s="5" t="s">
        <v>7037</v>
      </c>
      <c r="D2377" s="5">
        <v>79133302729</v>
      </c>
      <c r="E2377" s="5" t="s">
        <v>7038</v>
      </c>
      <c r="F2377" s="6" t="s">
        <v>1126</v>
      </c>
      <c r="G2377" s="6" t="s">
        <v>1127</v>
      </c>
    </row>
    <row r="2378" spans="1:7" ht="15.75" customHeight="1">
      <c r="A2378" s="3">
        <v>247923442</v>
      </c>
      <c r="B2378" s="4" t="s">
        <v>7039</v>
      </c>
      <c r="C2378" s="3" t="s">
        <v>7040</v>
      </c>
      <c r="D2378" s="3">
        <v>79185971234</v>
      </c>
      <c r="E2378" s="3" t="s">
        <v>7041</v>
      </c>
      <c r="F2378" s="4" t="s">
        <v>1096</v>
      </c>
      <c r="G2378" s="4" t="s">
        <v>1097</v>
      </c>
    </row>
    <row r="2379" spans="1:7" ht="15.75" customHeight="1">
      <c r="A2379" s="5">
        <v>247930423</v>
      </c>
      <c r="B2379" s="6" t="s">
        <v>7042</v>
      </c>
      <c r="C2379" s="5" t="s">
        <v>7043</v>
      </c>
      <c r="D2379" s="5" t="s">
        <v>7044</v>
      </c>
      <c r="E2379" s="5" t="s">
        <v>7045</v>
      </c>
      <c r="F2379" s="6" t="s">
        <v>1096</v>
      </c>
      <c r="G2379" s="6" t="s">
        <v>1097</v>
      </c>
    </row>
    <row r="2380" spans="1:7" ht="15.75" customHeight="1">
      <c r="A2380" s="3">
        <v>247937273</v>
      </c>
      <c r="B2380" s="4" t="s">
        <v>7046</v>
      </c>
      <c r="C2380" s="3" t="s">
        <v>7047</v>
      </c>
      <c r="D2380" s="3" t="s">
        <v>7048</v>
      </c>
      <c r="E2380" s="3" t="s">
        <v>7049</v>
      </c>
      <c r="F2380" s="4" t="s">
        <v>936</v>
      </c>
      <c r="G2380" s="4" t="s">
        <v>937</v>
      </c>
    </row>
    <row r="2381" spans="1:7" ht="15.75" customHeight="1">
      <c r="A2381" s="5">
        <v>247955013</v>
      </c>
      <c r="B2381" s="6" t="s">
        <v>7050</v>
      </c>
      <c r="C2381" s="5" t="s">
        <v>7051</v>
      </c>
      <c r="D2381" s="5" t="s">
        <v>7052</v>
      </c>
      <c r="E2381" s="5" t="s">
        <v>7053</v>
      </c>
      <c r="F2381" s="6" t="s">
        <v>1067</v>
      </c>
      <c r="G2381" s="6" t="s">
        <v>1068</v>
      </c>
    </row>
    <row r="2382" spans="1:7" ht="15.75" customHeight="1">
      <c r="A2382" s="3">
        <v>246467037</v>
      </c>
      <c r="B2382" s="4" t="s">
        <v>6390</v>
      </c>
      <c r="C2382" s="3" t="s">
        <v>6391</v>
      </c>
      <c r="D2382" s="3">
        <v>79150953355</v>
      </c>
      <c r="E2382" s="3" t="s">
        <v>7054</v>
      </c>
      <c r="F2382" s="4" t="s">
        <v>1124</v>
      </c>
      <c r="G2382" s="4" t="s">
        <v>1048</v>
      </c>
    </row>
    <row r="2383" spans="1:7" ht="15.75" customHeight="1">
      <c r="A2383" s="5">
        <v>247975298</v>
      </c>
      <c r="B2383" s="6" t="s">
        <v>7055</v>
      </c>
      <c r="C2383" s="5" t="s">
        <v>7056</v>
      </c>
      <c r="D2383" s="5">
        <v>79296623555</v>
      </c>
      <c r="E2383" s="5" t="s">
        <v>7057</v>
      </c>
      <c r="F2383" s="6" t="s">
        <v>1124</v>
      </c>
      <c r="G2383" s="6" t="s">
        <v>1048</v>
      </c>
    </row>
    <row r="2384" spans="1:7" ht="15.75" customHeight="1">
      <c r="A2384" s="3">
        <v>248062140</v>
      </c>
      <c r="B2384" s="4" t="s">
        <v>7058</v>
      </c>
      <c r="C2384" s="3" t="s">
        <v>7059</v>
      </c>
      <c r="D2384" s="3" t="s">
        <v>7060</v>
      </c>
      <c r="E2384" s="3" t="s">
        <v>7061</v>
      </c>
      <c r="F2384" s="4" t="s">
        <v>1166</v>
      </c>
      <c r="G2384" s="4" t="s">
        <v>1167</v>
      </c>
    </row>
    <row r="2385" spans="1:7" ht="15.75" customHeight="1">
      <c r="A2385" s="5">
        <v>248069857</v>
      </c>
      <c r="B2385" s="6" t="s">
        <v>7062</v>
      </c>
      <c r="C2385" s="5" t="s">
        <v>7063</v>
      </c>
      <c r="D2385" s="5"/>
      <c r="E2385" s="5" t="s">
        <v>7064</v>
      </c>
      <c r="F2385" s="6" t="s">
        <v>1166</v>
      </c>
      <c r="G2385" s="6" t="s">
        <v>1167</v>
      </c>
    </row>
    <row r="2386" spans="1:7" ht="15.75" customHeight="1">
      <c r="A2386" s="3">
        <v>248075528</v>
      </c>
      <c r="B2386" s="4" t="s">
        <v>7065</v>
      </c>
      <c r="C2386" s="3" t="s">
        <v>7066</v>
      </c>
      <c r="D2386" s="3"/>
      <c r="E2386" s="3" t="s">
        <v>7067</v>
      </c>
      <c r="F2386" s="4" t="s">
        <v>1166</v>
      </c>
      <c r="G2386" s="4" t="s">
        <v>1167</v>
      </c>
    </row>
    <row r="2387" spans="1:7" ht="15.75" customHeight="1">
      <c r="A2387" s="5">
        <v>248075528</v>
      </c>
      <c r="B2387" s="6" t="s">
        <v>7065</v>
      </c>
      <c r="C2387" s="5" t="s">
        <v>7066</v>
      </c>
      <c r="D2387" s="5"/>
      <c r="E2387" s="5" t="s">
        <v>7068</v>
      </c>
      <c r="F2387" s="6" t="s">
        <v>1166</v>
      </c>
      <c r="G2387" s="6" t="s">
        <v>1167</v>
      </c>
    </row>
    <row r="2388" spans="1:7" ht="15.75" customHeight="1">
      <c r="A2388" s="3">
        <v>248092104</v>
      </c>
      <c r="B2388" s="4" t="s">
        <v>7069</v>
      </c>
      <c r="C2388" s="3" t="s">
        <v>7070</v>
      </c>
      <c r="D2388" s="3"/>
      <c r="E2388" s="3" t="s">
        <v>7071</v>
      </c>
      <c r="F2388" s="4" t="s">
        <v>1166</v>
      </c>
      <c r="G2388" s="4" t="s">
        <v>1167</v>
      </c>
    </row>
    <row r="2389" spans="1:7" ht="15.75" customHeight="1">
      <c r="A2389" s="5">
        <v>248138020</v>
      </c>
      <c r="B2389" s="6" t="s">
        <v>7072</v>
      </c>
      <c r="C2389" s="5" t="s">
        <v>7073</v>
      </c>
      <c r="D2389" s="5"/>
      <c r="E2389" s="5" t="s">
        <v>7074</v>
      </c>
      <c r="F2389" s="6" t="s">
        <v>1166</v>
      </c>
      <c r="G2389" s="6" t="s">
        <v>1167</v>
      </c>
    </row>
    <row r="2390" spans="1:7" ht="15.75" customHeight="1">
      <c r="A2390" s="3">
        <v>248138300</v>
      </c>
      <c r="B2390" s="4" t="s">
        <v>7075</v>
      </c>
      <c r="C2390" s="3" t="s">
        <v>7076</v>
      </c>
      <c r="D2390" s="3" t="s">
        <v>7077</v>
      </c>
      <c r="E2390" s="3" t="s">
        <v>7078</v>
      </c>
      <c r="F2390" s="4" t="s">
        <v>1132</v>
      </c>
      <c r="G2390" s="4" t="s">
        <v>1048</v>
      </c>
    </row>
    <row r="2391" spans="1:7" ht="15.75" customHeight="1">
      <c r="A2391" s="5">
        <v>248152395</v>
      </c>
      <c r="B2391" s="6" t="s">
        <v>7079</v>
      </c>
      <c r="C2391" s="5" t="s">
        <v>7080</v>
      </c>
      <c r="D2391" s="5">
        <v>79111362441</v>
      </c>
      <c r="E2391" s="5" t="s">
        <v>7081</v>
      </c>
      <c r="F2391" s="6" t="s">
        <v>7082</v>
      </c>
      <c r="G2391" s="6" t="s">
        <v>7083</v>
      </c>
    </row>
    <row r="2392" spans="1:7" ht="15.75" customHeight="1">
      <c r="A2392" s="3">
        <v>248160438</v>
      </c>
      <c r="B2392" s="4" t="s">
        <v>7084</v>
      </c>
      <c r="C2392" s="3" t="s">
        <v>7085</v>
      </c>
      <c r="D2392" s="3" t="s">
        <v>7086</v>
      </c>
      <c r="E2392" s="3" t="s">
        <v>7087</v>
      </c>
      <c r="F2392" s="4" t="s">
        <v>1484</v>
      </c>
      <c r="G2392" s="4" t="s">
        <v>1485</v>
      </c>
    </row>
    <row r="2393" spans="1:7" ht="15.75" customHeight="1">
      <c r="A2393" s="5">
        <v>248160728</v>
      </c>
      <c r="B2393" s="6" t="s">
        <v>7088</v>
      </c>
      <c r="C2393" s="5" t="s">
        <v>7089</v>
      </c>
      <c r="D2393" s="5"/>
      <c r="E2393" s="5" t="s">
        <v>7090</v>
      </c>
      <c r="F2393" s="6" t="s">
        <v>1166</v>
      </c>
      <c r="G2393" s="6" t="s">
        <v>1167</v>
      </c>
    </row>
    <row r="2394" spans="1:7" ht="15.75" customHeight="1">
      <c r="A2394" s="3">
        <v>247901280</v>
      </c>
      <c r="B2394" s="4" t="s">
        <v>7036</v>
      </c>
      <c r="C2394" s="3" t="s">
        <v>7037</v>
      </c>
      <c r="D2394" s="3">
        <v>79133302729</v>
      </c>
      <c r="E2394" s="3" t="s">
        <v>7091</v>
      </c>
      <c r="F2394" s="4" t="s">
        <v>7082</v>
      </c>
      <c r="G2394" s="4" t="s">
        <v>7083</v>
      </c>
    </row>
    <row r="2395" spans="1:7" ht="15.75" customHeight="1">
      <c r="A2395" s="5">
        <v>248176792</v>
      </c>
      <c r="B2395" s="6" t="s">
        <v>7092</v>
      </c>
      <c r="C2395" s="5" t="s">
        <v>7093</v>
      </c>
      <c r="D2395" s="5"/>
      <c r="E2395" s="5" t="s">
        <v>7094</v>
      </c>
      <c r="F2395" s="6" t="s">
        <v>1166</v>
      </c>
      <c r="G2395" s="6" t="s">
        <v>1167</v>
      </c>
    </row>
    <row r="2396" spans="1:7" ht="15.75" customHeight="1">
      <c r="A2396" s="3">
        <v>248181930</v>
      </c>
      <c r="B2396" s="4" t="s">
        <v>7095</v>
      </c>
      <c r="C2396" s="3" t="s">
        <v>7096</v>
      </c>
      <c r="D2396" s="3"/>
      <c r="E2396" s="3" t="s">
        <v>7097</v>
      </c>
      <c r="F2396" s="4" t="s">
        <v>1166</v>
      </c>
      <c r="G2396" s="4" t="s">
        <v>1167</v>
      </c>
    </row>
    <row r="2397" spans="1:7" ht="15.75" customHeight="1">
      <c r="A2397" s="5">
        <v>248206353</v>
      </c>
      <c r="B2397" s="6" t="s">
        <v>7098</v>
      </c>
      <c r="C2397" s="5" t="s">
        <v>7099</v>
      </c>
      <c r="D2397" s="5"/>
      <c r="E2397" s="5" t="s">
        <v>7100</v>
      </c>
      <c r="F2397" s="6" t="s">
        <v>1166</v>
      </c>
      <c r="G2397" s="6" t="s">
        <v>1167</v>
      </c>
    </row>
    <row r="2398" spans="1:7" ht="15.75" customHeight="1">
      <c r="A2398" s="3">
        <v>248207481</v>
      </c>
      <c r="B2398" s="4" t="s">
        <v>7101</v>
      </c>
      <c r="C2398" s="3" t="s">
        <v>7102</v>
      </c>
      <c r="D2398" s="3"/>
      <c r="E2398" s="3" t="s">
        <v>7103</v>
      </c>
      <c r="F2398" s="4" t="s">
        <v>1166</v>
      </c>
      <c r="G2398" s="4" t="s">
        <v>1167</v>
      </c>
    </row>
    <row r="2399" spans="1:7" ht="15.75" customHeight="1">
      <c r="A2399" s="5">
        <v>248210729</v>
      </c>
      <c r="B2399" s="6" t="s">
        <v>7104</v>
      </c>
      <c r="C2399" s="5" t="s">
        <v>7105</v>
      </c>
      <c r="D2399" s="5" t="s">
        <v>7106</v>
      </c>
      <c r="E2399" s="5" t="s">
        <v>7107</v>
      </c>
      <c r="F2399" s="6" t="s">
        <v>1096</v>
      </c>
      <c r="G2399" s="6" t="s">
        <v>1097</v>
      </c>
    </row>
    <row r="2400" spans="1:7" ht="15.75" customHeight="1">
      <c r="A2400" s="3">
        <v>248216815</v>
      </c>
      <c r="B2400" s="4" t="s">
        <v>7108</v>
      </c>
      <c r="C2400" s="3" t="s">
        <v>7109</v>
      </c>
      <c r="D2400" s="3"/>
      <c r="E2400" s="3" t="s">
        <v>7110</v>
      </c>
      <c r="F2400" s="4" t="s">
        <v>1166</v>
      </c>
      <c r="G2400" s="4" t="s">
        <v>1167</v>
      </c>
    </row>
    <row r="2401" spans="1:7" ht="15.75" customHeight="1">
      <c r="A2401" s="5">
        <v>248220957</v>
      </c>
      <c r="B2401" s="6" t="s">
        <v>7111</v>
      </c>
      <c r="C2401" s="5" t="s">
        <v>7112</v>
      </c>
      <c r="D2401" s="5">
        <v>79000818980</v>
      </c>
      <c r="E2401" s="5" t="s">
        <v>7113</v>
      </c>
      <c r="F2401" s="6" t="s">
        <v>1166</v>
      </c>
      <c r="G2401" s="6" t="s">
        <v>1167</v>
      </c>
    </row>
    <row r="2402" spans="1:7" ht="15.75" customHeight="1">
      <c r="A2402" s="3">
        <v>248224078</v>
      </c>
      <c r="B2402" s="4" t="s">
        <v>7114</v>
      </c>
      <c r="C2402" s="3" t="s">
        <v>7115</v>
      </c>
      <c r="D2402" s="3">
        <v>79223636100</v>
      </c>
      <c r="E2402" s="3" t="s">
        <v>7116</v>
      </c>
      <c r="F2402" s="4" t="s">
        <v>2595</v>
      </c>
      <c r="G2402" s="4" t="s">
        <v>2596</v>
      </c>
    </row>
    <row r="2403" spans="1:7" ht="15.75" customHeight="1">
      <c r="A2403" s="5">
        <v>248242720</v>
      </c>
      <c r="B2403" s="6" t="s">
        <v>7117</v>
      </c>
      <c r="C2403" s="5" t="s">
        <v>7118</v>
      </c>
      <c r="D2403" s="5" t="s">
        <v>7119</v>
      </c>
      <c r="E2403" s="5" t="s">
        <v>7120</v>
      </c>
      <c r="F2403" s="6" t="s">
        <v>1124</v>
      </c>
      <c r="G2403" s="6" t="s">
        <v>1048</v>
      </c>
    </row>
    <row r="2404" spans="1:7" ht="15.75" customHeight="1">
      <c r="A2404" s="3">
        <v>248243237</v>
      </c>
      <c r="B2404" s="4" t="s">
        <v>7121</v>
      </c>
      <c r="C2404" s="3" t="s">
        <v>7122</v>
      </c>
      <c r="D2404" s="3">
        <v>79636048668</v>
      </c>
      <c r="E2404" s="3" t="s">
        <v>7123</v>
      </c>
      <c r="F2404" s="4" t="s">
        <v>1096</v>
      </c>
      <c r="G2404" s="4" t="s">
        <v>1097</v>
      </c>
    </row>
    <row r="2405" spans="1:7" ht="15.75" customHeight="1">
      <c r="A2405" s="5">
        <v>248254278</v>
      </c>
      <c r="B2405" s="6" t="s">
        <v>7124</v>
      </c>
      <c r="C2405" s="5" t="s">
        <v>7125</v>
      </c>
      <c r="D2405" s="5" t="s">
        <v>7126</v>
      </c>
      <c r="E2405" s="5" t="s">
        <v>7127</v>
      </c>
      <c r="F2405" s="6" t="s">
        <v>7082</v>
      </c>
      <c r="G2405" s="6" t="s">
        <v>7083</v>
      </c>
    </row>
    <row r="2406" spans="1:7" ht="15.75" customHeight="1">
      <c r="A2406" s="3">
        <v>248287573</v>
      </c>
      <c r="B2406" s="4" t="s">
        <v>7128</v>
      </c>
      <c r="C2406" s="3" t="s">
        <v>7129</v>
      </c>
      <c r="D2406" s="3">
        <v>79234928914</v>
      </c>
      <c r="E2406" s="3" t="s">
        <v>7130</v>
      </c>
      <c r="F2406" s="4" t="s">
        <v>1484</v>
      </c>
      <c r="G2406" s="4" t="s">
        <v>1485</v>
      </c>
    </row>
    <row r="2407" spans="1:7" ht="15.75" customHeight="1">
      <c r="A2407" s="5">
        <v>248307786</v>
      </c>
      <c r="B2407" s="6" t="s">
        <v>7131</v>
      </c>
      <c r="C2407" s="5" t="s">
        <v>7132</v>
      </c>
      <c r="D2407" s="5" t="s">
        <v>7133</v>
      </c>
      <c r="E2407" s="5" t="s">
        <v>7134</v>
      </c>
      <c r="F2407" s="6" t="s">
        <v>1166</v>
      </c>
      <c r="G2407" s="6" t="s">
        <v>1167</v>
      </c>
    </row>
    <row r="2408" spans="1:7" ht="15.75" customHeight="1">
      <c r="A2408" s="3">
        <v>248319859</v>
      </c>
      <c r="B2408" s="4" t="s">
        <v>7135</v>
      </c>
      <c r="C2408" s="3" t="s">
        <v>7136</v>
      </c>
      <c r="D2408" s="3">
        <v>79153802150</v>
      </c>
      <c r="E2408" s="3" t="s">
        <v>7137</v>
      </c>
      <c r="F2408" s="4" t="s">
        <v>1124</v>
      </c>
      <c r="G2408" s="4" t="s">
        <v>1048</v>
      </c>
    </row>
    <row r="2409" spans="1:7" ht="15.75" customHeight="1">
      <c r="A2409" s="5">
        <v>248331923</v>
      </c>
      <c r="B2409" s="6" t="s">
        <v>7138</v>
      </c>
      <c r="C2409" s="5" t="s">
        <v>7139</v>
      </c>
      <c r="D2409" s="5" t="s">
        <v>7140</v>
      </c>
      <c r="E2409" s="5" t="s">
        <v>7141</v>
      </c>
      <c r="F2409" s="6" t="s">
        <v>936</v>
      </c>
      <c r="G2409" s="6" t="s">
        <v>937</v>
      </c>
    </row>
    <row r="2410" spans="1:7" ht="15.75" customHeight="1">
      <c r="A2410" s="3">
        <v>248220957</v>
      </c>
      <c r="B2410" s="4" t="s">
        <v>7111</v>
      </c>
      <c r="C2410" s="3" t="s">
        <v>7112</v>
      </c>
      <c r="D2410" s="3">
        <v>79000818980</v>
      </c>
      <c r="E2410" s="3" t="s">
        <v>7142</v>
      </c>
      <c r="F2410" s="4" t="s">
        <v>1166</v>
      </c>
      <c r="G2410" s="4" t="s">
        <v>1167</v>
      </c>
    </row>
    <row r="2411" spans="1:7" ht="15.75" customHeight="1">
      <c r="A2411" s="5">
        <v>248399064</v>
      </c>
      <c r="B2411" s="6" t="s">
        <v>7143</v>
      </c>
      <c r="C2411" s="5" t="s">
        <v>7144</v>
      </c>
      <c r="D2411" s="5">
        <v>79004834292</v>
      </c>
      <c r="E2411" s="5" t="s">
        <v>7145</v>
      </c>
      <c r="F2411" s="6" t="s">
        <v>1124</v>
      </c>
      <c r="G2411" s="6" t="s">
        <v>1048</v>
      </c>
    </row>
    <row r="2412" spans="1:7" ht="15.75" customHeight="1">
      <c r="A2412" s="3">
        <v>248399887</v>
      </c>
      <c r="B2412" s="4" t="s">
        <v>7146</v>
      </c>
      <c r="C2412" s="3" t="s">
        <v>7147</v>
      </c>
      <c r="D2412" s="3" t="s">
        <v>7148</v>
      </c>
      <c r="E2412" s="3" t="s">
        <v>7149</v>
      </c>
      <c r="F2412" s="4" t="s">
        <v>1124</v>
      </c>
      <c r="G2412" s="4" t="s">
        <v>1048</v>
      </c>
    </row>
    <row r="2413" spans="1:7" ht="15.75" customHeight="1">
      <c r="A2413" s="5">
        <v>248160438</v>
      </c>
      <c r="B2413" s="6" t="s">
        <v>7084</v>
      </c>
      <c r="C2413" s="5" t="s">
        <v>7085</v>
      </c>
      <c r="D2413" s="5" t="s">
        <v>7086</v>
      </c>
      <c r="E2413" s="5" t="s">
        <v>7150</v>
      </c>
      <c r="F2413" s="6" t="s">
        <v>1120</v>
      </c>
      <c r="G2413" s="6" t="s">
        <v>1121</v>
      </c>
    </row>
    <row r="2414" spans="1:7" ht="15.75" customHeight="1">
      <c r="A2414" s="3">
        <v>246397495</v>
      </c>
      <c r="B2414" s="4" t="s">
        <v>6276</v>
      </c>
      <c r="C2414" s="3" t="s">
        <v>6277</v>
      </c>
      <c r="D2414" s="3" t="s">
        <v>6278</v>
      </c>
      <c r="E2414" s="3" t="s">
        <v>7151</v>
      </c>
      <c r="F2414" s="4" t="s">
        <v>1132</v>
      </c>
      <c r="G2414" s="4" t="s">
        <v>1048</v>
      </c>
    </row>
    <row r="2415" spans="1:7" ht="15.75" customHeight="1">
      <c r="A2415" s="5">
        <v>248462034</v>
      </c>
      <c r="B2415" s="6" t="s">
        <v>7152</v>
      </c>
      <c r="C2415" s="5" t="s">
        <v>7153</v>
      </c>
      <c r="D2415" s="5" t="s">
        <v>7154</v>
      </c>
      <c r="E2415" s="5" t="s">
        <v>7155</v>
      </c>
      <c r="F2415" s="6" t="s">
        <v>5750</v>
      </c>
      <c r="G2415" s="6" t="s">
        <v>5751</v>
      </c>
    </row>
    <row r="2416" spans="1:7" ht="15.75" customHeight="1">
      <c r="A2416" s="3">
        <v>248474515</v>
      </c>
      <c r="B2416" s="4" t="s">
        <v>7156</v>
      </c>
      <c r="C2416" s="3" t="s">
        <v>7157</v>
      </c>
      <c r="D2416" s="3">
        <v>79787512092</v>
      </c>
      <c r="E2416" s="3" t="s">
        <v>7158</v>
      </c>
      <c r="F2416" s="4" t="s">
        <v>1132</v>
      </c>
      <c r="G2416" s="4" t="s">
        <v>1048</v>
      </c>
    </row>
    <row r="2417" spans="1:7" ht="15.75" customHeight="1">
      <c r="A2417" s="5">
        <v>248490196</v>
      </c>
      <c r="B2417" s="6" t="s">
        <v>7159</v>
      </c>
      <c r="C2417" s="5" t="s">
        <v>7160</v>
      </c>
      <c r="D2417" s="5" t="s">
        <v>7161</v>
      </c>
      <c r="E2417" s="5" t="s">
        <v>7162</v>
      </c>
      <c r="F2417" s="6" t="s">
        <v>1124</v>
      </c>
      <c r="G2417" s="6" t="s">
        <v>1048</v>
      </c>
    </row>
    <row r="2418" spans="1:7" ht="15.75" customHeight="1">
      <c r="A2418" s="3">
        <v>246720811</v>
      </c>
      <c r="B2418" s="4" t="s">
        <v>6629</v>
      </c>
      <c r="C2418" s="3" t="s">
        <v>6630</v>
      </c>
      <c r="D2418" s="3">
        <v>79872840454</v>
      </c>
      <c r="E2418" s="3" t="s">
        <v>7163</v>
      </c>
      <c r="F2418" s="4" t="s">
        <v>1132</v>
      </c>
      <c r="G2418" s="4" t="s">
        <v>1048</v>
      </c>
    </row>
    <row r="2419" spans="1:7" ht="15.75" customHeight="1">
      <c r="A2419" s="5">
        <v>248523059</v>
      </c>
      <c r="B2419" s="6" t="s">
        <v>7164</v>
      </c>
      <c r="C2419" s="5" t="s">
        <v>7165</v>
      </c>
      <c r="D2419" s="5">
        <v>79940072416</v>
      </c>
      <c r="E2419" s="5" t="s">
        <v>7166</v>
      </c>
      <c r="F2419" s="6" t="s">
        <v>1166</v>
      </c>
      <c r="G2419" s="6" t="s">
        <v>1167</v>
      </c>
    </row>
    <row r="2420" spans="1:7" ht="15.75" customHeight="1">
      <c r="A2420" s="3">
        <v>248558015</v>
      </c>
      <c r="B2420" s="4" t="s">
        <v>7167</v>
      </c>
      <c r="C2420" s="3" t="s">
        <v>7168</v>
      </c>
      <c r="D2420" s="3" t="s">
        <v>7169</v>
      </c>
      <c r="E2420" s="3" t="s">
        <v>7170</v>
      </c>
      <c r="F2420" s="4" t="s">
        <v>1132</v>
      </c>
      <c r="G2420" s="4" t="s">
        <v>1048</v>
      </c>
    </row>
    <row r="2421" spans="1:7" ht="15.75" customHeight="1">
      <c r="A2421" s="5">
        <v>248578714</v>
      </c>
      <c r="B2421" s="6" t="s">
        <v>7171</v>
      </c>
      <c r="C2421" s="5" t="s">
        <v>7172</v>
      </c>
      <c r="D2421" s="5"/>
      <c r="E2421" s="5" t="s">
        <v>7173</v>
      </c>
      <c r="F2421" s="6" t="s">
        <v>1166</v>
      </c>
      <c r="G2421" s="6" t="s">
        <v>1167</v>
      </c>
    </row>
    <row r="2422" spans="1:7" ht="15.75" customHeight="1">
      <c r="A2422" s="3">
        <v>248590556</v>
      </c>
      <c r="B2422" s="4" t="s">
        <v>7174</v>
      </c>
      <c r="C2422" s="3" t="s">
        <v>7175</v>
      </c>
      <c r="D2422" s="3"/>
      <c r="E2422" s="3" t="s">
        <v>7176</v>
      </c>
      <c r="F2422" s="4" t="s">
        <v>1166</v>
      </c>
      <c r="G2422" s="4" t="s">
        <v>1167</v>
      </c>
    </row>
    <row r="2423" spans="1:7" ht="15.75" customHeight="1">
      <c r="A2423" s="5">
        <v>248590556</v>
      </c>
      <c r="B2423" s="6" t="s">
        <v>7174</v>
      </c>
      <c r="C2423" s="5" t="s">
        <v>7175</v>
      </c>
      <c r="D2423" s="5"/>
      <c r="E2423" s="5" t="s">
        <v>7177</v>
      </c>
      <c r="F2423" s="6" t="s">
        <v>1166</v>
      </c>
      <c r="G2423" s="6" t="s">
        <v>1167</v>
      </c>
    </row>
    <row r="2424" spans="1:7" ht="15.75" customHeight="1">
      <c r="A2424" s="3">
        <v>248591227</v>
      </c>
      <c r="B2424" s="4" t="s">
        <v>7178</v>
      </c>
      <c r="C2424" s="3" t="s">
        <v>7179</v>
      </c>
      <c r="D2424" s="3"/>
      <c r="E2424" s="3" t="s">
        <v>7180</v>
      </c>
      <c r="F2424" s="4" t="s">
        <v>1166</v>
      </c>
      <c r="G2424" s="4" t="s">
        <v>1167</v>
      </c>
    </row>
    <row r="2425" spans="1:7" ht="15.75" customHeight="1">
      <c r="A2425" s="5">
        <v>248591276</v>
      </c>
      <c r="B2425" s="6" t="s">
        <v>7181</v>
      </c>
      <c r="C2425" s="5" t="s">
        <v>7182</v>
      </c>
      <c r="D2425" s="5"/>
      <c r="E2425" s="5" t="s">
        <v>7183</v>
      </c>
      <c r="F2425" s="6" t="s">
        <v>1166</v>
      </c>
      <c r="G2425" s="6" t="s">
        <v>1167</v>
      </c>
    </row>
    <row r="2426" spans="1:7" ht="15.75" customHeight="1">
      <c r="A2426" s="3">
        <v>246665124</v>
      </c>
      <c r="B2426" s="4" t="s">
        <v>6609</v>
      </c>
      <c r="C2426" s="3" t="s">
        <v>6610</v>
      </c>
      <c r="D2426" s="3" t="s">
        <v>6611</v>
      </c>
      <c r="E2426" s="3" t="s">
        <v>7184</v>
      </c>
      <c r="F2426" s="4" t="s">
        <v>1132</v>
      </c>
      <c r="G2426" s="4" t="s">
        <v>1048</v>
      </c>
    </row>
    <row r="2427" spans="1:7" ht="15.75" customHeight="1">
      <c r="A2427" s="5">
        <v>248614993</v>
      </c>
      <c r="B2427" s="6" t="s">
        <v>7185</v>
      </c>
      <c r="C2427" s="5" t="s">
        <v>7186</v>
      </c>
      <c r="D2427" s="5"/>
      <c r="E2427" s="5" t="s">
        <v>7187</v>
      </c>
      <c r="F2427" s="6" t="s">
        <v>1166</v>
      </c>
      <c r="G2427" s="6" t="s">
        <v>1167</v>
      </c>
    </row>
    <row r="2428" spans="1:7" ht="15.75" customHeight="1">
      <c r="A2428" s="3">
        <v>248619219</v>
      </c>
      <c r="B2428" s="4" t="s">
        <v>7188</v>
      </c>
      <c r="C2428" s="3" t="s">
        <v>7189</v>
      </c>
      <c r="D2428" s="3"/>
      <c r="E2428" s="3" t="s">
        <v>7190</v>
      </c>
      <c r="F2428" s="4" t="s">
        <v>1166</v>
      </c>
      <c r="G2428" s="4" t="s">
        <v>1167</v>
      </c>
    </row>
    <row r="2429" spans="1:7" ht="15.75" customHeight="1">
      <c r="A2429" s="5">
        <v>248619385</v>
      </c>
      <c r="B2429" s="6" t="s">
        <v>7191</v>
      </c>
      <c r="C2429" s="5" t="s">
        <v>7192</v>
      </c>
      <c r="D2429" s="5"/>
      <c r="E2429" s="5" t="s">
        <v>7193</v>
      </c>
      <c r="F2429" s="6" t="s">
        <v>1166</v>
      </c>
      <c r="G2429" s="6" t="s">
        <v>1167</v>
      </c>
    </row>
    <row r="2430" spans="1:7" ht="15.75" customHeight="1">
      <c r="A2430" s="3">
        <v>248629286</v>
      </c>
      <c r="B2430" s="4" t="s">
        <v>7194</v>
      </c>
      <c r="C2430" s="3" t="s">
        <v>7195</v>
      </c>
      <c r="D2430" s="3" t="s">
        <v>7196</v>
      </c>
      <c r="E2430" s="3" t="s">
        <v>7197</v>
      </c>
      <c r="F2430" s="4" t="s">
        <v>7198</v>
      </c>
      <c r="G2430" s="4" t="s">
        <v>7199</v>
      </c>
    </row>
    <row r="2431" spans="1:7" ht="15.75" customHeight="1">
      <c r="A2431" s="5">
        <v>248641424</v>
      </c>
      <c r="B2431" s="6" t="s">
        <v>7200</v>
      </c>
      <c r="C2431" s="5" t="s">
        <v>7201</v>
      </c>
      <c r="D2431" s="5" t="s">
        <v>7202</v>
      </c>
      <c r="E2431" s="5" t="s">
        <v>7203</v>
      </c>
      <c r="F2431" s="6" t="s">
        <v>1166</v>
      </c>
      <c r="G2431" s="6" t="s">
        <v>1167</v>
      </c>
    </row>
    <row r="2432" spans="1:7" ht="15.75" customHeight="1">
      <c r="A2432" s="3">
        <v>248642203</v>
      </c>
      <c r="B2432" s="4" t="s">
        <v>7204</v>
      </c>
      <c r="C2432" s="3" t="s">
        <v>7205</v>
      </c>
      <c r="D2432" s="3" t="s">
        <v>7206</v>
      </c>
      <c r="E2432" s="3" t="s">
        <v>7207</v>
      </c>
      <c r="F2432" s="4" t="s">
        <v>1215</v>
      </c>
      <c r="G2432" s="4" t="s">
        <v>1216</v>
      </c>
    </row>
    <row r="2433" spans="1:7" ht="15.75" customHeight="1">
      <c r="A2433" s="5">
        <v>248643215</v>
      </c>
      <c r="B2433" s="6" t="s">
        <v>7208</v>
      </c>
      <c r="C2433" s="5" t="s">
        <v>7209</v>
      </c>
      <c r="D2433" s="5" t="s">
        <v>7210</v>
      </c>
      <c r="E2433" s="5" t="s">
        <v>7211</v>
      </c>
      <c r="F2433" s="6" t="s">
        <v>1207</v>
      </c>
      <c r="G2433" s="6" t="s">
        <v>1208</v>
      </c>
    </row>
    <row r="2434" spans="1:7" ht="15.75" customHeight="1">
      <c r="A2434" s="3">
        <v>248655206</v>
      </c>
      <c r="B2434" s="4" t="s">
        <v>7212</v>
      </c>
      <c r="C2434" s="3" t="s">
        <v>7213</v>
      </c>
      <c r="D2434" s="3"/>
      <c r="E2434" s="3" t="s">
        <v>7214</v>
      </c>
      <c r="F2434" s="4" t="s">
        <v>1166</v>
      </c>
      <c r="G2434" s="4" t="s">
        <v>1167</v>
      </c>
    </row>
    <row r="2435" spans="1:7" ht="15.75" customHeight="1">
      <c r="A2435" s="5">
        <v>248655667</v>
      </c>
      <c r="B2435" s="6" t="s">
        <v>7215</v>
      </c>
      <c r="C2435" s="5" t="s">
        <v>7216</v>
      </c>
      <c r="D2435" s="5"/>
      <c r="E2435" s="5" t="s">
        <v>7217</v>
      </c>
      <c r="F2435" s="6" t="s">
        <v>1166</v>
      </c>
      <c r="G2435" s="6" t="s">
        <v>1167</v>
      </c>
    </row>
    <row r="2436" spans="1:7" ht="15.75" customHeight="1">
      <c r="A2436" s="3">
        <v>248663963</v>
      </c>
      <c r="B2436" s="4" t="s">
        <v>7218</v>
      </c>
      <c r="C2436" s="3" t="s">
        <v>7219</v>
      </c>
      <c r="D2436" s="3"/>
      <c r="E2436" s="3" t="s">
        <v>7220</v>
      </c>
      <c r="F2436" s="4" t="s">
        <v>1166</v>
      </c>
      <c r="G2436" s="4" t="s">
        <v>1167</v>
      </c>
    </row>
    <row r="2437" spans="1:7" ht="15.75" customHeight="1">
      <c r="A2437" s="5">
        <v>248663963</v>
      </c>
      <c r="B2437" s="6" t="s">
        <v>7218</v>
      </c>
      <c r="C2437" s="5" t="s">
        <v>7219</v>
      </c>
      <c r="D2437" s="5"/>
      <c r="E2437" s="5" t="s">
        <v>7221</v>
      </c>
      <c r="F2437" s="6" t="s">
        <v>1166</v>
      </c>
      <c r="G2437" s="6" t="s">
        <v>1167</v>
      </c>
    </row>
    <row r="2438" spans="1:7" ht="15.75" customHeight="1">
      <c r="A2438" s="3">
        <v>248663963</v>
      </c>
      <c r="B2438" s="4" t="s">
        <v>7218</v>
      </c>
      <c r="C2438" s="3" t="s">
        <v>7219</v>
      </c>
      <c r="D2438" s="3"/>
      <c r="E2438" s="3" t="s">
        <v>7222</v>
      </c>
      <c r="F2438" s="4" t="s">
        <v>1166</v>
      </c>
      <c r="G2438" s="4" t="s">
        <v>1167</v>
      </c>
    </row>
    <row r="2439" spans="1:7" ht="15.75" customHeight="1">
      <c r="A2439" s="5">
        <v>248665517</v>
      </c>
      <c r="B2439" s="6" t="s">
        <v>7223</v>
      </c>
      <c r="C2439" s="5" t="s">
        <v>7224</v>
      </c>
      <c r="D2439" s="5" t="s">
        <v>7225</v>
      </c>
      <c r="E2439" s="5" t="s">
        <v>7226</v>
      </c>
      <c r="F2439" s="6" t="s">
        <v>1132</v>
      </c>
      <c r="G2439" s="6" t="s">
        <v>1048</v>
      </c>
    </row>
    <row r="2440" spans="1:7" ht="15.75" customHeight="1">
      <c r="A2440" s="3">
        <v>248694893</v>
      </c>
      <c r="B2440" s="4" t="s">
        <v>7227</v>
      </c>
      <c r="C2440" s="3" t="s">
        <v>7228</v>
      </c>
      <c r="D2440" s="3">
        <v>79502225808</v>
      </c>
      <c r="E2440" s="3" t="s">
        <v>7229</v>
      </c>
      <c r="F2440" s="4" t="s">
        <v>1124</v>
      </c>
      <c r="G2440" s="4" t="s">
        <v>1048</v>
      </c>
    </row>
    <row r="2441" spans="1:7" ht="15.75" customHeight="1">
      <c r="A2441" s="5">
        <v>248697781</v>
      </c>
      <c r="B2441" s="6" t="s">
        <v>7230</v>
      </c>
      <c r="C2441" s="5" t="s">
        <v>7231</v>
      </c>
      <c r="D2441" s="5"/>
      <c r="E2441" s="5" t="s">
        <v>7232</v>
      </c>
      <c r="F2441" s="6" t="s">
        <v>1166</v>
      </c>
      <c r="G2441" s="6" t="s">
        <v>1167</v>
      </c>
    </row>
    <row r="2442" spans="1:7" ht="15.75" customHeight="1">
      <c r="A2442" s="3">
        <v>248708344</v>
      </c>
      <c r="B2442" s="4" t="s">
        <v>7233</v>
      </c>
      <c r="C2442" s="3" t="s">
        <v>7234</v>
      </c>
      <c r="D2442" s="3"/>
      <c r="E2442" s="3" t="s">
        <v>7235</v>
      </c>
      <c r="F2442" s="4" t="s">
        <v>1166</v>
      </c>
      <c r="G2442" s="4" t="s">
        <v>1167</v>
      </c>
    </row>
    <row r="2443" spans="1:7" ht="15.75" customHeight="1">
      <c r="A2443" s="5">
        <v>248728300</v>
      </c>
      <c r="B2443" s="6" t="s">
        <v>7236</v>
      </c>
      <c r="C2443" s="5" t="s">
        <v>7237</v>
      </c>
      <c r="D2443" s="5" t="s">
        <v>7238</v>
      </c>
      <c r="E2443" s="5" t="s">
        <v>7239</v>
      </c>
      <c r="F2443" s="6" t="s">
        <v>1166</v>
      </c>
      <c r="G2443" s="6" t="s">
        <v>1167</v>
      </c>
    </row>
    <row r="2444" spans="1:7" ht="15.75" customHeight="1">
      <c r="A2444" s="3">
        <v>248728774</v>
      </c>
      <c r="B2444" s="4" t="s">
        <v>7240</v>
      </c>
      <c r="C2444" s="3" t="s">
        <v>7241</v>
      </c>
      <c r="D2444" s="3"/>
      <c r="E2444" s="3" t="s">
        <v>7242</v>
      </c>
      <c r="F2444" s="4" t="s">
        <v>1166</v>
      </c>
      <c r="G2444" s="4" t="s">
        <v>1167</v>
      </c>
    </row>
    <row r="2445" spans="1:7" ht="15.75" customHeight="1">
      <c r="A2445" s="5">
        <v>248728774</v>
      </c>
      <c r="B2445" s="6" t="s">
        <v>7240</v>
      </c>
      <c r="C2445" s="5" t="s">
        <v>7241</v>
      </c>
      <c r="D2445" s="5"/>
      <c r="E2445" s="5" t="s">
        <v>7243</v>
      </c>
      <c r="F2445" s="6" t="s">
        <v>1166</v>
      </c>
      <c r="G2445" s="6" t="s">
        <v>1167</v>
      </c>
    </row>
    <row r="2446" spans="1:7" ht="15.75" customHeight="1">
      <c r="A2446" s="3">
        <v>248735653</v>
      </c>
      <c r="B2446" s="4" t="s">
        <v>7244</v>
      </c>
      <c r="C2446" s="3" t="s">
        <v>7245</v>
      </c>
      <c r="D2446" s="3" t="s">
        <v>7246</v>
      </c>
      <c r="E2446" s="3" t="s">
        <v>7247</v>
      </c>
      <c r="F2446" s="4" t="s">
        <v>1124</v>
      </c>
      <c r="G2446" s="4" t="s">
        <v>1048</v>
      </c>
    </row>
    <row r="2447" spans="1:7" ht="15.75" customHeight="1">
      <c r="A2447" s="5">
        <v>248743974</v>
      </c>
      <c r="B2447" s="6" t="s">
        <v>7248</v>
      </c>
      <c r="C2447" s="5" t="s">
        <v>7249</v>
      </c>
      <c r="D2447" s="5" t="s">
        <v>7250</v>
      </c>
      <c r="E2447" s="5" t="s">
        <v>7251</v>
      </c>
      <c r="F2447" s="6" t="s">
        <v>1124</v>
      </c>
      <c r="G2447" s="6" t="s">
        <v>1048</v>
      </c>
    </row>
    <row r="2448" spans="1:7" ht="15.75" customHeight="1">
      <c r="A2448" s="3">
        <v>248743987</v>
      </c>
      <c r="B2448" s="4" t="s">
        <v>7252</v>
      </c>
      <c r="C2448" s="3" t="s">
        <v>7253</v>
      </c>
      <c r="D2448" s="3" t="s">
        <v>7254</v>
      </c>
      <c r="E2448" s="3" t="s">
        <v>7255</v>
      </c>
      <c r="F2448" s="4" t="s">
        <v>1132</v>
      </c>
      <c r="G2448" s="4" t="s">
        <v>1048</v>
      </c>
    </row>
    <row r="2449" spans="1:7" ht="15.75" customHeight="1">
      <c r="A2449" s="5">
        <v>248743987</v>
      </c>
      <c r="B2449" s="6" t="s">
        <v>7252</v>
      </c>
      <c r="C2449" s="5" t="s">
        <v>7253</v>
      </c>
      <c r="D2449" s="5" t="s">
        <v>7254</v>
      </c>
      <c r="E2449" s="5" t="s">
        <v>7256</v>
      </c>
      <c r="F2449" s="6" t="s">
        <v>7257</v>
      </c>
      <c r="G2449" s="6" t="s">
        <v>970</v>
      </c>
    </row>
    <row r="2450" spans="1:7" ht="15.75" customHeight="1">
      <c r="A2450" s="3">
        <v>248760060</v>
      </c>
      <c r="B2450" s="4" t="s">
        <v>7258</v>
      </c>
      <c r="C2450" s="3" t="s">
        <v>7259</v>
      </c>
      <c r="D2450" s="3"/>
      <c r="E2450" s="3" t="s">
        <v>7260</v>
      </c>
      <c r="F2450" s="4" t="s">
        <v>1166</v>
      </c>
      <c r="G2450" s="4" t="s">
        <v>1167</v>
      </c>
    </row>
    <row r="2451" spans="1:7" ht="15.75" customHeight="1">
      <c r="A2451" s="5">
        <v>248766607</v>
      </c>
      <c r="B2451" s="6" t="s">
        <v>7261</v>
      </c>
      <c r="C2451" s="5" t="s">
        <v>7262</v>
      </c>
      <c r="D2451" s="5" t="s">
        <v>7263</v>
      </c>
      <c r="E2451" s="5" t="s">
        <v>7264</v>
      </c>
      <c r="F2451" s="6" t="s">
        <v>1166</v>
      </c>
      <c r="G2451" s="6" t="s">
        <v>1167</v>
      </c>
    </row>
    <row r="2452" spans="1:7" ht="15.75" customHeight="1">
      <c r="A2452" s="3">
        <v>248767733</v>
      </c>
      <c r="B2452" s="4" t="s">
        <v>7265</v>
      </c>
      <c r="C2452" s="3" t="s">
        <v>7266</v>
      </c>
      <c r="D2452" s="3">
        <v>998977245588</v>
      </c>
      <c r="E2452" s="3" t="s">
        <v>7267</v>
      </c>
      <c r="F2452" s="4" t="s">
        <v>1132</v>
      </c>
      <c r="G2452" s="4" t="s">
        <v>1048</v>
      </c>
    </row>
    <row r="2453" spans="1:7" ht="15.75" customHeight="1">
      <c r="A2453" s="5">
        <v>248778283</v>
      </c>
      <c r="B2453" s="6" t="s">
        <v>507</v>
      </c>
      <c r="C2453" s="5" t="s">
        <v>7268</v>
      </c>
      <c r="D2453" s="5" t="s">
        <v>7269</v>
      </c>
      <c r="E2453" s="5" t="s">
        <v>7270</v>
      </c>
      <c r="F2453" s="6" t="s">
        <v>1124</v>
      </c>
      <c r="G2453" s="6" t="s">
        <v>1048</v>
      </c>
    </row>
    <row r="2454" spans="1:7" ht="15.75" customHeight="1">
      <c r="A2454" s="3">
        <v>246720811</v>
      </c>
      <c r="B2454" s="4" t="s">
        <v>6629</v>
      </c>
      <c r="C2454" s="3" t="s">
        <v>6630</v>
      </c>
      <c r="D2454" s="3">
        <v>79872840454</v>
      </c>
      <c r="E2454" s="3" t="s">
        <v>7271</v>
      </c>
      <c r="F2454" s="4" t="s">
        <v>1132</v>
      </c>
      <c r="G2454" s="4" t="s">
        <v>1048</v>
      </c>
    </row>
    <row r="2455" spans="1:7" ht="15.75" customHeight="1">
      <c r="A2455" s="5">
        <v>248819029</v>
      </c>
      <c r="B2455" s="6" t="s">
        <v>7272</v>
      </c>
      <c r="C2455" s="5" t="s">
        <v>7273</v>
      </c>
      <c r="D2455" s="5"/>
      <c r="E2455" s="5" t="s">
        <v>7274</v>
      </c>
      <c r="F2455" s="6" t="s">
        <v>1166</v>
      </c>
      <c r="G2455" s="6" t="s">
        <v>1167</v>
      </c>
    </row>
    <row r="2456" spans="1:7" ht="15.75" customHeight="1">
      <c r="A2456" s="3">
        <v>248819564</v>
      </c>
      <c r="B2456" s="4" t="s">
        <v>7275</v>
      </c>
      <c r="C2456" s="3" t="s">
        <v>7276</v>
      </c>
      <c r="D2456" s="3" t="s">
        <v>7277</v>
      </c>
      <c r="E2456" s="3" t="s">
        <v>7278</v>
      </c>
      <c r="F2456" s="4" t="s">
        <v>1124</v>
      </c>
      <c r="G2456" s="4" t="s">
        <v>1048</v>
      </c>
    </row>
    <row r="2457" spans="1:7" ht="15.75" customHeight="1">
      <c r="A2457" s="5">
        <v>248834027</v>
      </c>
      <c r="B2457" s="6" t="s">
        <v>7279</v>
      </c>
      <c r="C2457" s="5" t="s">
        <v>7280</v>
      </c>
      <c r="D2457" s="5"/>
      <c r="E2457" s="5" t="s">
        <v>7281</v>
      </c>
      <c r="F2457" s="6" t="s">
        <v>1166</v>
      </c>
      <c r="G2457" s="6" t="s">
        <v>1167</v>
      </c>
    </row>
    <row r="2458" spans="1:7" ht="15.75" customHeight="1">
      <c r="A2458" s="3">
        <v>248848409</v>
      </c>
      <c r="B2458" s="4" t="s">
        <v>7282</v>
      </c>
      <c r="C2458" s="3" t="s">
        <v>7283</v>
      </c>
      <c r="D2458" s="3" t="s">
        <v>7284</v>
      </c>
      <c r="E2458" s="3" t="s">
        <v>7285</v>
      </c>
      <c r="F2458" s="4" t="s">
        <v>1132</v>
      </c>
      <c r="G2458" s="4" t="s">
        <v>1048</v>
      </c>
    </row>
    <row r="2459" spans="1:7" ht="15.75" customHeight="1">
      <c r="A2459" s="5">
        <v>248852816</v>
      </c>
      <c r="B2459" s="6" t="s">
        <v>7286</v>
      </c>
      <c r="C2459" s="5" t="s">
        <v>7287</v>
      </c>
      <c r="D2459" s="5"/>
      <c r="E2459" s="5" t="s">
        <v>7288</v>
      </c>
      <c r="F2459" s="6" t="s">
        <v>1166</v>
      </c>
      <c r="G2459" s="6" t="s">
        <v>1167</v>
      </c>
    </row>
    <row r="2460" spans="1:7" ht="15.75" customHeight="1">
      <c r="A2460" s="3">
        <v>248858817</v>
      </c>
      <c r="B2460" s="4" t="s">
        <v>7289</v>
      </c>
      <c r="C2460" s="3" t="s">
        <v>7290</v>
      </c>
      <c r="D2460" s="3"/>
      <c r="E2460" s="3" t="s">
        <v>7291</v>
      </c>
      <c r="F2460" s="4" t="s">
        <v>1166</v>
      </c>
      <c r="G2460" s="4" t="s">
        <v>1167</v>
      </c>
    </row>
    <row r="2461" spans="1:7" ht="15.75" customHeight="1">
      <c r="A2461" s="5">
        <v>248868932</v>
      </c>
      <c r="B2461" s="6" t="s">
        <v>7292</v>
      </c>
      <c r="C2461" s="5" t="s">
        <v>7293</v>
      </c>
      <c r="D2461" s="5"/>
      <c r="E2461" s="5" t="s">
        <v>7294</v>
      </c>
      <c r="F2461" s="6" t="s">
        <v>1166</v>
      </c>
      <c r="G2461" s="6" t="s">
        <v>1167</v>
      </c>
    </row>
    <row r="2462" spans="1:7" ht="15.75" customHeight="1">
      <c r="A2462" s="3">
        <v>248869299</v>
      </c>
      <c r="B2462" s="4" t="s">
        <v>7295</v>
      </c>
      <c r="C2462" s="3" t="s">
        <v>7296</v>
      </c>
      <c r="D2462" s="3"/>
      <c r="E2462" s="3" t="s">
        <v>7297</v>
      </c>
      <c r="F2462" s="4" t="s">
        <v>1166</v>
      </c>
      <c r="G2462" s="4" t="s">
        <v>1167</v>
      </c>
    </row>
    <row r="2463" spans="1:7" ht="15.75" customHeight="1">
      <c r="A2463" s="5">
        <v>248881065</v>
      </c>
      <c r="B2463" s="6" t="s">
        <v>7298</v>
      </c>
      <c r="C2463" s="5" t="s">
        <v>7299</v>
      </c>
      <c r="D2463" s="5" t="s">
        <v>7300</v>
      </c>
      <c r="E2463" s="5" t="s">
        <v>7301</v>
      </c>
      <c r="F2463" s="6" t="s">
        <v>1207</v>
      </c>
      <c r="G2463" s="6" t="s">
        <v>1208</v>
      </c>
    </row>
    <row r="2464" spans="1:7" ht="15.75" customHeight="1">
      <c r="A2464" s="3">
        <v>248905354</v>
      </c>
      <c r="B2464" s="4" t="s">
        <v>7302</v>
      </c>
      <c r="C2464" s="3" t="s">
        <v>7303</v>
      </c>
      <c r="D2464" s="3" t="s">
        <v>7304</v>
      </c>
      <c r="E2464" s="3" t="s">
        <v>7305</v>
      </c>
      <c r="F2464" s="4" t="s">
        <v>1166</v>
      </c>
      <c r="G2464" s="4" t="s">
        <v>1167</v>
      </c>
    </row>
    <row r="2465" spans="1:7" ht="15.75" customHeight="1">
      <c r="A2465" s="5">
        <v>248905354</v>
      </c>
      <c r="B2465" s="6" t="s">
        <v>7302</v>
      </c>
      <c r="C2465" s="5" t="s">
        <v>7303</v>
      </c>
      <c r="D2465" s="5" t="s">
        <v>7304</v>
      </c>
      <c r="E2465" s="5" t="s">
        <v>7306</v>
      </c>
      <c r="F2465" s="6" t="s">
        <v>1166</v>
      </c>
      <c r="G2465" s="6" t="s">
        <v>1167</v>
      </c>
    </row>
    <row r="2466" spans="1:7" ht="15.75" customHeight="1">
      <c r="A2466" s="3">
        <v>248909874</v>
      </c>
      <c r="B2466" s="4" t="s">
        <v>7307</v>
      </c>
      <c r="C2466" s="3" t="s">
        <v>7308</v>
      </c>
      <c r="D2466" s="3"/>
      <c r="E2466" s="3" t="s">
        <v>7309</v>
      </c>
      <c r="F2466" s="4" t="s">
        <v>1166</v>
      </c>
      <c r="G2466" s="4" t="s">
        <v>1167</v>
      </c>
    </row>
    <row r="2467" spans="1:7" ht="15.75" customHeight="1">
      <c r="A2467" s="5">
        <v>248858817</v>
      </c>
      <c r="B2467" s="6" t="s">
        <v>7289</v>
      </c>
      <c r="C2467" s="5" t="s">
        <v>7290</v>
      </c>
      <c r="D2467" s="5"/>
      <c r="E2467" s="5" t="s">
        <v>7310</v>
      </c>
      <c r="F2467" s="6" t="s">
        <v>1166</v>
      </c>
      <c r="G2467" s="6" t="s">
        <v>1167</v>
      </c>
    </row>
    <row r="2468" spans="1:7" ht="15.75" customHeight="1">
      <c r="A2468" s="3">
        <v>248950246</v>
      </c>
      <c r="B2468" s="4" t="s">
        <v>7311</v>
      </c>
      <c r="C2468" s="3" t="s">
        <v>7312</v>
      </c>
      <c r="D2468" s="3" t="s">
        <v>7313</v>
      </c>
      <c r="E2468" s="3" t="s">
        <v>7314</v>
      </c>
      <c r="F2468" s="4" t="s">
        <v>1207</v>
      </c>
      <c r="G2468" s="4" t="s">
        <v>1208</v>
      </c>
    </row>
    <row r="2469" spans="1:7" ht="15.75" customHeight="1">
      <c r="A2469" s="5">
        <v>248952714</v>
      </c>
      <c r="B2469" s="6" t="s">
        <v>7315</v>
      </c>
      <c r="C2469" s="5" t="s">
        <v>7316</v>
      </c>
      <c r="D2469" s="5"/>
      <c r="E2469" s="5" t="s">
        <v>7317</v>
      </c>
      <c r="F2469" s="6" t="s">
        <v>1166</v>
      </c>
      <c r="G2469" s="6" t="s">
        <v>1167</v>
      </c>
    </row>
    <row r="2470" spans="1:7" ht="15.75" customHeight="1">
      <c r="A2470" s="3">
        <v>247080453</v>
      </c>
      <c r="B2470" s="4" t="s">
        <v>6710</v>
      </c>
      <c r="C2470" s="3" t="s">
        <v>6711</v>
      </c>
      <c r="D2470" s="3" t="s">
        <v>6712</v>
      </c>
      <c r="E2470" s="3" t="s">
        <v>7318</v>
      </c>
      <c r="F2470" s="4" t="s">
        <v>960</v>
      </c>
      <c r="G2470" s="4" t="s">
        <v>961</v>
      </c>
    </row>
    <row r="2471" spans="1:7" ht="15.75" customHeight="1">
      <c r="A2471" s="5">
        <v>248989871</v>
      </c>
      <c r="B2471" s="6" t="s">
        <v>7319</v>
      </c>
      <c r="C2471" s="5" t="s">
        <v>7320</v>
      </c>
      <c r="D2471" s="5" t="s">
        <v>7321</v>
      </c>
      <c r="E2471" s="5" t="s">
        <v>7322</v>
      </c>
      <c r="F2471" s="6" t="s">
        <v>7323</v>
      </c>
      <c r="G2471" s="6" t="s">
        <v>7324</v>
      </c>
    </row>
    <row r="2472" spans="1:7" ht="15.75" customHeight="1">
      <c r="A2472" s="3">
        <v>248998501</v>
      </c>
      <c r="B2472" s="4" t="s">
        <v>7325</v>
      </c>
      <c r="C2472" s="3" t="s">
        <v>7326</v>
      </c>
      <c r="D2472" s="3"/>
      <c r="E2472" s="3" t="s">
        <v>7327</v>
      </c>
      <c r="F2472" s="4" t="s">
        <v>1166</v>
      </c>
      <c r="G2472" s="4" t="s">
        <v>1167</v>
      </c>
    </row>
    <row r="2473" spans="1:7" ht="15.75" customHeight="1">
      <c r="A2473" s="5">
        <v>249044199</v>
      </c>
      <c r="B2473" s="6" t="s">
        <v>7328</v>
      </c>
      <c r="C2473" s="5" t="s">
        <v>7329</v>
      </c>
      <c r="D2473" s="5" t="s">
        <v>7330</v>
      </c>
      <c r="E2473" s="5" t="s">
        <v>7331</v>
      </c>
      <c r="F2473" s="6" t="s">
        <v>936</v>
      </c>
      <c r="G2473" s="6" t="s">
        <v>937</v>
      </c>
    </row>
    <row r="2474" spans="1:7" ht="15.75" customHeight="1">
      <c r="A2474" s="3">
        <v>249045761</v>
      </c>
      <c r="B2474" s="4" t="s">
        <v>6393</v>
      </c>
      <c r="C2474" s="3" t="s">
        <v>7332</v>
      </c>
      <c r="D2474" s="3" t="s">
        <v>7333</v>
      </c>
      <c r="E2474" s="3" t="s">
        <v>7334</v>
      </c>
      <c r="F2474" s="4" t="s">
        <v>1207</v>
      </c>
      <c r="G2474" s="4" t="s">
        <v>1208</v>
      </c>
    </row>
    <row r="2475" spans="1:7" ht="15.75" customHeight="1">
      <c r="A2475" s="5">
        <v>249057796</v>
      </c>
      <c r="B2475" s="6" t="s">
        <v>7335</v>
      </c>
      <c r="C2475" s="5" t="s">
        <v>7336</v>
      </c>
      <c r="D2475" s="5"/>
      <c r="E2475" s="5" t="s">
        <v>7337</v>
      </c>
      <c r="F2475" s="6" t="s">
        <v>1166</v>
      </c>
      <c r="G2475" s="6" t="s">
        <v>1167</v>
      </c>
    </row>
    <row r="2476" spans="1:7" ht="15.75" customHeight="1">
      <c r="A2476" s="3">
        <v>249057796</v>
      </c>
      <c r="B2476" s="4" t="s">
        <v>7335</v>
      </c>
      <c r="C2476" s="3" t="s">
        <v>7336</v>
      </c>
      <c r="D2476" s="3"/>
      <c r="E2476" s="3" t="s">
        <v>7338</v>
      </c>
      <c r="F2476" s="4" t="s">
        <v>1166</v>
      </c>
      <c r="G2476" s="4" t="s">
        <v>1167</v>
      </c>
    </row>
    <row r="2477" spans="1:7" ht="15.75" customHeight="1">
      <c r="A2477" s="5">
        <v>247783766</v>
      </c>
      <c r="B2477" s="6" t="s">
        <v>7023</v>
      </c>
      <c r="C2477" s="5" t="s">
        <v>7024</v>
      </c>
      <c r="D2477" s="5" t="s">
        <v>7025</v>
      </c>
      <c r="E2477" s="5" t="s">
        <v>7339</v>
      </c>
      <c r="F2477" s="6" t="s">
        <v>444</v>
      </c>
      <c r="G2477" s="6" t="s">
        <v>445</v>
      </c>
    </row>
    <row r="2478" spans="1:7" ht="15.75" customHeight="1">
      <c r="A2478" s="3">
        <v>246910046</v>
      </c>
      <c r="B2478" s="4" t="s">
        <v>6670</v>
      </c>
      <c r="C2478" s="3" t="s">
        <v>6671</v>
      </c>
      <c r="D2478" s="3">
        <v>87776104857</v>
      </c>
      <c r="E2478" s="3" t="s">
        <v>7340</v>
      </c>
      <c r="F2478" s="4" t="s">
        <v>1220</v>
      </c>
      <c r="G2478" s="4" t="s">
        <v>1221</v>
      </c>
    </row>
    <row r="2479" spans="1:7" ht="15.75" customHeight="1">
      <c r="A2479" s="5">
        <v>247783766</v>
      </c>
      <c r="B2479" s="6" t="s">
        <v>7023</v>
      </c>
      <c r="C2479" s="5" t="s">
        <v>7024</v>
      </c>
      <c r="D2479" s="5" t="s">
        <v>7025</v>
      </c>
      <c r="E2479" s="5" t="s">
        <v>7341</v>
      </c>
      <c r="F2479" s="6" t="s">
        <v>1215</v>
      </c>
      <c r="G2479" s="6" t="s">
        <v>1216</v>
      </c>
    </row>
    <row r="2480" spans="1:7" ht="15.75" customHeight="1">
      <c r="A2480" s="3">
        <v>248822185</v>
      </c>
      <c r="B2480" s="4" t="s">
        <v>7342</v>
      </c>
      <c r="C2480" s="3" t="s">
        <v>7343</v>
      </c>
      <c r="D2480" s="3" t="s">
        <v>7344</v>
      </c>
      <c r="E2480" s="3" t="s">
        <v>7345</v>
      </c>
      <c r="F2480" s="4" t="s">
        <v>1120</v>
      </c>
      <c r="G2480" s="4" t="s">
        <v>1137</v>
      </c>
    </row>
    <row r="2481" spans="1:7" ht="15.75" customHeight="1">
      <c r="A2481" s="5">
        <v>248399064</v>
      </c>
      <c r="B2481" s="6" t="s">
        <v>7143</v>
      </c>
      <c r="C2481" s="5" t="s">
        <v>7144</v>
      </c>
      <c r="D2481" s="5">
        <v>79004834292</v>
      </c>
      <c r="E2481" s="5" t="s">
        <v>7346</v>
      </c>
      <c r="F2481" s="6" t="s">
        <v>7323</v>
      </c>
      <c r="G2481" s="6" t="s">
        <v>7324</v>
      </c>
    </row>
    <row r="2482" spans="1:7" ht="15.75" customHeight="1">
      <c r="A2482" s="3">
        <v>246848689</v>
      </c>
      <c r="B2482" s="4" t="s">
        <v>6664</v>
      </c>
      <c r="C2482" s="3" t="s">
        <v>6665</v>
      </c>
      <c r="D2482" s="3">
        <v>79671939811</v>
      </c>
      <c r="E2482" s="3" t="s">
        <v>7347</v>
      </c>
      <c r="F2482" s="4" t="s">
        <v>960</v>
      </c>
      <c r="G2482" s="4" t="s">
        <v>961</v>
      </c>
    </row>
    <row r="2483" spans="1:7" ht="15.75" customHeight="1">
      <c r="A2483" s="5">
        <v>246454846</v>
      </c>
      <c r="B2483" s="6" t="s">
        <v>6364</v>
      </c>
      <c r="C2483" s="5" t="s">
        <v>6365</v>
      </c>
      <c r="D2483" s="5">
        <v>79525470098</v>
      </c>
      <c r="E2483" s="5" t="s">
        <v>7348</v>
      </c>
      <c r="F2483" s="6" t="s">
        <v>960</v>
      </c>
      <c r="G2483" s="6" t="s">
        <v>961</v>
      </c>
    </row>
    <row r="2484" spans="1:7" ht="15.75" customHeight="1">
      <c r="A2484" s="3">
        <v>247139447</v>
      </c>
      <c r="B2484" s="4" t="s">
        <v>6749</v>
      </c>
      <c r="C2484" s="3" t="s">
        <v>6750</v>
      </c>
      <c r="D2484" s="3">
        <v>79297921406</v>
      </c>
      <c r="E2484" s="3" t="s">
        <v>7349</v>
      </c>
      <c r="F2484" s="4" t="s">
        <v>1243</v>
      </c>
      <c r="G2484" s="4" t="s">
        <v>1244</v>
      </c>
    </row>
    <row r="2485" spans="1:7" ht="15.75" customHeight="1">
      <c r="A2485" s="5">
        <v>248152395</v>
      </c>
      <c r="B2485" s="6" t="s">
        <v>7079</v>
      </c>
      <c r="C2485" s="5" t="s">
        <v>7080</v>
      </c>
      <c r="D2485" s="5">
        <v>79111362441</v>
      </c>
      <c r="E2485" s="5" t="s">
        <v>7350</v>
      </c>
      <c r="F2485" s="6" t="s">
        <v>960</v>
      </c>
      <c r="G2485" s="6" t="s">
        <v>961</v>
      </c>
    </row>
    <row r="2486" spans="1:7" ht="15.75" customHeight="1">
      <c r="A2486" s="3">
        <v>248243237</v>
      </c>
      <c r="B2486" s="4" t="s">
        <v>7121</v>
      </c>
      <c r="C2486" s="3" t="s">
        <v>7122</v>
      </c>
      <c r="D2486" s="3">
        <v>79636048668</v>
      </c>
      <c r="E2486" s="3" t="s">
        <v>7351</v>
      </c>
      <c r="F2486" s="4" t="s">
        <v>960</v>
      </c>
      <c r="G2486" s="4" t="s">
        <v>961</v>
      </c>
    </row>
    <row r="2487" spans="1:7" ht="15.75" customHeight="1">
      <c r="A2487" s="5">
        <v>246378453</v>
      </c>
      <c r="B2487" s="6" t="s">
        <v>6151</v>
      </c>
      <c r="C2487" s="5" t="s">
        <v>6152</v>
      </c>
      <c r="D2487" s="5" t="s">
        <v>6153</v>
      </c>
      <c r="E2487" s="5" t="s">
        <v>7352</v>
      </c>
      <c r="F2487" s="6" t="s">
        <v>960</v>
      </c>
      <c r="G2487" s="6" t="s">
        <v>961</v>
      </c>
    </row>
    <row r="2488" spans="1:7" ht="15.75" customHeight="1">
      <c r="A2488" s="3">
        <v>246343585</v>
      </c>
      <c r="B2488" s="4" t="s">
        <v>5922</v>
      </c>
      <c r="C2488" s="3" t="s">
        <v>5923</v>
      </c>
      <c r="D2488" s="3">
        <v>87029523656</v>
      </c>
      <c r="E2488" s="3" t="s">
        <v>7353</v>
      </c>
      <c r="F2488" s="4" t="s">
        <v>960</v>
      </c>
      <c r="G2488" s="4" t="s">
        <v>961</v>
      </c>
    </row>
    <row r="2489" spans="1:7" ht="15.75" customHeight="1">
      <c r="A2489" s="5">
        <v>246339981</v>
      </c>
      <c r="B2489" s="6" t="s">
        <v>5855</v>
      </c>
      <c r="C2489" s="5" t="s">
        <v>5856</v>
      </c>
      <c r="D2489" s="5" t="s">
        <v>5857</v>
      </c>
      <c r="E2489" s="5" t="s">
        <v>7354</v>
      </c>
      <c r="F2489" s="6" t="s">
        <v>960</v>
      </c>
      <c r="G2489" s="6" t="s">
        <v>961</v>
      </c>
    </row>
    <row r="2490" spans="1:7" ht="15.75" customHeight="1">
      <c r="A2490" s="3">
        <v>246344341</v>
      </c>
      <c r="B2490" s="4" t="s">
        <v>5937</v>
      </c>
      <c r="C2490" s="3" t="s">
        <v>5938</v>
      </c>
      <c r="D2490" s="3">
        <v>87767368906</v>
      </c>
      <c r="E2490" s="3" t="s">
        <v>7355</v>
      </c>
      <c r="F2490" s="4" t="s">
        <v>960</v>
      </c>
      <c r="G2490" s="4" t="s">
        <v>961</v>
      </c>
    </row>
    <row r="2491" spans="1:7" ht="15.75" customHeight="1">
      <c r="A2491" s="5">
        <v>247139447</v>
      </c>
      <c r="B2491" s="6" t="s">
        <v>6749</v>
      </c>
      <c r="C2491" s="5" t="s">
        <v>6750</v>
      </c>
      <c r="D2491" s="5">
        <v>79297921406</v>
      </c>
      <c r="E2491" s="5" t="s">
        <v>7356</v>
      </c>
      <c r="F2491" s="6" t="s">
        <v>960</v>
      </c>
      <c r="G2491" s="6" t="s">
        <v>961</v>
      </c>
    </row>
    <row r="2492" spans="1:7" ht="15.75" customHeight="1">
      <c r="A2492" s="3">
        <v>246745449</v>
      </c>
      <c r="B2492" s="4" t="s">
        <v>6643</v>
      </c>
      <c r="C2492" s="3" t="s">
        <v>6644</v>
      </c>
      <c r="D2492" s="3">
        <v>79655235508</v>
      </c>
      <c r="E2492" s="3" t="s">
        <v>7357</v>
      </c>
      <c r="F2492" s="4" t="s">
        <v>960</v>
      </c>
      <c r="G2492" s="4" t="s">
        <v>961</v>
      </c>
    </row>
    <row r="2493" spans="1:7" ht="15.75" customHeight="1">
      <c r="A2493" s="5">
        <v>248243237</v>
      </c>
      <c r="B2493" s="6" t="s">
        <v>7121</v>
      </c>
      <c r="C2493" s="5" t="s">
        <v>7122</v>
      </c>
      <c r="D2493" s="5">
        <v>79636048668</v>
      </c>
      <c r="E2493" s="5" t="s">
        <v>7358</v>
      </c>
      <c r="F2493" s="6" t="s">
        <v>7323</v>
      </c>
      <c r="G2493" s="6" t="s">
        <v>7324</v>
      </c>
    </row>
    <row r="2494" spans="1:7" ht="15.75" customHeight="1">
      <c r="A2494" s="3">
        <v>246391997</v>
      </c>
      <c r="B2494" s="4" t="s">
        <v>6244</v>
      </c>
      <c r="C2494" s="3" t="s">
        <v>6245</v>
      </c>
      <c r="D2494" s="3">
        <v>87012031978</v>
      </c>
      <c r="E2494" s="3" t="s">
        <v>7359</v>
      </c>
      <c r="F2494" s="4" t="s">
        <v>960</v>
      </c>
      <c r="G2494" s="4" t="s">
        <v>961</v>
      </c>
    </row>
    <row r="2495" spans="1:7" ht="15.75" customHeight="1">
      <c r="A2495" s="5">
        <v>246384456</v>
      </c>
      <c r="B2495" s="6" t="s">
        <v>6188</v>
      </c>
      <c r="C2495" s="5" t="s">
        <v>6189</v>
      </c>
      <c r="D2495" s="5" t="s">
        <v>6190</v>
      </c>
      <c r="E2495" s="5" t="s">
        <v>7360</v>
      </c>
      <c r="F2495" s="6" t="s">
        <v>960</v>
      </c>
      <c r="G2495" s="6" t="s">
        <v>961</v>
      </c>
    </row>
    <row r="2496" spans="1:7" ht="15.75" customHeight="1">
      <c r="A2496" s="3">
        <v>246345257</v>
      </c>
      <c r="B2496" s="4" t="s">
        <v>5955</v>
      </c>
      <c r="C2496" s="3" t="s">
        <v>5956</v>
      </c>
      <c r="D2496" s="3">
        <v>87781342070</v>
      </c>
      <c r="E2496" s="3" t="s">
        <v>7361</v>
      </c>
      <c r="F2496" s="4" t="s">
        <v>960</v>
      </c>
      <c r="G2496" s="4" t="s">
        <v>961</v>
      </c>
    </row>
    <row r="2497" spans="1:7" ht="15.75" customHeight="1">
      <c r="A2497" s="5">
        <v>247412048</v>
      </c>
      <c r="B2497" s="6" t="s">
        <v>6878</v>
      </c>
      <c r="C2497" s="5" t="s">
        <v>6879</v>
      </c>
      <c r="D2497" s="5">
        <v>79217518672</v>
      </c>
      <c r="E2497" s="5" t="s">
        <v>7362</v>
      </c>
      <c r="F2497" s="6" t="s">
        <v>960</v>
      </c>
      <c r="G2497" s="6" t="s">
        <v>961</v>
      </c>
    </row>
    <row r="2498" spans="1:7" ht="15.75" customHeight="1">
      <c r="A2498" s="3">
        <v>246757049</v>
      </c>
      <c r="B2498" s="4" t="s">
        <v>6649</v>
      </c>
      <c r="C2498" s="3" t="s">
        <v>6650</v>
      </c>
      <c r="D2498" s="3" t="s">
        <v>6651</v>
      </c>
      <c r="E2498" s="3" t="s">
        <v>7363</v>
      </c>
      <c r="F2498" s="4" t="s">
        <v>204</v>
      </c>
      <c r="G2498" s="4" t="s">
        <v>205</v>
      </c>
    </row>
    <row r="2499" spans="1:7" ht="15.75" customHeight="1">
      <c r="A2499" s="5">
        <v>248989871</v>
      </c>
      <c r="B2499" s="6" t="s">
        <v>7319</v>
      </c>
      <c r="C2499" s="5" t="s">
        <v>7320</v>
      </c>
      <c r="D2499" s="5" t="s">
        <v>7321</v>
      </c>
      <c r="E2499" s="5" t="s">
        <v>7364</v>
      </c>
      <c r="F2499" s="6" t="s">
        <v>960</v>
      </c>
      <c r="G2499" s="6" t="s">
        <v>961</v>
      </c>
    </row>
    <row r="2500" spans="1:7" ht="15.75" customHeight="1">
      <c r="A2500" s="3">
        <v>246381803</v>
      </c>
      <c r="B2500" s="4" t="s">
        <v>6173</v>
      </c>
      <c r="C2500" s="3" t="s">
        <v>6174</v>
      </c>
      <c r="D2500" s="3">
        <v>998994197884</v>
      </c>
      <c r="E2500" s="3" t="s">
        <v>7365</v>
      </c>
      <c r="F2500" s="4" t="s">
        <v>960</v>
      </c>
      <c r="G2500" s="4" t="s">
        <v>961</v>
      </c>
    </row>
    <row r="2501" spans="1:7" ht="15.75" customHeight="1">
      <c r="A2501" s="5">
        <v>248728300</v>
      </c>
      <c r="B2501" s="6" t="s">
        <v>7236</v>
      </c>
      <c r="C2501" s="5" t="s">
        <v>7237</v>
      </c>
      <c r="D2501" s="5" t="s">
        <v>7238</v>
      </c>
      <c r="E2501" s="5" t="s">
        <v>7366</v>
      </c>
      <c r="F2501" s="6" t="s">
        <v>960</v>
      </c>
      <c r="G2501" s="6" t="s">
        <v>961</v>
      </c>
    </row>
    <row r="2502" spans="1:7" ht="15.75" customHeight="1">
      <c r="A2502" s="3">
        <v>249058649</v>
      </c>
      <c r="B2502" s="4" t="s">
        <v>7367</v>
      </c>
      <c r="C2502" s="3" t="s">
        <v>7368</v>
      </c>
      <c r="D2502" s="3"/>
      <c r="E2502" s="3" t="s">
        <v>7369</v>
      </c>
      <c r="F2502" s="4" t="s">
        <v>1166</v>
      </c>
      <c r="G2502" s="4" t="s">
        <v>1167</v>
      </c>
    </row>
    <row r="2503" spans="1:7" ht="15.75" customHeight="1">
      <c r="A2503" s="5">
        <v>249142551</v>
      </c>
      <c r="B2503" s="6" t="s">
        <v>3808</v>
      </c>
      <c r="C2503" s="5" t="s">
        <v>7370</v>
      </c>
      <c r="D2503" s="5" t="s">
        <v>7371</v>
      </c>
      <c r="E2503" s="5" t="s">
        <v>7372</v>
      </c>
      <c r="F2503" s="6" t="s">
        <v>7323</v>
      </c>
      <c r="G2503" s="6" t="s">
        <v>7324</v>
      </c>
    </row>
    <row r="2504" spans="1:7" ht="15.75" customHeight="1">
      <c r="A2504" s="3">
        <v>249153750</v>
      </c>
      <c r="B2504" s="4" t="s">
        <v>7373</v>
      </c>
      <c r="C2504" s="3" t="s">
        <v>7374</v>
      </c>
      <c r="D2504" s="3"/>
      <c r="E2504" s="3" t="s">
        <v>7375</v>
      </c>
      <c r="F2504" s="4" t="s">
        <v>1166</v>
      </c>
      <c r="G2504" s="4" t="s">
        <v>1167</v>
      </c>
    </row>
    <row r="2505" spans="1:7" ht="15.75" customHeight="1">
      <c r="A2505" s="5">
        <v>249163652</v>
      </c>
      <c r="B2505" s="6" t="s">
        <v>7376</v>
      </c>
      <c r="C2505" s="5" t="s">
        <v>7377</v>
      </c>
      <c r="D2505" s="5"/>
      <c r="E2505" s="5" t="s">
        <v>7378</v>
      </c>
      <c r="F2505" s="6" t="s">
        <v>1166</v>
      </c>
      <c r="G2505" s="6" t="s">
        <v>1167</v>
      </c>
    </row>
    <row r="2506" spans="1:7" ht="15.75" customHeight="1">
      <c r="A2506" s="3">
        <v>249191725</v>
      </c>
      <c r="B2506" s="4" t="s">
        <v>7379</v>
      </c>
      <c r="C2506" s="3" t="s">
        <v>7380</v>
      </c>
      <c r="D2506" s="3" t="s">
        <v>7381</v>
      </c>
      <c r="E2506" s="3" t="s">
        <v>7382</v>
      </c>
      <c r="F2506" s="4" t="s">
        <v>1207</v>
      </c>
      <c r="G2506" s="4" t="s">
        <v>1208</v>
      </c>
    </row>
    <row r="2507" spans="1:7" ht="15.75" customHeight="1">
      <c r="A2507" s="5">
        <v>249191744</v>
      </c>
      <c r="B2507" s="6" t="s">
        <v>7383</v>
      </c>
      <c r="C2507" s="5" t="s">
        <v>7384</v>
      </c>
      <c r="D2507" s="5" t="s">
        <v>7385</v>
      </c>
      <c r="E2507" s="5" t="s">
        <v>7386</v>
      </c>
      <c r="F2507" s="6" t="s">
        <v>1207</v>
      </c>
      <c r="G2507" s="6" t="s">
        <v>1208</v>
      </c>
    </row>
    <row r="2508" spans="1:7" ht="15.75" customHeight="1">
      <c r="A2508" s="3">
        <v>249196830</v>
      </c>
      <c r="B2508" s="4" t="s">
        <v>7387</v>
      </c>
      <c r="C2508" s="3" t="s">
        <v>7388</v>
      </c>
      <c r="D2508" s="3">
        <v>79025568381</v>
      </c>
      <c r="E2508" s="3" t="s">
        <v>1202</v>
      </c>
      <c r="F2508" s="4" t="s">
        <v>7323</v>
      </c>
      <c r="G2508" s="4" t="s">
        <v>7324</v>
      </c>
    </row>
    <row r="2509" spans="1:7" ht="15.75" customHeight="1">
      <c r="A2509" s="5">
        <v>249205601</v>
      </c>
      <c r="B2509" s="6" t="s">
        <v>7389</v>
      </c>
      <c r="C2509" s="5" t="s">
        <v>7390</v>
      </c>
      <c r="D2509" s="5"/>
      <c r="E2509" s="5" t="s">
        <v>7391</v>
      </c>
      <c r="F2509" s="6" t="s">
        <v>1166</v>
      </c>
      <c r="G2509" s="6" t="s">
        <v>1167</v>
      </c>
    </row>
    <row r="2510" spans="1:7" ht="15.75" customHeight="1">
      <c r="A2510" s="3">
        <v>249207188</v>
      </c>
      <c r="B2510" s="4" t="s">
        <v>7392</v>
      </c>
      <c r="C2510" s="3" t="s">
        <v>7393</v>
      </c>
      <c r="D2510" s="3"/>
      <c r="E2510" s="3" t="s">
        <v>7394</v>
      </c>
      <c r="F2510" s="4" t="s">
        <v>1166</v>
      </c>
      <c r="G2510" s="4" t="s">
        <v>1167</v>
      </c>
    </row>
    <row r="2511" spans="1:7" ht="15.75" customHeight="1">
      <c r="A2511" s="5">
        <v>249247936</v>
      </c>
      <c r="B2511" s="6" t="s">
        <v>7395</v>
      </c>
      <c r="C2511" s="5" t="s">
        <v>7396</v>
      </c>
      <c r="D2511" s="5" t="s">
        <v>7397</v>
      </c>
      <c r="E2511" s="5" t="s">
        <v>7398</v>
      </c>
      <c r="F2511" s="6" t="s">
        <v>1220</v>
      </c>
      <c r="G2511" s="6" t="s">
        <v>1221</v>
      </c>
    </row>
    <row r="2512" spans="1:7" ht="15.75" customHeight="1">
      <c r="A2512" s="3">
        <v>249265842</v>
      </c>
      <c r="B2512" s="4" t="s">
        <v>7399</v>
      </c>
      <c r="C2512" s="3" t="s">
        <v>7400</v>
      </c>
      <c r="D2512" s="3">
        <v>79636048668</v>
      </c>
      <c r="E2512" s="3" t="s">
        <v>7401</v>
      </c>
      <c r="F2512" s="4" t="s">
        <v>7323</v>
      </c>
      <c r="G2512" s="4" t="s">
        <v>7324</v>
      </c>
    </row>
    <row r="2513" spans="1:7" ht="15.75" customHeight="1">
      <c r="A2513" s="5">
        <v>249285015</v>
      </c>
      <c r="B2513" s="6" t="s">
        <v>7402</v>
      </c>
      <c r="C2513" s="5" t="s">
        <v>7403</v>
      </c>
      <c r="D2513" s="5"/>
      <c r="E2513" s="5" t="s">
        <v>7404</v>
      </c>
      <c r="F2513" s="6" t="s">
        <v>1166</v>
      </c>
      <c r="G2513" s="6" t="s">
        <v>1167</v>
      </c>
    </row>
    <row r="2514" spans="1:7" ht="15.75" customHeight="1">
      <c r="A2514" s="3">
        <v>249294534</v>
      </c>
      <c r="B2514" s="4" t="s">
        <v>7405</v>
      </c>
      <c r="C2514" s="3" t="s">
        <v>7406</v>
      </c>
      <c r="D2514" s="3">
        <v>79625032228</v>
      </c>
      <c r="E2514" s="3" t="s">
        <v>7407</v>
      </c>
      <c r="F2514" s="4" t="s">
        <v>7408</v>
      </c>
      <c r="G2514" s="4" t="s">
        <v>7409</v>
      </c>
    </row>
    <row r="2515" spans="1:7" ht="15.75" customHeight="1">
      <c r="A2515" s="5">
        <v>249521928</v>
      </c>
      <c r="B2515" s="6" t="s">
        <v>7410</v>
      </c>
      <c r="C2515" s="5" t="s">
        <v>7411</v>
      </c>
      <c r="D2515" s="5">
        <v>79122370099</v>
      </c>
      <c r="E2515" s="5" t="s">
        <v>7412</v>
      </c>
      <c r="F2515" s="6" t="s">
        <v>2595</v>
      </c>
      <c r="G2515" s="6" t="s">
        <v>2596</v>
      </c>
    </row>
    <row r="2516" spans="1:7" ht="15.75" customHeight="1">
      <c r="A2516" s="3">
        <v>249196830</v>
      </c>
      <c r="B2516" s="4" t="s">
        <v>7387</v>
      </c>
      <c r="C2516" s="3" t="s">
        <v>7388</v>
      </c>
      <c r="D2516" s="3">
        <v>79025568381</v>
      </c>
      <c r="E2516" s="3" t="s">
        <v>7413</v>
      </c>
      <c r="F2516" s="4" t="s">
        <v>7323</v>
      </c>
      <c r="G2516" s="4" t="s">
        <v>7324</v>
      </c>
    </row>
    <row r="2517" spans="1:7" ht="15.75" customHeight="1">
      <c r="A2517" s="5">
        <v>249196830</v>
      </c>
      <c r="B2517" s="6" t="s">
        <v>7387</v>
      </c>
      <c r="C2517" s="5" t="s">
        <v>7388</v>
      </c>
      <c r="D2517" s="5">
        <v>79025568381</v>
      </c>
      <c r="E2517" s="5" t="s">
        <v>7414</v>
      </c>
      <c r="F2517" s="6" t="s">
        <v>1166</v>
      </c>
      <c r="G2517" s="6" t="s">
        <v>1167</v>
      </c>
    </row>
    <row r="2518" spans="1:7" ht="15.75" customHeight="1">
      <c r="A2518" s="3">
        <v>249663030</v>
      </c>
      <c r="B2518" s="4" t="s">
        <v>7415</v>
      </c>
      <c r="C2518" s="3" t="s">
        <v>7416</v>
      </c>
      <c r="D2518" s="3">
        <v>79082354915</v>
      </c>
      <c r="E2518" s="3" t="s">
        <v>7417</v>
      </c>
      <c r="F2518" s="4" t="s">
        <v>1841</v>
      </c>
      <c r="G2518" s="4" t="s">
        <v>1842</v>
      </c>
    </row>
    <row r="2519" spans="1:7" ht="15.75" customHeight="1">
      <c r="A2519" s="5">
        <v>249739556</v>
      </c>
      <c r="B2519" s="6" t="s">
        <v>7418</v>
      </c>
      <c r="C2519" s="5" t="s">
        <v>7419</v>
      </c>
      <c r="D2519" s="5" t="s">
        <v>7420</v>
      </c>
      <c r="E2519" s="5" t="s">
        <v>7421</v>
      </c>
      <c r="F2519" s="6" t="s">
        <v>7323</v>
      </c>
      <c r="G2519" s="6" t="s">
        <v>7324</v>
      </c>
    </row>
    <row r="2520" spans="1:7" ht="15.75" customHeight="1">
      <c r="A2520" s="3">
        <v>249776710</v>
      </c>
      <c r="B2520" s="4" t="s">
        <v>7422</v>
      </c>
      <c r="C2520" s="3" t="s">
        <v>7423</v>
      </c>
      <c r="D2520" s="3"/>
      <c r="E2520" s="3" t="s">
        <v>7424</v>
      </c>
      <c r="F2520" s="4" t="s">
        <v>1166</v>
      </c>
      <c r="G2520" s="4" t="s">
        <v>1167</v>
      </c>
    </row>
    <row r="2521" spans="1:7" ht="15.75" customHeight="1">
      <c r="A2521" s="5">
        <v>249776710</v>
      </c>
      <c r="B2521" s="6" t="s">
        <v>7422</v>
      </c>
      <c r="C2521" s="5" t="s">
        <v>7423</v>
      </c>
      <c r="D2521" s="5"/>
      <c r="E2521" s="5" t="s">
        <v>7425</v>
      </c>
      <c r="F2521" s="6" t="s">
        <v>1166</v>
      </c>
      <c r="G2521" s="6" t="s">
        <v>1167</v>
      </c>
    </row>
    <row r="2522" spans="1:7" ht="15.75" customHeight="1">
      <c r="A2522" s="3">
        <v>249794346</v>
      </c>
      <c r="B2522" s="4" t="s">
        <v>7426</v>
      </c>
      <c r="C2522" s="3" t="s">
        <v>7427</v>
      </c>
      <c r="D2522" s="3"/>
      <c r="E2522" s="3" t="s">
        <v>7428</v>
      </c>
      <c r="F2522" s="4" t="s">
        <v>1166</v>
      </c>
      <c r="G2522" s="4" t="s">
        <v>1167</v>
      </c>
    </row>
    <row r="2523" spans="1:7" ht="15.75" customHeight="1">
      <c r="A2523" s="5">
        <v>249794346</v>
      </c>
      <c r="B2523" s="6" t="s">
        <v>7426</v>
      </c>
      <c r="C2523" s="5" t="s">
        <v>7427</v>
      </c>
      <c r="D2523" s="5"/>
      <c r="E2523" s="5" t="s">
        <v>7429</v>
      </c>
      <c r="F2523" s="6" t="s">
        <v>1166</v>
      </c>
      <c r="G2523" s="6" t="s">
        <v>1167</v>
      </c>
    </row>
    <row r="2524" spans="1:7" ht="15.75" customHeight="1">
      <c r="A2524" s="3">
        <v>249943832</v>
      </c>
      <c r="B2524" s="4" t="s">
        <v>7430</v>
      </c>
      <c r="C2524" s="3" t="s">
        <v>7431</v>
      </c>
      <c r="D2524" s="3"/>
      <c r="E2524" s="3" t="s">
        <v>7432</v>
      </c>
      <c r="F2524" s="4" t="s">
        <v>1166</v>
      </c>
      <c r="G2524" s="4" t="s">
        <v>1167</v>
      </c>
    </row>
    <row r="2525" spans="1:7" ht="15.75" customHeight="1">
      <c r="A2525" s="5">
        <v>249947833</v>
      </c>
      <c r="B2525" s="6" t="s">
        <v>7433</v>
      </c>
      <c r="C2525" s="5" t="s">
        <v>7434</v>
      </c>
      <c r="D2525" s="5"/>
      <c r="E2525" s="5" t="s">
        <v>7435</v>
      </c>
      <c r="F2525" s="6" t="s">
        <v>1166</v>
      </c>
      <c r="G2525" s="6" t="s">
        <v>1167</v>
      </c>
    </row>
    <row r="2526" spans="1:7" ht="15.75" customHeight="1">
      <c r="A2526" s="3">
        <v>250024356</v>
      </c>
      <c r="B2526" s="4" t="s">
        <v>3392</v>
      </c>
      <c r="C2526" s="3" t="s">
        <v>7436</v>
      </c>
      <c r="D2526" s="3" t="s">
        <v>7437</v>
      </c>
      <c r="E2526" s="3" t="s">
        <v>7438</v>
      </c>
      <c r="F2526" s="4" t="s">
        <v>1166</v>
      </c>
      <c r="G2526" s="4" t="s">
        <v>1167</v>
      </c>
    </row>
    <row r="2527" spans="1:7" ht="15.75" customHeight="1">
      <c r="A2527" s="5">
        <v>250024356</v>
      </c>
      <c r="B2527" s="6" t="s">
        <v>3392</v>
      </c>
      <c r="C2527" s="5" t="s">
        <v>7436</v>
      </c>
      <c r="D2527" s="5" t="s">
        <v>7437</v>
      </c>
      <c r="E2527" s="5" t="s">
        <v>7439</v>
      </c>
      <c r="F2527" s="6" t="s">
        <v>1215</v>
      </c>
      <c r="G2527" s="6" t="s">
        <v>1216</v>
      </c>
    </row>
    <row r="2528" spans="1:7" ht="15.75" customHeight="1">
      <c r="A2528" s="3">
        <v>250118195</v>
      </c>
      <c r="B2528" s="4" t="s">
        <v>7440</v>
      </c>
      <c r="C2528" s="3" t="s">
        <v>7441</v>
      </c>
      <c r="D2528" s="3" t="s">
        <v>7442</v>
      </c>
      <c r="E2528" s="3" t="s">
        <v>7443</v>
      </c>
      <c r="F2528" s="4" t="s">
        <v>1243</v>
      </c>
      <c r="G2528" s="4" t="s">
        <v>1244</v>
      </c>
    </row>
    <row r="2529" spans="1:7" ht="15.75" customHeight="1">
      <c r="A2529" s="5">
        <v>250146168</v>
      </c>
      <c r="B2529" s="6" t="s">
        <v>7444</v>
      </c>
      <c r="C2529" s="5" t="s">
        <v>7445</v>
      </c>
      <c r="D2529" s="5" t="s">
        <v>7446</v>
      </c>
      <c r="E2529" s="5" t="s">
        <v>7447</v>
      </c>
      <c r="F2529" s="6" t="s">
        <v>7323</v>
      </c>
      <c r="G2529" s="6" t="s">
        <v>7324</v>
      </c>
    </row>
    <row r="2530" spans="1:7" ht="15.75" customHeight="1">
      <c r="A2530" s="3">
        <v>250213715</v>
      </c>
      <c r="B2530" s="4" t="s">
        <v>7448</v>
      </c>
      <c r="C2530" s="3" t="s">
        <v>7449</v>
      </c>
      <c r="D2530" s="3" t="s">
        <v>7450</v>
      </c>
      <c r="E2530" s="3" t="s">
        <v>7451</v>
      </c>
      <c r="F2530" s="4" t="s">
        <v>7323</v>
      </c>
      <c r="G2530" s="4" t="s">
        <v>7324</v>
      </c>
    </row>
    <row r="2531" spans="1:7" ht="15.75" customHeight="1">
      <c r="A2531" s="5">
        <v>250227893</v>
      </c>
      <c r="B2531" s="6" t="s">
        <v>7452</v>
      </c>
      <c r="C2531" s="5" t="s">
        <v>7453</v>
      </c>
      <c r="D2531" s="5">
        <v>79035733220</v>
      </c>
      <c r="E2531" s="5" t="s">
        <v>7454</v>
      </c>
      <c r="F2531" s="6" t="s">
        <v>1243</v>
      </c>
      <c r="G2531" s="6" t="s">
        <v>1244</v>
      </c>
    </row>
    <row r="2532" spans="1:7" ht="15.75" customHeight="1">
      <c r="A2532" s="3">
        <v>250229675</v>
      </c>
      <c r="B2532" s="4" t="s">
        <v>7455</v>
      </c>
      <c r="C2532" s="3" t="s">
        <v>7456</v>
      </c>
      <c r="D2532" s="3" t="s">
        <v>7457</v>
      </c>
      <c r="E2532" s="3" t="s">
        <v>7458</v>
      </c>
      <c r="F2532" s="4" t="s">
        <v>1243</v>
      </c>
      <c r="G2532" s="4" t="s">
        <v>1244</v>
      </c>
    </row>
    <row r="2533" spans="1:7" ht="15.75" customHeight="1">
      <c r="A2533" s="5">
        <v>250248793</v>
      </c>
      <c r="B2533" s="6" t="s">
        <v>7459</v>
      </c>
      <c r="C2533" s="5" t="s">
        <v>7460</v>
      </c>
      <c r="D2533" s="5" t="s">
        <v>7461</v>
      </c>
      <c r="E2533" s="5" t="s">
        <v>7462</v>
      </c>
      <c r="F2533" s="6" t="s">
        <v>1243</v>
      </c>
      <c r="G2533" s="6" t="s">
        <v>1244</v>
      </c>
    </row>
    <row r="2534" spans="1:7" ht="15.75" customHeight="1">
      <c r="A2534" s="3">
        <v>250268067</v>
      </c>
      <c r="B2534" s="4" t="s">
        <v>7463</v>
      </c>
      <c r="C2534" s="3" t="s">
        <v>7464</v>
      </c>
      <c r="D2534" s="3" t="s">
        <v>7465</v>
      </c>
      <c r="E2534" s="3" t="s">
        <v>7466</v>
      </c>
      <c r="F2534" s="4" t="s">
        <v>1243</v>
      </c>
      <c r="G2534" s="4" t="s">
        <v>1244</v>
      </c>
    </row>
    <row r="2535" spans="1:7" ht="15.75" customHeight="1">
      <c r="A2535" s="5">
        <v>250283510</v>
      </c>
      <c r="B2535" s="6" t="s">
        <v>7467</v>
      </c>
      <c r="C2535" s="5" t="s">
        <v>7468</v>
      </c>
      <c r="D2535" s="5">
        <v>79094567800</v>
      </c>
      <c r="E2535" s="5" t="s">
        <v>7469</v>
      </c>
      <c r="F2535" s="6" t="s">
        <v>1243</v>
      </c>
      <c r="G2535" s="6" t="s">
        <v>1244</v>
      </c>
    </row>
    <row r="2536" spans="1:7" ht="15.75" customHeight="1">
      <c r="A2536" s="3">
        <v>250350579</v>
      </c>
      <c r="B2536" s="4" t="s">
        <v>1002</v>
      </c>
      <c r="C2536" s="3" t="s">
        <v>7470</v>
      </c>
      <c r="D2536" s="3"/>
      <c r="E2536" s="3" t="s">
        <v>7471</v>
      </c>
      <c r="F2536" s="4" t="s">
        <v>960</v>
      </c>
      <c r="G2536" s="4" t="s">
        <v>961</v>
      </c>
    </row>
    <row r="2537" spans="1:7" ht="15.75" customHeight="1">
      <c r="A2537" s="5">
        <v>250375084</v>
      </c>
      <c r="B2537" s="6" t="s">
        <v>7472</v>
      </c>
      <c r="C2537" s="5" t="s">
        <v>7473</v>
      </c>
      <c r="D2537" s="5"/>
      <c r="E2537" s="5" t="s">
        <v>7474</v>
      </c>
      <c r="F2537" s="6" t="s">
        <v>960</v>
      </c>
      <c r="G2537" s="6" t="s">
        <v>961</v>
      </c>
    </row>
    <row r="2538" spans="1:7" ht="15.75" customHeight="1">
      <c r="A2538" s="3">
        <v>250380333</v>
      </c>
      <c r="B2538" s="4" t="s">
        <v>7475</v>
      </c>
      <c r="C2538" s="3" t="s">
        <v>7476</v>
      </c>
      <c r="D2538" s="3"/>
      <c r="E2538" s="3" t="s">
        <v>7477</v>
      </c>
      <c r="F2538" s="4" t="s">
        <v>960</v>
      </c>
      <c r="G2538" s="4" t="s">
        <v>961</v>
      </c>
    </row>
    <row r="2539" spans="1:7" ht="15.75" customHeight="1">
      <c r="A2539" s="5">
        <v>250380852</v>
      </c>
      <c r="B2539" s="6" t="s">
        <v>7478</v>
      </c>
      <c r="C2539" s="5" t="s">
        <v>7479</v>
      </c>
      <c r="D2539" s="5"/>
      <c r="E2539" s="5" t="s">
        <v>7480</v>
      </c>
      <c r="F2539" s="6" t="s">
        <v>960</v>
      </c>
      <c r="G2539" s="6" t="s">
        <v>961</v>
      </c>
    </row>
    <row r="2540" spans="1:7" ht="15.75" customHeight="1">
      <c r="A2540" s="3">
        <v>250382248</v>
      </c>
      <c r="B2540" s="4" t="s">
        <v>7481</v>
      </c>
      <c r="C2540" s="3" t="s">
        <v>7482</v>
      </c>
      <c r="D2540" s="3"/>
      <c r="E2540" s="3" t="s">
        <v>7483</v>
      </c>
      <c r="F2540" s="4" t="s">
        <v>960</v>
      </c>
      <c r="G2540" s="4" t="s">
        <v>961</v>
      </c>
    </row>
    <row r="2541" spans="1:7" ht="15.75" customHeight="1">
      <c r="A2541" s="5">
        <v>250384738</v>
      </c>
      <c r="B2541" s="6" t="s">
        <v>7484</v>
      </c>
      <c r="C2541" s="5" t="s">
        <v>7485</v>
      </c>
      <c r="D2541" s="5"/>
      <c r="E2541" s="5" t="s">
        <v>7486</v>
      </c>
      <c r="F2541" s="6" t="s">
        <v>960</v>
      </c>
      <c r="G2541" s="6" t="s">
        <v>961</v>
      </c>
    </row>
    <row r="2542" spans="1:7" ht="15.75" customHeight="1">
      <c r="A2542" s="3">
        <v>250386384</v>
      </c>
      <c r="B2542" s="4" t="s">
        <v>7487</v>
      </c>
      <c r="C2542" s="3" t="s">
        <v>7488</v>
      </c>
      <c r="D2542" s="3"/>
      <c r="E2542" s="3" t="s">
        <v>7489</v>
      </c>
      <c r="F2542" s="4" t="s">
        <v>960</v>
      </c>
      <c r="G2542" s="4" t="s">
        <v>961</v>
      </c>
    </row>
    <row r="2543" spans="1:7" ht="15.75" customHeight="1">
      <c r="A2543" s="5">
        <v>250389709</v>
      </c>
      <c r="B2543" s="6" t="s">
        <v>7490</v>
      </c>
      <c r="C2543" s="5" t="s">
        <v>7491</v>
      </c>
      <c r="D2543" s="5"/>
      <c r="E2543" s="5" t="s">
        <v>7492</v>
      </c>
      <c r="F2543" s="6" t="s">
        <v>960</v>
      </c>
      <c r="G2543" s="6" t="s">
        <v>961</v>
      </c>
    </row>
    <row r="2544" spans="1:7" ht="15.75" customHeight="1">
      <c r="A2544" s="3">
        <v>250393042</v>
      </c>
      <c r="B2544" s="4" t="s">
        <v>7493</v>
      </c>
      <c r="C2544" s="3" t="s">
        <v>7494</v>
      </c>
      <c r="D2544" s="3"/>
      <c r="E2544" s="3" t="s">
        <v>7495</v>
      </c>
      <c r="F2544" s="4" t="s">
        <v>960</v>
      </c>
      <c r="G2544" s="4" t="s">
        <v>961</v>
      </c>
    </row>
    <row r="2545" spans="1:7" ht="15.75" customHeight="1">
      <c r="A2545" s="5">
        <v>250393769</v>
      </c>
      <c r="B2545" s="6" t="s">
        <v>7496</v>
      </c>
      <c r="C2545" s="5" t="s">
        <v>7497</v>
      </c>
      <c r="D2545" s="5"/>
      <c r="E2545" s="5" t="s">
        <v>7498</v>
      </c>
      <c r="F2545" s="6" t="s">
        <v>960</v>
      </c>
      <c r="G2545" s="6" t="s">
        <v>961</v>
      </c>
    </row>
    <row r="2546" spans="1:7" ht="15.75" customHeight="1">
      <c r="A2546" s="3">
        <v>250395240</v>
      </c>
      <c r="B2546" s="4" t="s">
        <v>7499</v>
      </c>
      <c r="C2546" s="3" t="s">
        <v>7500</v>
      </c>
      <c r="D2546" s="3"/>
      <c r="E2546" s="3" t="s">
        <v>7501</v>
      </c>
      <c r="F2546" s="4" t="s">
        <v>960</v>
      </c>
      <c r="G2546" s="4" t="s">
        <v>961</v>
      </c>
    </row>
    <row r="2547" spans="1:7" ht="15.75" customHeight="1">
      <c r="A2547" s="5">
        <v>250396481</v>
      </c>
      <c r="B2547" s="6" t="s">
        <v>7502</v>
      </c>
      <c r="C2547" s="5" t="s">
        <v>7503</v>
      </c>
      <c r="D2547" s="5"/>
      <c r="E2547" s="5" t="s">
        <v>7504</v>
      </c>
      <c r="F2547" s="6" t="s">
        <v>960</v>
      </c>
      <c r="G2547" s="6" t="s">
        <v>961</v>
      </c>
    </row>
    <row r="2548" spans="1:7" ht="15.75" customHeight="1">
      <c r="A2548" s="3">
        <v>250398381</v>
      </c>
      <c r="B2548" s="4" t="s">
        <v>7505</v>
      </c>
      <c r="C2548" s="3" t="s">
        <v>7506</v>
      </c>
      <c r="D2548" s="3"/>
      <c r="E2548" s="3" t="s">
        <v>7507</v>
      </c>
      <c r="F2548" s="4" t="s">
        <v>960</v>
      </c>
      <c r="G2548" s="4" t="s">
        <v>961</v>
      </c>
    </row>
    <row r="2549" spans="1:7" ht="15.75" customHeight="1">
      <c r="A2549" s="5">
        <v>250399764</v>
      </c>
      <c r="B2549" s="6" t="s">
        <v>7508</v>
      </c>
      <c r="C2549" s="5" t="s">
        <v>7509</v>
      </c>
      <c r="D2549" s="5"/>
      <c r="E2549" s="5" t="s">
        <v>7510</v>
      </c>
      <c r="F2549" s="6" t="s">
        <v>960</v>
      </c>
      <c r="G2549" s="6" t="s">
        <v>961</v>
      </c>
    </row>
    <row r="2550" spans="1:7" ht="15.75" customHeight="1">
      <c r="A2550" s="3">
        <v>250400279</v>
      </c>
      <c r="B2550" s="4" t="s">
        <v>7511</v>
      </c>
      <c r="C2550" s="3" t="s">
        <v>7512</v>
      </c>
      <c r="D2550" s="3">
        <v>7071311320</v>
      </c>
      <c r="E2550" s="3" t="s">
        <v>7513</v>
      </c>
      <c r="F2550" s="4" t="s">
        <v>960</v>
      </c>
      <c r="G2550" s="4" t="s">
        <v>961</v>
      </c>
    </row>
    <row r="2551" spans="1:7" ht="15.75" customHeight="1">
      <c r="A2551" s="5">
        <v>250400576</v>
      </c>
      <c r="B2551" s="6" t="s">
        <v>7514</v>
      </c>
      <c r="C2551" s="5" t="s">
        <v>7515</v>
      </c>
      <c r="D2551" s="5"/>
      <c r="E2551" s="5" t="s">
        <v>7516</v>
      </c>
      <c r="F2551" s="6" t="s">
        <v>960</v>
      </c>
      <c r="G2551" s="6" t="s">
        <v>961</v>
      </c>
    </row>
    <row r="2552" spans="1:7" ht="15.75" customHeight="1">
      <c r="A2552" s="3">
        <v>250406709</v>
      </c>
      <c r="B2552" s="4" t="s">
        <v>7517</v>
      </c>
      <c r="C2552" s="3" t="s">
        <v>7518</v>
      </c>
      <c r="D2552" s="3"/>
      <c r="E2552" s="3" t="s">
        <v>7519</v>
      </c>
      <c r="F2552" s="4" t="s">
        <v>960</v>
      </c>
      <c r="G2552" s="4" t="s">
        <v>961</v>
      </c>
    </row>
    <row r="2553" spans="1:7" ht="15.75" customHeight="1">
      <c r="A2553" s="5">
        <v>250408595</v>
      </c>
      <c r="B2553" s="6" t="s">
        <v>7520</v>
      </c>
      <c r="C2553" s="5" t="s">
        <v>7521</v>
      </c>
      <c r="D2553" s="5"/>
      <c r="E2553" s="5" t="s">
        <v>7522</v>
      </c>
      <c r="F2553" s="6" t="s">
        <v>960</v>
      </c>
      <c r="G2553" s="6" t="s">
        <v>961</v>
      </c>
    </row>
    <row r="2554" spans="1:7" ht="15.75" customHeight="1">
      <c r="A2554" s="3">
        <v>250409873</v>
      </c>
      <c r="B2554" s="4" t="s">
        <v>7523</v>
      </c>
      <c r="C2554" s="3" t="s">
        <v>7524</v>
      </c>
      <c r="D2554" s="3"/>
      <c r="E2554" s="3" t="s">
        <v>7525</v>
      </c>
      <c r="F2554" s="4" t="s">
        <v>960</v>
      </c>
      <c r="G2554" s="4" t="s">
        <v>961</v>
      </c>
    </row>
    <row r="2555" spans="1:7" ht="15.75" customHeight="1">
      <c r="A2555" s="5">
        <v>250415573</v>
      </c>
      <c r="B2555" s="6" t="s">
        <v>7526</v>
      </c>
      <c r="C2555" s="5" t="s">
        <v>7527</v>
      </c>
      <c r="D2555" s="5"/>
      <c r="E2555" s="5" t="s">
        <v>7528</v>
      </c>
      <c r="F2555" s="6" t="s">
        <v>960</v>
      </c>
      <c r="G2555" s="6" t="s">
        <v>961</v>
      </c>
    </row>
    <row r="2556" spans="1:7" ht="15.75" customHeight="1">
      <c r="A2556" s="3">
        <v>250419384</v>
      </c>
      <c r="B2556" s="4" t="s">
        <v>7529</v>
      </c>
      <c r="C2556" s="3" t="s">
        <v>7530</v>
      </c>
      <c r="D2556" s="3" t="s">
        <v>7531</v>
      </c>
      <c r="E2556" s="3" t="s">
        <v>7532</v>
      </c>
      <c r="F2556" s="4" t="s">
        <v>960</v>
      </c>
      <c r="G2556" s="4" t="s">
        <v>961</v>
      </c>
    </row>
    <row r="2557" spans="1:7" ht="15.75" customHeight="1">
      <c r="A2557" s="5">
        <v>250423525</v>
      </c>
      <c r="B2557" s="6" t="s">
        <v>7533</v>
      </c>
      <c r="C2557" s="5" t="s">
        <v>7534</v>
      </c>
      <c r="D2557" s="5"/>
      <c r="E2557" s="5" t="s">
        <v>7535</v>
      </c>
      <c r="F2557" s="6" t="s">
        <v>960</v>
      </c>
      <c r="G2557" s="6" t="s">
        <v>961</v>
      </c>
    </row>
    <row r="2558" spans="1:7" ht="15.75" customHeight="1">
      <c r="A2558" s="3">
        <v>250423819</v>
      </c>
      <c r="B2558" s="4" t="s">
        <v>7536</v>
      </c>
      <c r="C2558" s="3" t="s">
        <v>7537</v>
      </c>
      <c r="D2558" s="3"/>
      <c r="E2558" s="3" t="s">
        <v>7538</v>
      </c>
      <c r="F2558" s="4" t="s">
        <v>960</v>
      </c>
      <c r="G2558" s="4" t="s">
        <v>961</v>
      </c>
    </row>
    <row r="2559" spans="1:7" ht="15.75" customHeight="1">
      <c r="A2559" s="5">
        <v>250431270</v>
      </c>
      <c r="B2559" s="6" t="s">
        <v>7539</v>
      </c>
      <c r="C2559" s="5" t="s">
        <v>7540</v>
      </c>
      <c r="D2559" s="5"/>
      <c r="E2559" s="5" t="s">
        <v>7541</v>
      </c>
      <c r="F2559" s="6" t="s">
        <v>960</v>
      </c>
      <c r="G2559" s="6" t="s">
        <v>961</v>
      </c>
    </row>
    <row r="2560" spans="1:7" ht="15.75" customHeight="1">
      <c r="A2560" s="3">
        <v>250444749</v>
      </c>
      <c r="B2560" s="4" t="s">
        <v>7542</v>
      </c>
      <c r="C2560" s="3" t="s">
        <v>7543</v>
      </c>
      <c r="D2560" s="3"/>
      <c r="E2560" s="3" t="s">
        <v>7544</v>
      </c>
      <c r="F2560" s="4" t="s">
        <v>960</v>
      </c>
      <c r="G2560" s="4" t="s">
        <v>961</v>
      </c>
    </row>
    <row r="2561" spans="1:7" ht="15.75" customHeight="1">
      <c r="A2561" s="5">
        <v>250503185</v>
      </c>
      <c r="B2561" s="6" t="s">
        <v>7545</v>
      </c>
      <c r="C2561" s="5" t="s">
        <v>7546</v>
      </c>
      <c r="D2561" s="5"/>
      <c r="E2561" s="5" t="s">
        <v>7547</v>
      </c>
      <c r="F2561" s="6" t="s">
        <v>960</v>
      </c>
      <c r="G2561" s="6" t="s">
        <v>961</v>
      </c>
    </row>
    <row r="2562" spans="1:7" ht="15.75" customHeight="1">
      <c r="A2562" s="3">
        <v>250504369</v>
      </c>
      <c r="B2562" s="4" t="s">
        <v>7548</v>
      </c>
      <c r="C2562" s="3" t="s">
        <v>7549</v>
      </c>
      <c r="D2562" s="3"/>
      <c r="E2562" s="3" t="s">
        <v>7550</v>
      </c>
      <c r="F2562" s="4" t="s">
        <v>960</v>
      </c>
      <c r="G2562" s="4" t="s">
        <v>961</v>
      </c>
    </row>
    <row r="2563" spans="1:7" ht="15.75" customHeight="1">
      <c r="A2563" s="5">
        <v>250508987</v>
      </c>
      <c r="B2563" s="6" t="s">
        <v>7551</v>
      </c>
      <c r="C2563" s="5" t="s">
        <v>7552</v>
      </c>
      <c r="D2563" s="5">
        <v>79601579629</v>
      </c>
      <c r="E2563" s="5" t="s">
        <v>7553</v>
      </c>
      <c r="F2563" s="6" t="s">
        <v>5750</v>
      </c>
      <c r="G2563" s="6" t="s">
        <v>5751</v>
      </c>
    </row>
    <row r="2564" spans="1:7" ht="15.75" customHeight="1">
      <c r="A2564" s="3">
        <v>250509788</v>
      </c>
      <c r="B2564" s="4" t="s">
        <v>4524</v>
      </c>
      <c r="C2564" s="3" t="s">
        <v>7554</v>
      </c>
      <c r="D2564" s="3"/>
      <c r="E2564" s="3" t="s">
        <v>7555</v>
      </c>
      <c r="F2564" s="4" t="s">
        <v>960</v>
      </c>
      <c r="G2564" s="4" t="s">
        <v>961</v>
      </c>
    </row>
    <row r="2565" spans="1:7" ht="15.75" customHeight="1">
      <c r="A2565" s="5">
        <v>250510444</v>
      </c>
      <c r="B2565" s="6" t="s">
        <v>7556</v>
      </c>
      <c r="C2565" s="5" t="s">
        <v>7557</v>
      </c>
      <c r="D2565" s="5"/>
      <c r="E2565" s="5" t="s">
        <v>7558</v>
      </c>
      <c r="F2565" s="6" t="s">
        <v>960</v>
      </c>
      <c r="G2565" s="6" t="s">
        <v>961</v>
      </c>
    </row>
    <row r="2566" spans="1:7" ht="15.75" customHeight="1">
      <c r="A2566" s="3">
        <v>250551468</v>
      </c>
      <c r="B2566" s="4" t="s">
        <v>7559</v>
      </c>
      <c r="C2566" s="3" t="s">
        <v>7560</v>
      </c>
      <c r="D2566" s="3"/>
      <c r="E2566" s="3" t="s">
        <v>7561</v>
      </c>
      <c r="F2566" s="4" t="s">
        <v>960</v>
      </c>
      <c r="G2566" s="4" t="s">
        <v>961</v>
      </c>
    </row>
    <row r="2567" spans="1:7" ht="15.75" customHeight="1">
      <c r="A2567" s="5">
        <v>250558674</v>
      </c>
      <c r="B2567" s="6" t="s">
        <v>7562</v>
      </c>
      <c r="C2567" s="5" t="s">
        <v>7563</v>
      </c>
      <c r="D2567" s="5"/>
      <c r="E2567" s="5" t="s">
        <v>7564</v>
      </c>
      <c r="F2567" s="6" t="s">
        <v>1166</v>
      </c>
      <c r="G2567" s="6" t="s">
        <v>1167</v>
      </c>
    </row>
    <row r="2568" spans="1:7" ht="15.75" customHeight="1">
      <c r="A2568" s="3">
        <v>250620480</v>
      </c>
      <c r="B2568" s="4" t="s">
        <v>7565</v>
      </c>
      <c r="C2568" s="3" t="s">
        <v>7566</v>
      </c>
      <c r="D2568" s="3"/>
      <c r="E2568" s="3" t="s">
        <v>7567</v>
      </c>
      <c r="F2568" s="4" t="s">
        <v>960</v>
      </c>
      <c r="G2568" s="4" t="s">
        <v>961</v>
      </c>
    </row>
    <row r="2569" spans="1:7" ht="15.75" customHeight="1">
      <c r="A2569" s="5">
        <v>250635258</v>
      </c>
      <c r="B2569" s="6" t="s">
        <v>7568</v>
      </c>
      <c r="C2569" s="5" t="s">
        <v>7569</v>
      </c>
      <c r="D2569" s="5"/>
      <c r="E2569" s="5" t="s">
        <v>7570</v>
      </c>
      <c r="F2569" s="6" t="s">
        <v>960</v>
      </c>
      <c r="G2569" s="6" t="s">
        <v>961</v>
      </c>
    </row>
    <row r="2570" spans="1:7" ht="15.75" customHeight="1">
      <c r="A2570" s="3">
        <v>250645978</v>
      </c>
      <c r="B2570" s="4" t="s">
        <v>7571</v>
      </c>
      <c r="C2570" s="3" t="s">
        <v>7572</v>
      </c>
      <c r="D2570" s="3"/>
      <c r="E2570" s="3" t="s">
        <v>7573</v>
      </c>
      <c r="F2570" s="4" t="s">
        <v>960</v>
      </c>
      <c r="G2570" s="4" t="s">
        <v>961</v>
      </c>
    </row>
    <row r="2571" spans="1:7" ht="15.75" customHeight="1">
      <c r="A2571" s="5">
        <v>250662092</v>
      </c>
      <c r="B2571" s="6" t="s">
        <v>7574</v>
      </c>
      <c r="C2571" s="5" t="s">
        <v>7575</v>
      </c>
      <c r="D2571" s="5"/>
      <c r="E2571" s="5" t="s">
        <v>7576</v>
      </c>
      <c r="F2571" s="6" t="s">
        <v>960</v>
      </c>
      <c r="G2571" s="6" t="s">
        <v>961</v>
      </c>
    </row>
    <row r="2572" spans="1:7" ht="15.75" customHeight="1">
      <c r="A2572" s="3">
        <v>250665285</v>
      </c>
      <c r="B2572" s="4" t="s">
        <v>7577</v>
      </c>
      <c r="C2572" s="3" t="s">
        <v>7578</v>
      </c>
      <c r="D2572" s="3"/>
      <c r="E2572" s="3" t="s">
        <v>7579</v>
      </c>
      <c r="F2572" s="4" t="s">
        <v>960</v>
      </c>
      <c r="G2572" s="4" t="s">
        <v>961</v>
      </c>
    </row>
    <row r="2573" spans="1:7" ht="15.75" customHeight="1">
      <c r="A2573" s="5">
        <v>250678128</v>
      </c>
      <c r="B2573" s="6" t="s">
        <v>7580</v>
      </c>
      <c r="C2573" s="5" t="s">
        <v>7581</v>
      </c>
      <c r="D2573" s="5"/>
      <c r="E2573" s="5" t="s">
        <v>7582</v>
      </c>
      <c r="F2573" s="6" t="s">
        <v>960</v>
      </c>
      <c r="G2573" s="6" t="s">
        <v>961</v>
      </c>
    </row>
    <row r="2574" spans="1:7" ht="15.75" customHeight="1">
      <c r="A2574" s="3">
        <v>250710991</v>
      </c>
      <c r="B2574" s="4" t="s">
        <v>7583</v>
      </c>
      <c r="C2574" s="3" t="s">
        <v>7584</v>
      </c>
      <c r="D2574" s="3"/>
      <c r="E2574" s="3" t="s">
        <v>7585</v>
      </c>
      <c r="F2574" s="4" t="s">
        <v>960</v>
      </c>
      <c r="G2574" s="4" t="s">
        <v>961</v>
      </c>
    </row>
    <row r="2575" spans="1:7" ht="15.75" customHeight="1">
      <c r="A2575" s="5">
        <v>250738315</v>
      </c>
      <c r="B2575" s="6" t="s">
        <v>7586</v>
      </c>
      <c r="C2575" s="5" t="s">
        <v>7587</v>
      </c>
      <c r="D2575" s="5"/>
      <c r="E2575" s="5" t="s">
        <v>7588</v>
      </c>
      <c r="F2575" s="6" t="s">
        <v>960</v>
      </c>
      <c r="G2575" s="6" t="s">
        <v>961</v>
      </c>
    </row>
    <row r="2576" spans="1:7" ht="15.75" customHeight="1">
      <c r="A2576" s="3">
        <v>250739051</v>
      </c>
      <c r="B2576" s="4" t="s">
        <v>7589</v>
      </c>
      <c r="C2576" s="3" t="s">
        <v>7590</v>
      </c>
      <c r="D2576" s="3"/>
      <c r="E2576" s="3" t="s">
        <v>7591</v>
      </c>
      <c r="F2576" s="4" t="s">
        <v>960</v>
      </c>
      <c r="G2576" s="4" t="s">
        <v>961</v>
      </c>
    </row>
    <row r="2577" spans="1:7" ht="15.75" customHeight="1">
      <c r="A2577" s="5">
        <v>250739574</v>
      </c>
      <c r="B2577" s="6" t="s">
        <v>7592</v>
      </c>
      <c r="C2577" s="5" t="s">
        <v>7593</v>
      </c>
      <c r="D2577" s="5">
        <v>79998309733</v>
      </c>
      <c r="E2577" s="5" t="s">
        <v>7594</v>
      </c>
      <c r="F2577" s="6" t="s">
        <v>960</v>
      </c>
      <c r="G2577" s="6" t="s">
        <v>961</v>
      </c>
    </row>
    <row r="2578" spans="1:7" ht="15.75" customHeight="1">
      <c r="A2578" s="3">
        <v>250742328</v>
      </c>
      <c r="B2578" s="4" t="s">
        <v>7595</v>
      </c>
      <c r="C2578" s="3" t="s">
        <v>7596</v>
      </c>
      <c r="D2578" s="3"/>
      <c r="E2578" s="3" t="s">
        <v>7597</v>
      </c>
      <c r="F2578" s="4" t="s">
        <v>960</v>
      </c>
      <c r="G2578" s="4" t="s">
        <v>961</v>
      </c>
    </row>
    <row r="2579" spans="1:7" ht="15.75" customHeight="1">
      <c r="A2579" s="5">
        <v>250751753</v>
      </c>
      <c r="B2579" s="6" t="s">
        <v>7598</v>
      </c>
      <c r="C2579" s="5" t="s">
        <v>7599</v>
      </c>
      <c r="D2579" s="5"/>
      <c r="E2579" s="5" t="s">
        <v>7600</v>
      </c>
      <c r="F2579" s="6" t="s">
        <v>960</v>
      </c>
      <c r="G2579" s="6" t="s">
        <v>961</v>
      </c>
    </row>
    <row r="2580" spans="1:7" ht="15.75" customHeight="1">
      <c r="A2580" s="3">
        <v>250752383</v>
      </c>
      <c r="B2580" s="4" t="s">
        <v>7601</v>
      </c>
      <c r="C2580" s="3" t="s">
        <v>7602</v>
      </c>
      <c r="D2580" s="3"/>
      <c r="E2580" s="3" t="s">
        <v>7603</v>
      </c>
      <c r="F2580" s="4" t="s">
        <v>960</v>
      </c>
      <c r="G2580" s="4" t="s">
        <v>961</v>
      </c>
    </row>
    <row r="2581" spans="1:7" ht="15.75" customHeight="1">
      <c r="A2581" s="5">
        <v>250754292</v>
      </c>
      <c r="B2581" s="6" t="s">
        <v>7604</v>
      </c>
      <c r="C2581" s="5" t="s">
        <v>7605</v>
      </c>
      <c r="D2581" s="5" t="s">
        <v>7606</v>
      </c>
      <c r="E2581" s="5" t="s">
        <v>7607</v>
      </c>
      <c r="F2581" s="6" t="s">
        <v>7323</v>
      </c>
      <c r="G2581" s="6" t="s">
        <v>7324</v>
      </c>
    </row>
    <row r="2582" spans="1:7" ht="15.75" customHeight="1">
      <c r="A2582" s="3">
        <v>250759098</v>
      </c>
      <c r="B2582" s="4" t="s">
        <v>7608</v>
      </c>
      <c r="C2582" s="3" t="s">
        <v>7609</v>
      </c>
      <c r="D2582" s="3"/>
      <c r="E2582" s="3" t="s">
        <v>7610</v>
      </c>
      <c r="F2582" s="4" t="s">
        <v>960</v>
      </c>
      <c r="G2582" s="4" t="s">
        <v>961</v>
      </c>
    </row>
    <row r="2583" spans="1:7" ht="15.75" customHeight="1">
      <c r="A2583" s="5">
        <v>250760181</v>
      </c>
      <c r="B2583" s="6" t="s">
        <v>7611</v>
      </c>
      <c r="C2583" s="5" t="s">
        <v>7612</v>
      </c>
      <c r="D2583" s="5"/>
      <c r="E2583" s="5" t="s">
        <v>7613</v>
      </c>
      <c r="F2583" s="6" t="s">
        <v>960</v>
      </c>
      <c r="G2583" s="6" t="s">
        <v>961</v>
      </c>
    </row>
    <row r="2584" spans="1:7" ht="15.75" customHeight="1">
      <c r="A2584" s="3">
        <v>250760545</v>
      </c>
      <c r="B2584" s="4" t="s">
        <v>7614</v>
      </c>
      <c r="C2584" s="3" t="s">
        <v>7615</v>
      </c>
      <c r="D2584" s="3"/>
      <c r="E2584" s="3" t="s">
        <v>7616</v>
      </c>
      <c r="F2584" s="4" t="s">
        <v>960</v>
      </c>
      <c r="G2584" s="4" t="s">
        <v>961</v>
      </c>
    </row>
    <row r="2585" spans="1:7" ht="15.75" customHeight="1">
      <c r="A2585" s="5">
        <v>250762541</v>
      </c>
      <c r="B2585" s="6" t="s">
        <v>7617</v>
      </c>
      <c r="C2585" s="5" t="s">
        <v>7618</v>
      </c>
      <c r="D2585" s="5"/>
      <c r="E2585" s="5" t="s">
        <v>7619</v>
      </c>
      <c r="F2585" s="6" t="s">
        <v>960</v>
      </c>
      <c r="G2585" s="6" t="s">
        <v>961</v>
      </c>
    </row>
    <row r="2586" spans="1:7" ht="15.75" customHeight="1">
      <c r="A2586" s="3">
        <v>250763105</v>
      </c>
      <c r="B2586" s="4" t="s">
        <v>7620</v>
      </c>
      <c r="C2586" s="3" t="s">
        <v>7621</v>
      </c>
      <c r="D2586" s="3"/>
      <c r="E2586" s="3" t="s">
        <v>7622</v>
      </c>
      <c r="F2586" s="4" t="s">
        <v>960</v>
      </c>
      <c r="G2586" s="4" t="s">
        <v>961</v>
      </c>
    </row>
    <row r="2587" spans="1:7" ht="15.75" customHeight="1">
      <c r="A2587" s="5">
        <v>250768999</v>
      </c>
      <c r="B2587" s="6" t="s">
        <v>7623</v>
      </c>
      <c r="C2587" s="5" t="s">
        <v>7624</v>
      </c>
      <c r="D2587" s="5"/>
      <c r="E2587" s="5" t="s">
        <v>7625</v>
      </c>
      <c r="F2587" s="6" t="s">
        <v>960</v>
      </c>
      <c r="G2587" s="6" t="s">
        <v>961</v>
      </c>
    </row>
    <row r="2588" spans="1:7" ht="15.75" customHeight="1">
      <c r="A2588" s="3">
        <v>250770630</v>
      </c>
      <c r="B2588" s="4" t="s">
        <v>7626</v>
      </c>
      <c r="C2588" s="3" t="s">
        <v>7627</v>
      </c>
      <c r="D2588" s="3"/>
      <c r="E2588" s="3" t="s">
        <v>7628</v>
      </c>
      <c r="F2588" s="4" t="s">
        <v>960</v>
      </c>
      <c r="G2588" s="4" t="s">
        <v>961</v>
      </c>
    </row>
    <row r="2589" spans="1:7" ht="15.75" customHeight="1">
      <c r="A2589" s="5">
        <v>250773920</v>
      </c>
      <c r="B2589" s="6" t="s">
        <v>7629</v>
      </c>
      <c r="C2589" s="5" t="s">
        <v>7630</v>
      </c>
      <c r="D2589" s="5" t="s">
        <v>7631</v>
      </c>
      <c r="E2589" s="5" t="s">
        <v>7632</v>
      </c>
      <c r="F2589" s="6" t="s">
        <v>960</v>
      </c>
      <c r="G2589" s="6" t="s">
        <v>961</v>
      </c>
    </row>
    <row r="2590" spans="1:7" ht="15.75" customHeight="1">
      <c r="A2590" s="3">
        <v>250776993</v>
      </c>
      <c r="B2590" s="4" t="s">
        <v>7633</v>
      </c>
      <c r="C2590" s="3" t="s">
        <v>7634</v>
      </c>
      <c r="D2590" s="3"/>
      <c r="E2590" s="3" t="s">
        <v>7635</v>
      </c>
      <c r="F2590" s="4" t="s">
        <v>960</v>
      </c>
      <c r="G2590" s="4" t="s">
        <v>961</v>
      </c>
    </row>
    <row r="2591" spans="1:7" ht="15.75" customHeight="1">
      <c r="A2591" s="5">
        <v>250781544</v>
      </c>
      <c r="B2591" s="6" t="s">
        <v>7636</v>
      </c>
      <c r="C2591" s="5" t="s">
        <v>7637</v>
      </c>
      <c r="D2591" s="5" t="s">
        <v>7638</v>
      </c>
      <c r="E2591" s="5" t="s">
        <v>7639</v>
      </c>
      <c r="F2591" s="6" t="s">
        <v>7640</v>
      </c>
      <c r="G2591" s="6" t="s">
        <v>7641</v>
      </c>
    </row>
    <row r="2592" spans="1:7" ht="15.75" customHeight="1">
      <c r="A2592" s="3">
        <v>250788496</v>
      </c>
      <c r="B2592" s="4" t="s">
        <v>7642</v>
      </c>
      <c r="C2592" s="3" t="s">
        <v>7643</v>
      </c>
      <c r="D2592" s="3">
        <v>87018086776</v>
      </c>
      <c r="E2592" s="3" t="s">
        <v>7644</v>
      </c>
      <c r="F2592" s="4" t="s">
        <v>960</v>
      </c>
      <c r="G2592" s="4" t="s">
        <v>961</v>
      </c>
    </row>
    <row r="2593" spans="1:7" ht="15.75" customHeight="1">
      <c r="A2593" s="5">
        <v>250792743</v>
      </c>
      <c r="B2593" s="6" t="s">
        <v>7645</v>
      </c>
      <c r="C2593" s="5" t="s">
        <v>7646</v>
      </c>
      <c r="D2593" s="5"/>
      <c r="E2593" s="5" t="s">
        <v>7647</v>
      </c>
      <c r="F2593" s="6" t="s">
        <v>960</v>
      </c>
      <c r="G2593" s="6" t="s">
        <v>961</v>
      </c>
    </row>
    <row r="2594" spans="1:7" ht="15.75" customHeight="1">
      <c r="A2594" s="3">
        <v>250801313</v>
      </c>
      <c r="B2594" s="4" t="s">
        <v>7648</v>
      </c>
      <c r="C2594" s="3" t="s">
        <v>7649</v>
      </c>
      <c r="D2594" s="3"/>
      <c r="E2594" s="3" t="s">
        <v>7650</v>
      </c>
      <c r="F2594" s="4" t="s">
        <v>960</v>
      </c>
      <c r="G2594" s="4" t="s">
        <v>961</v>
      </c>
    </row>
    <row r="2595" spans="1:7" ht="15.75" customHeight="1">
      <c r="A2595" s="5">
        <v>250812096</v>
      </c>
      <c r="B2595" s="6" t="s">
        <v>7651</v>
      </c>
      <c r="C2595" s="5" t="s">
        <v>7652</v>
      </c>
      <c r="D2595" s="5"/>
      <c r="E2595" s="5" t="s">
        <v>7653</v>
      </c>
      <c r="F2595" s="6" t="s">
        <v>960</v>
      </c>
      <c r="G2595" s="6" t="s">
        <v>961</v>
      </c>
    </row>
    <row r="2596" spans="1:7" ht="15.75" customHeight="1">
      <c r="A2596" s="3">
        <v>250817319</v>
      </c>
      <c r="B2596" s="4" t="s">
        <v>7654</v>
      </c>
      <c r="C2596" s="3" t="s">
        <v>7655</v>
      </c>
      <c r="D2596" s="3"/>
      <c r="E2596" s="3" t="s">
        <v>7656</v>
      </c>
      <c r="F2596" s="4" t="s">
        <v>960</v>
      </c>
      <c r="G2596" s="4" t="s">
        <v>961</v>
      </c>
    </row>
    <row r="2597" spans="1:7" ht="15.75" customHeight="1">
      <c r="A2597" s="5">
        <v>250824935</v>
      </c>
      <c r="B2597" s="6" t="s">
        <v>7657</v>
      </c>
      <c r="C2597" s="5" t="s">
        <v>7658</v>
      </c>
      <c r="D2597" s="5"/>
      <c r="E2597" s="5" t="s">
        <v>7659</v>
      </c>
      <c r="F2597" s="6" t="s">
        <v>960</v>
      </c>
      <c r="G2597" s="6" t="s">
        <v>961</v>
      </c>
    </row>
    <row r="2598" spans="1:7" ht="15.75" customHeight="1">
      <c r="A2598" s="3">
        <v>250833437</v>
      </c>
      <c r="B2598" s="4" t="s">
        <v>7660</v>
      </c>
      <c r="C2598" s="3" t="s">
        <v>7661</v>
      </c>
      <c r="D2598" s="3"/>
      <c r="E2598" s="3" t="s">
        <v>7662</v>
      </c>
      <c r="F2598" s="4" t="s">
        <v>960</v>
      </c>
      <c r="G2598" s="4" t="s">
        <v>961</v>
      </c>
    </row>
    <row r="2599" spans="1:7" ht="15.75" customHeight="1">
      <c r="A2599" s="5">
        <v>250837231</v>
      </c>
      <c r="B2599" s="6" t="s">
        <v>7663</v>
      </c>
      <c r="C2599" s="5" t="s">
        <v>7664</v>
      </c>
      <c r="D2599" s="5"/>
      <c r="E2599" s="5" t="s">
        <v>7665</v>
      </c>
      <c r="F2599" s="6" t="s">
        <v>1166</v>
      </c>
      <c r="G2599" s="6" t="s">
        <v>1167</v>
      </c>
    </row>
    <row r="2600" spans="1:7" ht="15.75" customHeight="1">
      <c r="A2600" s="3">
        <v>250837231</v>
      </c>
      <c r="B2600" s="4" t="s">
        <v>7663</v>
      </c>
      <c r="C2600" s="3" t="s">
        <v>7664</v>
      </c>
      <c r="D2600" s="3"/>
      <c r="E2600" s="3" t="s">
        <v>7666</v>
      </c>
      <c r="F2600" s="4" t="s">
        <v>1166</v>
      </c>
      <c r="G2600" s="4" t="s">
        <v>1167</v>
      </c>
    </row>
    <row r="2601" spans="1:7" ht="15.75" customHeight="1">
      <c r="A2601" s="5">
        <v>250845749</v>
      </c>
      <c r="B2601" s="6" t="s">
        <v>7667</v>
      </c>
      <c r="C2601" s="5" t="s">
        <v>7668</v>
      </c>
      <c r="D2601" s="5"/>
      <c r="E2601" s="5" t="s">
        <v>7669</v>
      </c>
      <c r="F2601" s="6" t="s">
        <v>960</v>
      </c>
      <c r="G2601" s="6" t="s">
        <v>961</v>
      </c>
    </row>
    <row r="2602" spans="1:7" ht="15.75" customHeight="1">
      <c r="A2602" s="3">
        <v>250851957</v>
      </c>
      <c r="B2602" s="4" t="s">
        <v>7670</v>
      </c>
      <c r="C2602" s="3" t="s">
        <v>7671</v>
      </c>
      <c r="D2602" s="3" t="s">
        <v>7672</v>
      </c>
      <c r="E2602" s="3" t="s">
        <v>7673</v>
      </c>
      <c r="F2602" s="4" t="s">
        <v>960</v>
      </c>
      <c r="G2602" s="4" t="s">
        <v>961</v>
      </c>
    </row>
    <row r="2603" spans="1:7" ht="15.75" customHeight="1">
      <c r="A2603" s="5">
        <v>250856390</v>
      </c>
      <c r="B2603" s="6" t="s">
        <v>7674</v>
      </c>
      <c r="C2603" s="5" t="s">
        <v>7675</v>
      </c>
      <c r="D2603" s="5"/>
      <c r="E2603" s="5" t="s">
        <v>7676</v>
      </c>
      <c r="F2603" s="6" t="s">
        <v>960</v>
      </c>
      <c r="G2603" s="6" t="s">
        <v>961</v>
      </c>
    </row>
    <row r="2604" spans="1:7" ht="15.75" customHeight="1">
      <c r="A2604" s="3">
        <v>250859636</v>
      </c>
      <c r="B2604" s="4" t="s">
        <v>7677</v>
      </c>
      <c r="C2604" s="3" t="s">
        <v>7678</v>
      </c>
      <c r="D2604" s="3"/>
      <c r="E2604" s="3" t="s">
        <v>7679</v>
      </c>
      <c r="F2604" s="4" t="s">
        <v>960</v>
      </c>
      <c r="G2604" s="4" t="s">
        <v>961</v>
      </c>
    </row>
    <row r="2605" spans="1:7" ht="15.75" customHeight="1">
      <c r="A2605" s="5">
        <v>250876316</v>
      </c>
      <c r="B2605" s="6" t="s">
        <v>7680</v>
      </c>
      <c r="C2605" s="5" t="s">
        <v>7681</v>
      </c>
      <c r="D2605" s="5"/>
      <c r="E2605" s="5" t="s">
        <v>7682</v>
      </c>
      <c r="F2605" s="6" t="s">
        <v>960</v>
      </c>
      <c r="G2605" s="6" t="s">
        <v>961</v>
      </c>
    </row>
    <row r="2606" spans="1:7" ht="15.75" customHeight="1">
      <c r="A2606" s="3">
        <v>250894774</v>
      </c>
      <c r="B2606" s="4" t="s">
        <v>7683</v>
      </c>
      <c r="C2606" s="3" t="s">
        <v>7684</v>
      </c>
      <c r="D2606" s="3">
        <v>77084235200</v>
      </c>
      <c r="E2606" s="3" t="s">
        <v>7685</v>
      </c>
      <c r="F2606" s="4" t="s">
        <v>960</v>
      </c>
      <c r="G2606" s="4" t="s">
        <v>961</v>
      </c>
    </row>
    <row r="2607" spans="1:7" ht="15.75" customHeight="1">
      <c r="A2607" s="5">
        <v>250900156</v>
      </c>
      <c r="B2607" s="6" t="s">
        <v>7686</v>
      </c>
      <c r="C2607" s="5" t="s">
        <v>7687</v>
      </c>
      <c r="D2607" s="5"/>
      <c r="E2607" s="5" t="s">
        <v>7688</v>
      </c>
      <c r="F2607" s="6" t="s">
        <v>960</v>
      </c>
      <c r="G2607" s="6" t="s">
        <v>961</v>
      </c>
    </row>
    <row r="2608" spans="1:7" ht="15.75" customHeight="1">
      <c r="A2608" s="3">
        <v>250900292</v>
      </c>
      <c r="B2608" s="4" t="s">
        <v>7689</v>
      </c>
      <c r="C2608" s="3" t="s">
        <v>7690</v>
      </c>
      <c r="D2608" s="3"/>
      <c r="E2608" s="3" t="s">
        <v>7691</v>
      </c>
      <c r="F2608" s="4" t="s">
        <v>960</v>
      </c>
      <c r="G2608" s="4" t="s">
        <v>961</v>
      </c>
    </row>
    <row r="2609" spans="1:7" ht="15.75" customHeight="1">
      <c r="A2609" s="5">
        <v>250902072</v>
      </c>
      <c r="B2609" s="6" t="s">
        <v>7692</v>
      </c>
      <c r="C2609" s="5" t="s">
        <v>7693</v>
      </c>
      <c r="D2609" s="5"/>
      <c r="E2609" s="5" t="s">
        <v>7694</v>
      </c>
      <c r="F2609" s="6" t="s">
        <v>960</v>
      </c>
      <c r="G2609" s="6" t="s">
        <v>961</v>
      </c>
    </row>
    <row r="2610" spans="1:7" ht="15.75" customHeight="1">
      <c r="A2610" s="3">
        <v>250907071</v>
      </c>
      <c r="B2610" s="4" t="s">
        <v>7695</v>
      </c>
      <c r="C2610" s="3" t="s">
        <v>7696</v>
      </c>
      <c r="D2610" s="3"/>
      <c r="E2610" s="3" t="s">
        <v>7697</v>
      </c>
      <c r="F2610" s="4" t="s">
        <v>960</v>
      </c>
      <c r="G2610" s="4" t="s">
        <v>961</v>
      </c>
    </row>
    <row r="2611" spans="1:7" ht="15.75" customHeight="1">
      <c r="A2611" s="5">
        <v>250912724</v>
      </c>
      <c r="B2611" s="6" t="s">
        <v>7698</v>
      </c>
      <c r="C2611" s="5" t="s">
        <v>7699</v>
      </c>
      <c r="D2611" s="5"/>
      <c r="E2611" s="5" t="s">
        <v>7700</v>
      </c>
      <c r="F2611" s="6" t="s">
        <v>960</v>
      </c>
      <c r="G2611" s="6" t="s">
        <v>961</v>
      </c>
    </row>
    <row r="2612" spans="1:7" ht="15.75" customHeight="1">
      <c r="A2612" s="3">
        <v>250927852</v>
      </c>
      <c r="B2612" s="4" t="s">
        <v>7701</v>
      </c>
      <c r="C2612" s="3" t="s">
        <v>7702</v>
      </c>
      <c r="D2612" s="3"/>
      <c r="E2612" s="3" t="s">
        <v>7703</v>
      </c>
      <c r="F2612" s="4" t="s">
        <v>960</v>
      </c>
      <c r="G2612" s="4" t="s">
        <v>961</v>
      </c>
    </row>
    <row r="2613" spans="1:7" ht="15.75" customHeight="1">
      <c r="A2613" s="5">
        <v>250928937</v>
      </c>
      <c r="B2613" s="6" t="s">
        <v>7704</v>
      </c>
      <c r="C2613" s="5" t="s">
        <v>7705</v>
      </c>
      <c r="D2613" s="5"/>
      <c r="E2613" s="5" t="s">
        <v>7706</v>
      </c>
      <c r="F2613" s="6" t="s">
        <v>960</v>
      </c>
      <c r="G2613" s="6" t="s">
        <v>961</v>
      </c>
    </row>
    <row r="2614" spans="1:7" ht="15.75" customHeight="1">
      <c r="A2614" s="3">
        <v>250933573</v>
      </c>
      <c r="B2614" s="4" t="s">
        <v>7707</v>
      </c>
      <c r="C2614" s="3" t="s">
        <v>7708</v>
      </c>
      <c r="D2614" s="3"/>
      <c r="E2614" s="3" t="s">
        <v>7709</v>
      </c>
      <c r="F2614" s="4" t="s">
        <v>960</v>
      </c>
      <c r="G2614" s="4" t="s">
        <v>961</v>
      </c>
    </row>
    <row r="2615" spans="1:7" ht="15.75" customHeight="1">
      <c r="A2615" s="5">
        <v>250935511</v>
      </c>
      <c r="B2615" s="6" t="s">
        <v>7710</v>
      </c>
      <c r="C2615" s="5" t="s">
        <v>7711</v>
      </c>
      <c r="D2615" s="5"/>
      <c r="E2615" s="5" t="s">
        <v>7712</v>
      </c>
      <c r="F2615" s="6" t="s">
        <v>960</v>
      </c>
      <c r="G2615" s="6" t="s">
        <v>961</v>
      </c>
    </row>
    <row r="2616" spans="1:7" ht="15.75" customHeight="1">
      <c r="A2616" s="3">
        <v>250935811</v>
      </c>
      <c r="B2616" s="4" t="s">
        <v>7713</v>
      </c>
      <c r="C2616" s="3" t="s">
        <v>7714</v>
      </c>
      <c r="D2616" s="3" t="s">
        <v>7715</v>
      </c>
      <c r="E2616" s="3" t="s">
        <v>7716</v>
      </c>
      <c r="F2616" s="4" t="s">
        <v>936</v>
      </c>
      <c r="G2616" s="4" t="s">
        <v>937</v>
      </c>
    </row>
    <row r="2617" spans="1:7" ht="15.75" customHeight="1">
      <c r="A2617" s="5">
        <v>250938781</v>
      </c>
      <c r="B2617" s="6" t="s">
        <v>7717</v>
      </c>
      <c r="C2617" s="5" t="s">
        <v>7718</v>
      </c>
      <c r="D2617" s="5"/>
      <c r="E2617" s="5" t="s">
        <v>7719</v>
      </c>
      <c r="F2617" s="6" t="s">
        <v>960</v>
      </c>
      <c r="G2617" s="6" t="s">
        <v>961</v>
      </c>
    </row>
    <row r="2618" spans="1:7" ht="15.75" customHeight="1">
      <c r="A2618" s="3">
        <v>250972473</v>
      </c>
      <c r="B2618" s="4" t="s">
        <v>7720</v>
      </c>
      <c r="C2618" s="3" t="s">
        <v>7721</v>
      </c>
      <c r="D2618" s="3" t="s">
        <v>7722</v>
      </c>
      <c r="E2618" s="3" t="s">
        <v>7723</v>
      </c>
      <c r="F2618" s="4" t="s">
        <v>960</v>
      </c>
      <c r="G2618" s="4" t="s">
        <v>961</v>
      </c>
    </row>
    <row r="2619" spans="1:7" ht="15.75" customHeight="1">
      <c r="A2619" s="5">
        <v>250976059</v>
      </c>
      <c r="B2619" s="6" t="s">
        <v>7724</v>
      </c>
      <c r="C2619" s="5" t="s">
        <v>7725</v>
      </c>
      <c r="D2619" s="5"/>
      <c r="E2619" s="5" t="s">
        <v>7726</v>
      </c>
      <c r="F2619" s="6" t="s">
        <v>960</v>
      </c>
      <c r="G2619" s="6" t="s">
        <v>961</v>
      </c>
    </row>
    <row r="2620" spans="1:7" ht="15.75" customHeight="1">
      <c r="A2620" s="3">
        <v>250982758</v>
      </c>
      <c r="B2620" s="4" t="s">
        <v>7727</v>
      </c>
      <c r="C2620" s="3" t="s">
        <v>7728</v>
      </c>
      <c r="D2620" s="3"/>
      <c r="E2620" s="3" t="s">
        <v>7729</v>
      </c>
      <c r="F2620" s="4" t="s">
        <v>960</v>
      </c>
      <c r="G2620" s="4" t="s">
        <v>961</v>
      </c>
    </row>
    <row r="2621" spans="1:7" ht="15.75" customHeight="1">
      <c r="A2621" s="5">
        <v>250987954</v>
      </c>
      <c r="B2621" s="6" t="s">
        <v>7730</v>
      </c>
      <c r="C2621" s="5" t="s">
        <v>7731</v>
      </c>
      <c r="D2621" s="5"/>
      <c r="E2621" s="5" t="s">
        <v>7732</v>
      </c>
      <c r="F2621" s="6" t="s">
        <v>960</v>
      </c>
      <c r="G2621" s="6" t="s">
        <v>961</v>
      </c>
    </row>
    <row r="2622" spans="1:7" ht="15.75" customHeight="1">
      <c r="A2622" s="3">
        <v>250995427</v>
      </c>
      <c r="B2622" s="4" t="s">
        <v>7733</v>
      </c>
      <c r="C2622" s="3" t="s">
        <v>7734</v>
      </c>
      <c r="D2622" s="3"/>
      <c r="E2622" s="3" t="s">
        <v>7735</v>
      </c>
      <c r="F2622" s="4" t="s">
        <v>960</v>
      </c>
      <c r="G2622" s="4" t="s">
        <v>961</v>
      </c>
    </row>
    <row r="2623" spans="1:7" ht="15.75" customHeight="1">
      <c r="A2623" s="5">
        <v>251000600</v>
      </c>
      <c r="B2623" s="6" t="s">
        <v>7736</v>
      </c>
      <c r="C2623" s="5" t="s">
        <v>7737</v>
      </c>
      <c r="D2623" s="5">
        <v>79042703173</v>
      </c>
      <c r="E2623" s="5" t="s">
        <v>7738</v>
      </c>
      <c r="F2623" s="6" t="s">
        <v>7323</v>
      </c>
      <c r="G2623" s="6" t="s">
        <v>7324</v>
      </c>
    </row>
    <row r="2624" spans="1:7" ht="15.75" customHeight="1">
      <c r="A2624" s="3">
        <v>251003452</v>
      </c>
      <c r="B2624" s="4" t="s">
        <v>7739</v>
      </c>
      <c r="C2624" s="3" t="s">
        <v>7740</v>
      </c>
      <c r="D2624" s="3"/>
      <c r="E2624" s="3" t="s">
        <v>7741</v>
      </c>
      <c r="F2624" s="4" t="s">
        <v>960</v>
      </c>
      <c r="G2624" s="4" t="s">
        <v>961</v>
      </c>
    </row>
    <row r="2625" spans="1:7" ht="15.75" customHeight="1">
      <c r="A2625" s="5">
        <v>251009485</v>
      </c>
      <c r="B2625" s="6" t="s">
        <v>7742</v>
      </c>
      <c r="C2625" s="5" t="s">
        <v>7743</v>
      </c>
      <c r="D2625" s="5" t="s">
        <v>7744</v>
      </c>
      <c r="E2625" s="5" t="s">
        <v>7745</v>
      </c>
      <c r="F2625" s="6" t="s">
        <v>7323</v>
      </c>
      <c r="G2625" s="6" t="s">
        <v>7324</v>
      </c>
    </row>
    <row r="2626" spans="1:7" ht="15.75" customHeight="1">
      <c r="A2626" s="3">
        <v>251013739</v>
      </c>
      <c r="B2626" s="4" t="s">
        <v>7746</v>
      </c>
      <c r="C2626" s="3" t="s">
        <v>7747</v>
      </c>
      <c r="D2626" s="3">
        <v>79377179339</v>
      </c>
      <c r="E2626" s="3" t="s">
        <v>7748</v>
      </c>
      <c r="F2626" s="4" t="s">
        <v>960</v>
      </c>
      <c r="G2626" s="4" t="s">
        <v>961</v>
      </c>
    </row>
    <row r="2627" spans="1:7" ht="15.75" customHeight="1">
      <c r="A2627" s="5">
        <v>251014052</v>
      </c>
      <c r="B2627" s="6" t="s">
        <v>7749</v>
      </c>
      <c r="C2627" s="5" t="s">
        <v>7750</v>
      </c>
      <c r="D2627" s="5">
        <v>79053620940</v>
      </c>
      <c r="E2627" s="5" t="s">
        <v>7751</v>
      </c>
      <c r="F2627" s="6" t="s">
        <v>960</v>
      </c>
      <c r="G2627" s="6" t="s">
        <v>961</v>
      </c>
    </row>
    <row r="2628" spans="1:7" ht="15.75" customHeight="1">
      <c r="A2628" s="3">
        <v>251014098</v>
      </c>
      <c r="B2628" s="4" t="s">
        <v>7752</v>
      </c>
      <c r="C2628" s="3" t="s">
        <v>7753</v>
      </c>
      <c r="D2628" s="3"/>
      <c r="E2628" s="3" t="s">
        <v>7754</v>
      </c>
      <c r="F2628" s="4" t="s">
        <v>960</v>
      </c>
      <c r="G2628" s="4" t="s">
        <v>961</v>
      </c>
    </row>
    <row r="2629" spans="1:7" ht="15.75" customHeight="1">
      <c r="A2629" s="5">
        <v>251032835</v>
      </c>
      <c r="B2629" s="6" t="s">
        <v>7755</v>
      </c>
      <c r="C2629" s="5" t="s">
        <v>7756</v>
      </c>
      <c r="D2629" s="5"/>
      <c r="E2629" s="5" t="s">
        <v>7757</v>
      </c>
      <c r="F2629" s="6" t="s">
        <v>960</v>
      </c>
      <c r="G2629" s="6" t="s">
        <v>961</v>
      </c>
    </row>
    <row r="2630" spans="1:7" ht="15.75" customHeight="1">
      <c r="A2630" s="3">
        <v>251040128</v>
      </c>
      <c r="B2630" s="4" t="s">
        <v>7758</v>
      </c>
      <c r="C2630" s="3" t="s">
        <v>7759</v>
      </c>
      <c r="D2630" s="3"/>
      <c r="E2630" s="3" t="s">
        <v>7760</v>
      </c>
      <c r="F2630" s="4" t="s">
        <v>960</v>
      </c>
      <c r="G2630" s="4" t="s">
        <v>961</v>
      </c>
    </row>
    <row r="2631" spans="1:7" ht="15.75" customHeight="1">
      <c r="A2631" s="5">
        <v>251040386</v>
      </c>
      <c r="B2631" s="6" t="s">
        <v>7761</v>
      </c>
      <c r="C2631" s="5" t="s">
        <v>7762</v>
      </c>
      <c r="D2631" s="5"/>
      <c r="E2631" s="5" t="s">
        <v>7763</v>
      </c>
      <c r="F2631" s="6" t="s">
        <v>960</v>
      </c>
      <c r="G2631" s="6" t="s">
        <v>961</v>
      </c>
    </row>
    <row r="2632" spans="1:7" ht="15.75" customHeight="1">
      <c r="A2632" s="3">
        <v>251055971</v>
      </c>
      <c r="B2632" s="4" t="s">
        <v>7764</v>
      </c>
      <c r="C2632" s="3" t="s">
        <v>7765</v>
      </c>
      <c r="D2632" s="3" t="s">
        <v>7766</v>
      </c>
      <c r="E2632" s="3" t="s">
        <v>7767</v>
      </c>
      <c r="F2632" s="4" t="s">
        <v>960</v>
      </c>
      <c r="G2632" s="4" t="s">
        <v>961</v>
      </c>
    </row>
    <row r="2633" spans="1:7" ht="15.75" customHeight="1">
      <c r="A2633" s="5">
        <v>251068796</v>
      </c>
      <c r="B2633" s="6" t="s">
        <v>7768</v>
      </c>
      <c r="C2633" s="5" t="s">
        <v>7769</v>
      </c>
      <c r="D2633" s="5">
        <v>420773013880</v>
      </c>
      <c r="E2633" s="5" t="s">
        <v>7770</v>
      </c>
      <c r="F2633" s="6" t="s">
        <v>7323</v>
      </c>
      <c r="G2633" s="6" t="s">
        <v>7324</v>
      </c>
    </row>
    <row r="2634" spans="1:7" ht="15.75" customHeight="1">
      <c r="A2634" s="3">
        <v>251076471</v>
      </c>
      <c r="B2634" s="4" t="s">
        <v>7771</v>
      </c>
      <c r="C2634" s="3" t="s">
        <v>7772</v>
      </c>
      <c r="D2634" s="3" t="s">
        <v>7773</v>
      </c>
      <c r="E2634" s="3" t="s">
        <v>7774</v>
      </c>
      <c r="F2634" s="4" t="s">
        <v>97</v>
      </c>
      <c r="G2634" s="4" t="s">
        <v>98</v>
      </c>
    </row>
    <row r="2635" spans="1:7" ht="15.75" customHeight="1">
      <c r="A2635" s="5">
        <v>251090854</v>
      </c>
      <c r="B2635" s="6" t="s">
        <v>7775</v>
      </c>
      <c r="C2635" s="5" t="s">
        <v>7776</v>
      </c>
      <c r="D2635" s="5"/>
      <c r="E2635" s="5" t="s">
        <v>7777</v>
      </c>
      <c r="F2635" s="6" t="s">
        <v>960</v>
      </c>
      <c r="G2635" s="6" t="s">
        <v>961</v>
      </c>
    </row>
    <row r="2636" spans="1:7" ht="15.75" customHeight="1">
      <c r="A2636" s="3">
        <v>251091657</v>
      </c>
      <c r="B2636" s="4" t="s">
        <v>7778</v>
      </c>
      <c r="C2636" s="3" t="s">
        <v>7779</v>
      </c>
      <c r="D2636" s="3"/>
      <c r="E2636" s="3" t="s">
        <v>7780</v>
      </c>
      <c r="F2636" s="4" t="s">
        <v>960</v>
      </c>
      <c r="G2636" s="4" t="s">
        <v>961</v>
      </c>
    </row>
    <row r="2637" spans="1:7" ht="15.75" customHeight="1">
      <c r="A2637" s="5">
        <v>251092278</v>
      </c>
      <c r="B2637" s="6" t="s">
        <v>7781</v>
      </c>
      <c r="C2637" s="5" t="s">
        <v>7782</v>
      </c>
      <c r="D2637" s="5"/>
      <c r="E2637" s="5" t="s">
        <v>7783</v>
      </c>
      <c r="F2637" s="6" t="s">
        <v>960</v>
      </c>
      <c r="G2637" s="6" t="s">
        <v>961</v>
      </c>
    </row>
    <row r="2638" spans="1:7" ht="15.75" customHeight="1">
      <c r="A2638" s="3">
        <v>251093009</v>
      </c>
      <c r="B2638" s="4" t="s">
        <v>7784</v>
      </c>
      <c r="C2638" s="3" t="s">
        <v>7785</v>
      </c>
      <c r="D2638" s="3"/>
      <c r="E2638" s="3" t="s">
        <v>7786</v>
      </c>
      <c r="F2638" s="4" t="s">
        <v>960</v>
      </c>
      <c r="G2638" s="4" t="s">
        <v>961</v>
      </c>
    </row>
    <row r="2639" spans="1:7" ht="15.75" customHeight="1">
      <c r="A2639" s="5">
        <v>251094671</v>
      </c>
      <c r="B2639" s="6" t="s">
        <v>7787</v>
      </c>
      <c r="C2639" s="5" t="s">
        <v>7788</v>
      </c>
      <c r="D2639" s="5" t="s">
        <v>7789</v>
      </c>
      <c r="E2639" s="5" t="s">
        <v>7790</v>
      </c>
      <c r="F2639" s="6" t="s">
        <v>7323</v>
      </c>
      <c r="G2639" s="6" t="s">
        <v>7324</v>
      </c>
    </row>
    <row r="2640" spans="1:7" ht="15.75" customHeight="1">
      <c r="A2640" s="3">
        <v>251111832</v>
      </c>
      <c r="B2640" s="4" t="s">
        <v>7791</v>
      </c>
      <c r="C2640" s="3" t="s">
        <v>7792</v>
      </c>
      <c r="D2640" s="3"/>
      <c r="E2640" s="3" t="s">
        <v>7793</v>
      </c>
      <c r="F2640" s="4" t="s">
        <v>960</v>
      </c>
      <c r="G2640" s="4" t="s">
        <v>961</v>
      </c>
    </row>
    <row r="2641" spans="1:7" ht="15.75" customHeight="1">
      <c r="A2641" s="5">
        <v>251112966</v>
      </c>
      <c r="B2641" s="6" t="s">
        <v>7794</v>
      </c>
      <c r="C2641" s="5" t="s">
        <v>7795</v>
      </c>
      <c r="D2641" s="5"/>
      <c r="E2641" s="5" t="s">
        <v>7796</v>
      </c>
      <c r="F2641" s="6" t="s">
        <v>960</v>
      </c>
      <c r="G2641" s="6" t="s">
        <v>961</v>
      </c>
    </row>
    <row r="2642" spans="1:7" ht="15.75" customHeight="1">
      <c r="A2642" s="3">
        <v>251116088</v>
      </c>
      <c r="B2642" s="4" t="s">
        <v>7797</v>
      </c>
      <c r="C2642" s="3" t="s">
        <v>7798</v>
      </c>
      <c r="D2642" s="3"/>
      <c r="E2642" s="3" t="s">
        <v>7799</v>
      </c>
      <c r="F2642" s="4" t="s">
        <v>960</v>
      </c>
      <c r="G2642" s="4" t="s">
        <v>961</v>
      </c>
    </row>
    <row r="2643" spans="1:7" ht="15.75" customHeight="1">
      <c r="A2643" s="5">
        <v>251118749</v>
      </c>
      <c r="B2643" s="6" t="s">
        <v>7800</v>
      </c>
      <c r="C2643" s="5" t="s">
        <v>7801</v>
      </c>
      <c r="D2643" s="5"/>
      <c r="E2643" s="5" t="s">
        <v>7802</v>
      </c>
      <c r="F2643" s="6" t="s">
        <v>960</v>
      </c>
      <c r="G2643" s="6" t="s">
        <v>961</v>
      </c>
    </row>
    <row r="2644" spans="1:7" ht="15.75" customHeight="1">
      <c r="A2644" s="3">
        <v>251120093</v>
      </c>
      <c r="B2644" s="4" t="s">
        <v>7803</v>
      </c>
      <c r="C2644" s="3" t="s">
        <v>7804</v>
      </c>
      <c r="D2644" s="3"/>
      <c r="E2644" s="3" t="s">
        <v>7805</v>
      </c>
      <c r="F2644" s="4" t="s">
        <v>960</v>
      </c>
      <c r="G2644" s="4" t="s">
        <v>961</v>
      </c>
    </row>
    <row r="2645" spans="1:7" ht="15.75" customHeight="1">
      <c r="A2645" s="5">
        <v>251125284</v>
      </c>
      <c r="B2645" s="6" t="s">
        <v>7806</v>
      </c>
      <c r="C2645" s="5" t="s">
        <v>7807</v>
      </c>
      <c r="D2645" s="5"/>
      <c r="E2645" s="5" t="s">
        <v>7808</v>
      </c>
      <c r="F2645" s="6" t="s">
        <v>960</v>
      </c>
      <c r="G2645" s="6" t="s">
        <v>961</v>
      </c>
    </row>
    <row r="2646" spans="1:7" ht="15.75" customHeight="1">
      <c r="A2646" s="3">
        <v>251130343</v>
      </c>
      <c r="B2646" s="4" t="s">
        <v>7809</v>
      </c>
      <c r="C2646" s="3" t="s">
        <v>7810</v>
      </c>
      <c r="D2646" s="3"/>
      <c r="E2646" s="3" t="s">
        <v>7811</v>
      </c>
      <c r="F2646" s="4" t="s">
        <v>960</v>
      </c>
      <c r="G2646" s="4" t="s">
        <v>961</v>
      </c>
    </row>
    <row r="2647" spans="1:7" ht="15.75" customHeight="1">
      <c r="A2647" s="5">
        <v>251140137</v>
      </c>
      <c r="B2647" s="6" t="s">
        <v>7812</v>
      </c>
      <c r="C2647" s="5" t="s">
        <v>7813</v>
      </c>
      <c r="D2647" s="5"/>
      <c r="E2647" s="5" t="s">
        <v>7814</v>
      </c>
      <c r="F2647" s="6" t="s">
        <v>960</v>
      </c>
      <c r="G2647" s="6" t="s">
        <v>961</v>
      </c>
    </row>
    <row r="2648" spans="1:7" ht="15.75" customHeight="1">
      <c r="A2648" s="3">
        <v>251140535</v>
      </c>
      <c r="B2648" s="4" t="s">
        <v>7815</v>
      </c>
      <c r="C2648" s="3" t="s">
        <v>7816</v>
      </c>
      <c r="D2648" s="3"/>
      <c r="E2648" s="3" t="s">
        <v>7817</v>
      </c>
      <c r="F2648" s="4" t="s">
        <v>960</v>
      </c>
      <c r="G2648" s="4" t="s">
        <v>961</v>
      </c>
    </row>
    <row r="2649" spans="1:7" ht="15.75" customHeight="1">
      <c r="A2649" s="5">
        <v>251149222</v>
      </c>
      <c r="B2649" s="6" t="s">
        <v>7818</v>
      </c>
      <c r="C2649" s="5" t="s">
        <v>7819</v>
      </c>
      <c r="D2649" s="5" t="s">
        <v>7820</v>
      </c>
      <c r="E2649" s="5" t="s">
        <v>7821</v>
      </c>
      <c r="F2649" s="6" t="s">
        <v>7323</v>
      </c>
      <c r="G2649" s="6" t="s">
        <v>7324</v>
      </c>
    </row>
    <row r="2650" spans="1:7" ht="15.75" customHeight="1">
      <c r="A2650" s="3">
        <v>251149274</v>
      </c>
      <c r="B2650" s="4" t="s">
        <v>7822</v>
      </c>
      <c r="C2650" s="3" t="s">
        <v>7823</v>
      </c>
      <c r="D2650" s="3"/>
      <c r="E2650" s="3" t="s">
        <v>7824</v>
      </c>
      <c r="F2650" s="4" t="s">
        <v>960</v>
      </c>
      <c r="G2650" s="4" t="s">
        <v>961</v>
      </c>
    </row>
    <row r="2651" spans="1:7" ht="15.75" customHeight="1">
      <c r="A2651" s="5">
        <v>251154344</v>
      </c>
      <c r="B2651" s="6" t="s">
        <v>7825</v>
      </c>
      <c r="C2651" s="5" t="s">
        <v>7826</v>
      </c>
      <c r="D2651" s="5" t="s">
        <v>7827</v>
      </c>
      <c r="E2651" s="5" t="s">
        <v>7828</v>
      </c>
      <c r="F2651" s="6" t="s">
        <v>960</v>
      </c>
      <c r="G2651" s="6" t="s">
        <v>961</v>
      </c>
    </row>
    <row r="2652" spans="1:7" ht="15.75" customHeight="1">
      <c r="A2652" s="3">
        <v>251163699</v>
      </c>
      <c r="B2652" s="4" t="s">
        <v>7829</v>
      </c>
      <c r="C2652" s="3" t="s">
        <v>7830</v>
      </c>
      <c r="D2652" s="3"/>
      <c r="E2652" s="3" t="s">
        <v>7831</v>
      </c>
      <c r="F2652" s="4" t="s">
        <v>960</v>
      </c>
      <c r="G2652" s="4" t="s">
        <v>961</v>
      </c>
    </row>
    <row r="2653" spans="1:7" ht="15.75" customHeight="1">
      <c r="A2653" s="5">
        <v>251166802</v>
      </c>
      <c r="B2653" s="6" t="s">
        <v>7832</v>
      </c>
      <c r="C2653" s="5" t="s">
        <v>7833</v>
      </c>
      <c r="D2653" s="5"/>
      <c r="E2653" s="5" t="s">
        <v>7834</v>
      </c>
      <c r="F2653" s="6" t="s">
        <v>960</v>
      </c>
      <c r="G2653" s="6" t="s">
        <v>961</v>
      </c>
    </row>
    <row r="2654" spans="1:7" ht="15.75" customHeight="1">
      <c r="A2654" s="3">
        <v>251169430</v>
      </c>
      <c r="B2654" s="4" t="s">
        <v>7835</v>
      </c>
      <c r="C2654" s="3" t="s">
        <v>7836</v>
      </c>
      <c r="D2654" s="3"/>
      <c r="E2654" s="3" t="s">
        <v>7837</v>
      </c>
      <c r="F2654" s="4" t="s">
        <v>960</v>
      </c>
      <c r="G2654" s="4" t="s">
        <v>961</v>
      </c>
    </row>
    <row r="2655" spans="1:7" ht="15.75" customHeight="1">
      <c r="A2655" s="5">
        <v>251178317</v>
      </c>
      <c r="B2655" s="6" t="s">
        <v>7838</v>
      </c>
      <c r="C2655" s="5" t="s">
        <v>7839</v>
      </c>
      <c r="D2655" s="5"/>
      <c r="E2655" s="5" t="s">
        <v>7840</v>
      </c>
      <c r="F2655" s="6" t="s">
        <v>960</v>
      </c>
      <c r="G2655" s="6" t="s">
        <v>961</v>
      </c>
    </row>
    <row r="2656" spans="1:7" ht="15.75" customHeight="1">
      <c r="A2656" s="3">
        <v>251180623</v>
      </c>
      <c r="B2656" s="4" t="s">
        <v>7841</v>
      </c>
      <c r="C2656" s="3" t="s">
        <v>7842</v>
      </c>
      <c r="D2656" s="3"/>
      <c r="E2656" s="3" t="s">
        <v>7843</v>
      </c>
      <c r="F2656" s="4" t="s">
        <v>960</v>
      </c>
      <c r="G2656" s="4" t="s">
        <v>961</v>
      </c>
    </row>
    <row r="2657" spans="1:7" ht="15.75" customHeight="1">
      <c r="A2657" s="5">
        <v>251181154</v>
      </c>
      <c r="B2657" s="6" t="s">
        <v>7844</v>
      </c>
      <c r="C2657" s="5" t="s">
        <v>7845</v>
      </c>
      <c r="D2657" s="5"/>
      <c r="E2657" s="5" t="s">
        <v>7846</v>
      </c>
      <c r="F2657" s="6" t="s">
        <v>960</v>
      </c>
      <c r="G2657" s="6" t="s">
        <v>961</v>
      </c>
    </row>
    <row r="2658" spans="1:7" ht="15.75" customHeight="1">
      <c r="A2658" s="3">
        <v>251181281</v>
      </c>
      <c r="B2658" s="4" t="s">
        <v>7847</v>
      </c>
      <c r="C2658" s="3" t="s">
        <v>7848</v>
      </c>
      <c r="D2658" s="3"/>
      <c r="E2658" s="3" t="s">
        <v>7849</v>
      </c>
      <c r="F2658" s="4" t="s">
        <v>960</v>
      </c>
      <c r="G2658" s="4" t="s">
        <v>961</v>
      </c>
    </row>
    <row r="2659" spans="1:7" ht="15.75" customHeight="1">
      <c r="A2659" s="5">
        <v>251183053</v>
      </c>
      <c r="B2659" s="6" t="s">
        <v>7850</v>
      </c>
      <c r="C2659" s="5" t="s">
        <v>7851</v>
      </c>
      <c r="D2659" s="5"/>
      <c r="E2659" s="5" t="s">
        <v>7852</v>
      </c>
      <c r="F2659" s="6" t="s">
        <v>960</v>
      </c>
      <c r="G2659" s="6" t="s">
        <v>961</v>
      </c>
    </row>
    <row r="2660" spans="1:7" ht="15.75" customHeight="1">
      <c r="A2660" s="3">
        <v>251183162</v>
      </c>
      <c r="B2660" s="4" t="s">
        <v>7853</v>
      </c>
      <c r="C2660" s="3" t="s">
        <v>7854</v>
      </c>
      <c r="D2660" s="3"/>
      <c r="E2660" s="3" t="s">
        <v>7855</v>
      </c>
      <c r="F2660" s="4" t="s">
        <v>960</v>
      </c>
      <c r="G2660" s="4" t="s">
        <v>961</v>
      </c>
    </row>
    <row r="2661" spans="1:7" ht="15.75" customHeight="1">
      <c r="A2661" s="5">
        <v>251186830</v>
      </c>
      <c r="B2661" s="6" t="s">
        <v>7856</v>
      </c>
      <c r="C2661" s="5" t="s">
        <v>7857</v>
      </c>
      <c r="D2661" s="5"/>
      <c r="E2661" s="5" t="s">
        <v>7858</v>
      </c>
      <c r="F2661" s="6" t="s">
        <v>960</v>
      </c>
      <c r="G2661" s="6" t="s">
        <v>961</v>
      </c>
    </row>
    <row r="2662" spans="1:7" ht="15.75" customHeight="1">
      <c r="A2662" s="3">
        <v>251188841</v>
      </c>
      <c r="B2662" s="4" t="s">
        <v>7859</v>
      </c>
      <c r="C2662" s="3" t="s">
        <v>7860</v>
      </c>
      <c r="D2662" s="3"/>
      <c r="E2662" s="3" t="s">
        <v>7861</v>
      </c>
      <c r="F2662" s="4" t="s">
        <v>960</v>
      </c>
      <c r="G2662" s="4" t="s">
        <v>961</v>
      </c>
    </row>
    <row r="2663" spans="1:7" ht="15.75" customHeight="1">
      <c r="A2663" s="5">
        <v>251193914</v>
      </c>
      <c r="B2663" s="6" t="s">
        <v>7862</v>
      </c>
      <c r="C2663" s="5" t="s">
        <v>7863</v>
      </c>
      <c r="D2663" s="5"/>
      <c r="E2663" s="5" t="s">
        <v>7864</v>
      </c>
      <c r="F2663" s="6" t="s">
        <v>960</v>
      </c>
      <c r="G2663" s="6" t="s">
        <v>961</v>
      </c>
    </row>
    <row r="2664" spans="1:7" ht="15.75" customHeight="1">
      <c r="A2664" s="3">
        <v>250738315</v>
      </c>
      <c r="B2664" s="4" t="s">
        <v>7586</v>
      </c>
      <c r="C2664" s="3" t="s">
        <v>7587</v>
      </c>
      <c r="D2664" s="3"/>
      <c r="E2664" s="3" t="s">
        <v>7865</v>
      </c>
      <c r="F2664" s="4" t="s">
        <v>960</v>
      </c>
      <c r="G2664" s="4" t="s">
        <v>961</v>
      </c>
    </row>
    <row r="2665" spans="1:7" ht="15.75" customHeight="1">
      <c r="A2665" s="5">
        <v>251240220</v>
      </c>
      <c r="B2665" s="6" t="s">
        <v>7866</v>
      </c>
      <c r="C2665" s="5" t="s">
        <v>7867</v>
      </c>
      <c r="D2665" s="5"/>
      <c r="E2665" s="5" t="s">
        <v>7868</v>
      </c>
      <c r="F2665" s="6" t="s">
        <v>960</v>
      </c>
      <c r="G2665" s="6" t="s">
        <v>961</v>
      </c>
    </row>
    <row r="2666" spans="1:7" ht="15.75" customHeight="1">
      <c r="A2666" s="3">
        <v>251242396</v>
      </c>
      <c r="B2666" s="4" t="s">
        <v>7869</v>
      </c>
      <c r="C2666" s="3" t="s">
        <v>7870</v>
      </c>
      <c r="D2666" s="3">
        <v>79509995598</v>
      </c>
      <c r="E2666" s="3" t="s">
        <v>7871</v>
      </c>
      <c r="F2666" s="4" t="s">
        <v>1243</v>
      </c>
      <c r="G2666" s="4" t="s">
        <v>1244</v>
      </c>
    </row>
    <row r="2667" spans="1:7" ht="15.75" customHeight="1">
      <c r="A2667" s="5">
        <v>251243866</v>
      </c>
      <c r="B2667" s="6" t="s">
        <v>7872</v>
      </c>
      <c r="C2667" s="5" t="s">
        <v>7873</v>
      </c>
      <c r="D2667" s="5"/>
      <c r="E2667" s="5" t="s">
        <v>7874</v>
      </c>
      <c r="F2667" s="6" t="s">
        <v>960</v>
      </c>
      <c r="G2667" s="6" t="s">
        <v>961</v>
      </c>
    </row>
    <row r="2668" spans="1:7" ht="15.75" customHeight="1">
      <c r="A2668" s="3">
        <v>251246529</v>
      </c>
      <c r="B2668" s="4" t="s">
        <v>7875</v>
      </c>
      <c r="C2668" s="3" t="s">
        <v>7876</v>
      </c>
      <c r="D2668" s="3" t="s">
        <v>7877</v>
      </c>
      <c r="E2668" s="3" t="s">
        <v>7878</v>
      </c>
      <c r="F2668" s="4" t="s">
        <v>7323</v>
      </c>
      <c r="G2668" s="4" t="s">
        <v>7324</v>
      </c>
    </row>
    <row r="2669" spans="1:7" ht="15.75" customHeight="1">
      <c r="A2669" s="5">
        <v>251248096</v>
      </c>
      <c r="B2669" s="6" t="s">
        <v>7879</v>
      </c>
      <c r="C2669" s="5" t="s">
        <v>7880</v>
      </c>
      <c r="D2669" s="5"/>
      <c r="E2669" s="5" t="s">
        <v>7881</v>
      </c>
      <c r="F2669" s="6" t="s">
        <v>960</v>
      </c>
      <c r="G2669" s="6" t="s">
        <v>961</v>
      </c>
    </row>
    <row r="2670" spans="1:7" ht="15.75" customHeight="1">
      <c r="A2670" s="3">
        <v>251259586</v>
      </c>
      <c r="B2670" s="4" t="s">
        <v>7882</v>
      </c>
      <c r="C2670" s="3" t="s">
        <v>7883</v>
      </c>
      <c r="D2670" s="3"/>
      <c r="E2670" s="3" t="s">
        <v>7884</v>
      </c>
      <c r="F2670" s="4" t="s">
        <v>960</v>
      </c>
      <c r="G2670" s="4" t="s">
        <v>961</v>
      </c>
    </row>
    <row r="2671" spans="1:7" ht="15.75" customHeight="1">
      <c r="A2671" s="5">
        <v>251263279</v>
      </c>
      <c r="B2671" s="6" t="s">
        <v>7885</v>
      </c>
      <c r="C2671" s="5" t="s">
        <v>7886</v>
      </c>
      <c r="D2671" s="5"/>
      <c r="E2671" s="5" t="s">
        <v>7887</v>
      </c>
      <c r="F2671" s="6" t="s">
        <v>960</v>
      </c>
      <c r="G2671" s="6" t="s">
        <v>961</v>
      </c>
    </row>
    <row r="2672" spans="1:7" ht="15.75" customHeight="1">
      <c r="A2672" s="3">
        <v>250762541</v>
      </c>
      <c r="B2672" s="4" t="s">
        <v>7617</v>
      </c>
      <c r="C2672" s="3" t="s">
        <v>7618</v>
      </c>
      <c r="D2672" s="3"/>
      <c r="E2672" s="3" t="s">
        <v>7888</v>
      </c>
      <c r="F2672" s="4" t="s">
        <v>960</v>
      </c>
      <c r="G2672" s="4" t="s">
        <v>961</v>
      </c>
    </row>
    <row r="2673" spans="1:7" ht="15.75" customHeight="1">
      <c r="A2673" s="5">
        <v>251266625</v>
      </c>
      <c r="B2673" s="6" t="s">
        <v>7889</v>
      </c>
      <c r="C2673" s="5" t="s">
        <v>7890</v>
      </c>
      <c r="D2673" s="5"/>
      <c r="E2673" s="5" t="s">
        <v>7891</v>
      </c>
      <c r="F2673" s="6" t="s">
        <v>960</v>
      </c>
      <c r="G2673" s="6" t="s">
        <v>961</v>
      </c>
    </row>
    <row r="2674" spans="1:7" ht="15.75" customHeight="1">
      <c r="A2674" s="3">
        <v>251278289</v>
      </c>
      <c r="B2674" s="4" t="s">
        <v>2207</v>
      </c>
      <c r="C2674" s="3" t="s">
        <v>7892</v>
      </c>
      <c r="D2674" s="3" t="s">
        <v>7893</v>
      </c>
      <c r="E2674" s="3" t="s">
        <v>7894</v>
      </c>
      <c r="F2674" s="4" t="s">
        <v>936</v>
      </c>
      <c r="G2674" s="4" t="s">
        <v>937</v>
      </c>
    </row>
    <row r="2675" spans="1:7" ht="15.75" customHeight="1">
      <c r="A2675" s="5">
        <v>251284880</v>
      </c>
      <c r="B2675" s="6" t="s">
        <v>7895</v>
      </c>
      <c r="C2675" s="5" t="s">
        <v>7896</v>
      </c>
      <c r="D2675" s="5"/>
      <c r="E2675" s="5" t="s">
        <v>7897</v>
      </c>
      <c r="F2675" s="6" t="s">
        <v>960</v>
      </c>
      <c r="G2675" s="6" t="s">
        <v>961</v>
      </c>
    </row>
    <row r="2676" spans="1:7" ht="15.75" customHeight="1">
      <c r="A2676" s="3">
        <v>251284927</v>
      </c>
      <c r="B2676" s="4" t="s">
        <v>4728</v>
      </c>
      <c r="C2676" s="3" t="s">
        <v>7898</v>
      </c>
      <c r="D2676" s="3"/>
      <c r="E2676" s="3" t="s">
        <v>7899</v>
      </c>
      <c r="F2676" s="4" t="s">
        <v>960</v>
      </c>
      <c r="G2676" s="4" t="s">
        <v>961</v>
      </c>
    </row>
    <row r="2677" spans="1:7" ht="15.75" customHeight="1">
      <c r="A2677" s="5">
        <v>251285130</v>
      </c>
      <c r="B2677" s="6" t="s">
        <v>7900</v>
      </c>
      <c r="C2677" s="5" t="s">
        <v>7901</v>
      </c>
      <c r="D2677" s="5"/>
      <c r="E2677" s="5" t="s">
        <v>7902</v>
      </c>
      <c r="F2677" s="6" t="s">
        <v>960</v>
      </c>
      <c r="G2677" s="6" t="s">
        <v>961</v>
      </c>
    </row>
    <row r="2678" spans="1:7" ht="15.75" customHeight="1">
      <c r="A2678" s="3">
        <v>251285581</v>
      </c>
      <c r="B2678" s="4" t="s">
        <v>7903</v>
      </c>
      <c r="C2678" s="3" t="s">
        <v>7904</v>
      </c>
      <c r="D2678" s="3" t="s">
        <v>7905</v>
      </c>
      <c r="E2678" s="3" t="s">
        <v>7906</v>
      </c>
      <c r="F2678" s="4" t="s">
        <v>960</v>
      </c>
      <c r="G2678" s="4" t="s">
        <v>961</v>
      </c>
    </row>
    <row r="2679" spans="1:7" ht="15.75" customHeight="1">
      <c r="A2679" s="5">
        <v>251286716</v>
      </c>
      <c r="B2679" s="6" t="s">
        <v>7907</v>
      </c>
      <c r="C2679" s="5" t="s">
        <v>7908</v>
      </c>
      <c r="D2679" s="5"/>
      <c r="E2679" s="5" t="s">
        <v>7909</v>
      </c>
      <c r="F2679" s="6" t="s">
        <v>960</v>
      </c>
      <c r="G2679" s="6" t="s">
        <v>961</v>
      </c>
    </row>
    <row r="2680" spans="1:7" ht="15.75" customHeight="1">
      <c r="A2680" s="3">
        <v>251287119</v>
      </c>
      <c r="B2680" s="4" t="s">
        <v>7910</v>
      </c>
      <c r="C2680" s="3" t="s">
        <v>7911</v>
      </c>
      <c r="D2680" s="3"/>
      <c r="E2680" s="3" t="s">
        <v>7912</v>
      </c>
      <c r="F2680" s="4" t="s">
        <v>960</v>
      </c>
      <c r="G2680" s="4" t="s">
        <v>961</v>
      </c>
    </row>
    <row r="2681" spans="1:7" ht="15.75" customHeight="1">
      <c r="A2681" s="5">
        <v>251287816</v>
      </c>
      <c r="B2681" s="6" t="s">
        <v>7913</v>
      </c>
      <c r="C2681" s="5" t="s">
        <v>7914</v>
      </c>
      <c r="D2681" s="5"/>
      <c r="E2681" s="5" t="s">
        <v>7915</v>
      </c>
      <c r="F2681" s="6" t="s">
        <v>960</v>
      </c>
      <c r="G2681" s="6" t="s">
        <v>961</v>
      </c>
    </row>
    <row r="2682" spans="1:7" ht="15.75" customHeight="1">
      <c r="A2682" s="3">
        <v>251289911</v>
      </c>
      <c r="B2682" s="4" t="s">
        <v>7916</v>
      </c>
      <c r="C2682" s="3" t="s">
        <v>7917</v>
      </c>
      <c r="D2682" s="3"/>
      <c r="E2682" s="3" t="s">
        <v>7918</v>
      </c>
      <c r="F2682" s="4" t="s">
        <v>960</v>
      </c>
      <c r="G2682" s="4" t="s">
        <v>961</v>
      </c>
    </row>
    <row r="2683" spans="1:7" ht="15.75" customHeight="1">
      <c r="A2683" s="5">
        <v>251290150</v>
      </c>
      <c r="B2683" s="6" t="s">
        <v>7919</v>
      </c>
      <c r="C2683" s="5" t="s">
        <v>7920</v>
      </c>
      <c r="D2683" s="5">
        <v>79122468203</v>
      </c>
      <c r="E2683" s="5" t="s">
        <v>7921</v>
      </c>
      <c r="F2683" s="6" t="s">
        <v>7323</v>
      </c>
      <c r="G2683" s="6" t="s">
        <v>7324</v>
      </c>
    </row>
    <row r="2684" spans="1:7" ht="15.75" customHeight="1">
      <c r="A2684" s="3">
        <v>251290399</v>
      </c>
      <c r="B2684" s="4" t="s">
        <v>7922</v>
      </c>
      <c r="C2684" s="3" t="s">
        <v>7923</v>
      </c>
      <c r="D2684" s="3">
        <v>79295110604</v>
      </c>
      <c r="E2684" s="3" t="s">
        <v>7924</v>
      </c>
      <c r="F2684" s="4" t="s">
        <v>7925</v>
      </c>
      <c r="G2684" s="4" t="s">
        <v>855</v>
      </c>
    </row>
    <row r="2685" spans="1:7" ht="15.75" customHeight="1">
      <c r="A2685" s="5">
        <v>251296994</v>
      </c>
      <c r="B2685" s="6" t="s">
        <v>7926</v>
      </c>
      <c r="C2685" s="5" t="s">
        <v>7927</v>
      </c>
      <c r="D2685" s="5"/>
      <c r="E2685" s="5" t="s">
        <v>7928</v>
      </c>
      <c r="F2685" s="6" t="s">
        <v>960</v>
      </c>
      <c r="G2685" s="6" t="s">
        <v>961</v>
      </c>
    </row>
    <row r="2686" spans="1:7" ht="15.75" customHeight="1">
      <c r="A2686" s="3">
        <v>251297504</v>
      </c>
      <c r="B2686" s="4" t="s">
        <v>7929</v>
      </c>
      <c r="C2686" s="3" t="s">
        <v>7930</v>
      </c>
      <c r="D2686" s="3">
        <v>79623711366</v>
      </c>
      <c r="E2686" s="3" t="s">
        <v>7931</v>
      </c>
      <c r="F2686" s="4" t="s">
        <v>960</v>
      </c>
      <c r="G2686" s="4" t="s">
        <v>961</v>
      </c>
    </row>
    <row r="2687" spans="1:7" ht="15.75" customHeight="1">
      <c r="A2687" s="5">
        <v>251296994</v>
      </c>
      <c r="B2687" s="6" t="s">
        <v>7926</v>
      </c>
      <c r="C2687" s="5" t="s">
        <v>7927</v>
      </c>
      <c r="D2687" s="5"/>
      <c r="E2687" s="5" t="s">
        <v>7932</v>
      </c>
      <c r="F2687" s="6" t="s">
        <v>1166</v>
      </c>
      <c r="G2687" s="6" t="s">
        <v>1167</v>
      </c>
    </row>
    <row r="2688" spans="1:7" ht="15.75" customHeight="1">
      <c r="A2688" s="3">
        <v>251297705</v>
      </c>
      <c r="B2688" s="4" t="s">
        <v>7933</v>
      </c>
      <c r="C2688" s="3" t="s">
        <v>7934</v>
      </c>
      <c r="D2688" s="3"/>
      <c r="E2688" s="3" t="s">
        <v>7935</v>
      </c>
      <c r="F2688" s="4" t="s">
        <v>960</v>
      </c>
      <c r="G2688" s="4" t="s">
        <v>961</v>
      </c>
    </row>
    <row r="2689" spans="1:7" ht="15.75" customHeight="1">
      <c r="A2689" s="5">
        <v>251297947</v>
      </c>
      <c r="B2689" s="6" t="s">
        <v>6498</v>
      </c>
      <c r="C2689" s="5" t="s">
        <v>7936</v>
      </c>
      <c r="D2689" s="5">
        <v>79588255219</v>
      </c>
      <c r="E2689" s="5" t="s">
        <v>7937</v>
      </c>
      <c r="F2689" s="6" t="s">
        <v>960</v>
      </c>
      <c r="G2689" s="6" t="s">
        <v>961</v>
      </c>
    </row>
    <row r="2690" spans="1:7" ht="15.75" customHeight="1">
      <c r="A2690" s="3">
        <v>251298214</v>
      </c>
      <c r="B2690" s="4" t="s">
        <v>7938</v>
      </c>
      <c r="C2690" s="3" t="s">
        <v>7939</v>
      </c>
      <c r="D2690" s="3"/>
      <c r="E2690" s="3" t="s">
        <v>7940</v>
      </c>
      <c r="F2690" s="4" t="s">
        <v>960</v>
      </c>
      <c r="G2690" s="4" t="s">
        <v>961</v>
      </c>
    </row>
    <row r="2691" spans="1:7" ht="15.75" customHeight="1">
      <c r="A2691" s="5">
        <v>251301243</v>
      </c>
      <c r="B2691" s="6" t="s">
        <v>7941</v>
      </c>
      <c r="C2691" s="5" t="s">
        <v>7942</v>
      </c>
      <c r="D2691" s="5"/>
      <c r="E2691" s="5" t="s">
        <v>7943</v>
      </c>
      <c r="F2691" s="6" t="s">
        <v>960</v>
      </c>
      <c r="G2691" s="6" t="s">
        <v>961</v>
      </c>
    </row>
    <row r="2692" spans="1:7" ht="15.75" customHeight="1">
      <c r="A2692" s="3">
        <v>251303348</v>
      </c>
      <c r="B2692" s="4" t="s">
        <v>7944</v>
      </c>
      <c r="C2692" s="3" t="s">
        <v>7945</v>
      </c>
      <c r="D2692" s="3"/>
      <c r="E2692" s="3" t="s">
        <v>7946</v>
      </c>
      <c r="F2692" s="4" t="s">
        <v>960</v>
      </c>
      <c r="G2692" s="4" t="s">
        <v>961</v>
      </c>
    </row>
    <row r="2693" spans="1:7" ht="15.75" customHeight="1">
      <c r="A2693" s="5">
        <v>251305042</v>
      </c>
      <c r="B2693" s="6" t="s">
        <v>7947</v>
      </c>
      <c r="C2693" s="5" t="s">
        <v>7948</v>
      </c>
      <c r="D2693" s="5"/>
      <c r="E2693" s="5" t="s">
        <v>7949</v>
      </c>
      <c r="F2693" s="6" t="s">
        <v>1166</v>
      </c>
      <c r="G2693" s="6" t="s">
        <v>1167</v>
      </c>
    </row>
    <row r="2694" spans="1:7" ht="15.75" customHeight="1">
      <c r="A2694" s="3">
        <v>251305245</v>
      </c>
      <c r="B2694" s="4" t="s">
        <v>7950</v>
      </c>
      <c r="C2694" s="3" t="s">
        <v>7951</v>
      </c>
      <c r="D2694" s="3"/>
      <c r="E2694" s="3" t="s">
        <v>7952</v>
      </c>
      <c r="F2694" s="4" t="s">
        <v>960</v>
      </c>
      <c r="G2694" s="4" t="s">
        <v>961</v>
      </c>
    </row>
    <row r="2695" spans="1:7" ht="15.75" customHeight="1">
      <c r="A2695" s="5">
        <v>251306314</v>
      </c>
      <c r="B2695" s="6" t="s">
        <v>7953</v>
      </c>
      <c r="C2695" s="5" t="s">
        <v>7954</v>
      </c>
      <c r="D2695" s="5"/>
      <c r="E2695" s="5" t="s">
        <v>7955</v>
      </c>
      <c r="F2695" s="6" t="s">
        <v>960</v>
      </c>
      <c r="G2695" s="6" t="s">
        <v>961</v>
      </c>
    </row>
    <row r="2696" spans="1:7" ht="15.75" customHeight="1">
      <c r="A2696" s="3">
        <v>251306933</v>
      </c>
      <c r="B2696" s="4" t="s">
        <v>7956</v>
      </c>
      <c r="C2696" s="3" t="s">
        <v>7957</v>
      </c>
      <c r="D2696" s="3"/>
      <c r="E2696" s="3" t="s">
        <v>7958</v>
      </c>
      <c r="F2696" s="4" t="s">
        <v>960</v>
      </c>
      <c r="G2696" s="4" t="s">
        <v>961</v>
      </c>
    </row>
    <row r="2697" spans="1:7" ht="15.75" customHeight="1">
      <c r="A2697" s="5">
        <v>251307328</v>
      </c>
      <c r="B2697" s="6" t="s">
        <v>7959</v>
      </c>
      <c r="C2697" s="5" t="s">
        <v>7960</v>
      </c>
      <c r="D2697" s="5"/>
      <c r="E2697" s="5" t="s">
        <v>7961</v>
      </c>
      <c r="F2697" s="6" t="s">
        <v>960</v>
      </c>
      <c r="G2697" s="6" t="s">
        <v>961</v>
      </c>
    </row>
    <row r="2698" spans="1:7" ht="15.75" customHeight="1">
      <c r="A2698" s="3">
        <v>251310383</v>
      </c>
      <c r="B2698" s="4" t="s">
        <v>7962</v>
      </c>
      <c r="C2698" s="3" t="s">
        <v>7963</v>
      </c>
      <c r="D2698" s="3"/>
      <c r="E2698" s="3" t="s">
        <v>7964</v>
      </c>
      <c r="F2698" s="4" t="s">
        <v>960</v>
      </c>
      <c r="G2698" s="4" t="s">
        <v>961</v>
      </c>
    </row>
    <row r="2699" spans="1:7" ht="15.75" customHeight="1">
      <c r="A2699" s="5">
        <v>251311557</v>
      </c>
      <c r="B2699" s="6" t="s">
        <v>7965</v>
      </c>
      <c r="C2699" s="5" t="s">
        <v>7966</v>
      </c>
      <c r="D2699" s="5"/>
      <c r="E2699" s="5" t="s">
        <v>7967</v>
      </c>
      <c r="F2699" s="6" t="s">
        <v>960</v>
      </c>
      <c r="G2699" s="6" t="s">
        <v>961</v>
      </c>
    </row>
    <row r="2700" spans="1:7" ht="15.75" customHeight="1">
      <c r="A2700" s="3">
        <v>251314479</v>
      </c>
      <c r="B2700" s="4" t="s">
        <v>7968</v>
      </c>
      <c r="C2700" s="3" t="s">
        <v>7969</v>
      </c>
      <c r="D2700" s="3"/>
      <c r="E2700" s="3" t="s">
        <v>7970</v>
      </c>
      <c r="F2700" s="4" t="s">
        <v>960</v>
      </c>
      <c r="G2700" s="4" t="s">
        <v>961</v>
      </c>
    </row>
    <row r="2701" spans="1:7" ht="15.75" customHeight="1">
      <c r="A2701" s="5">
        <v>251317511</v>
      </c>
      <c r="B2701" s="6" t="s">
        <v>7971</v>
      </c>
      <c r="C2701" s="5" t="s">
        <v>7972</v>
      </c>
      <c r="D2701" s="5"/>
      <c r="E2701" s="5" t="s">
        <v>7973</v>
      </c>
      <c r="F2701" s="6" t="s">
        <v>960</v>
      </c>
      <c r="G2701" s="6" t="s">
        <v>961</v>
      </c>
    </row>
    <row r="2702" spans="1:7" ht="15.75" customHeight="1">
      <c r="A2702" s="3">
        <v>251318033</v>
      </c>
      <c r="B2702" s="4" t="s">
        <v>7974</v>
      </c>
      <c r="C2702" s="3" t="s">
        <v>7975</v>
      </c>
      <c r="D2702" s="3"/>
      <c r="E2702" s="3" t="s">
        <v>7976</v>
      </c>
      <c r="F2702" s="4" t="s">
        <v>960</v>
      </c>
      <c r="G2702" s="4" t="s">
        <v>961</v>
      </c>
    </row>
    <row r="2703" spans="1:7" ht="15.75" customHeight="1">
      <c r="A2703" s="5">
        <v>251318225</v>
      </c>
      <c r="B2703" s="6" t="s">
        <v>7977</v>
      </c>
      <c r="C2703" s="5" t="s">
        <v>7978</v>
      </c>
      <c r="D2703" s="5"/>
      <c r="E2703" s="5" t="s">
        <v>7979</v>
      </c>
      <c r="F2703" s="6" t="s">
        <v>960</v>
      </c>
      <c r="G2703" s="6" t="s">
        <v>961</v>
      </c>
    </row>
    <row r="2704" spans="1:7" ht="15.75" customHeight="1">
      <c r="A2704" s="3">
        <v>251319700</v>
      </c>
      <c r="B2704" s="4" t="s">
        <v>7980</v>
      </c>
      <c r="C2704" s="3" t="s">
        <v>7981</v>
      </c>
      <c r="D2704" s="3"/>
      <c r="E2704" s="3" t="s">
        <v>7982</v>
      </c>
      <c r="F2704" s="4" t="s">
        <v>960</v>
      </c>
      <c r="G2704" s="4" t="s">
        <v>961</v>
      </c>
    </row>
    <row r="2705" spans="1:7" ht="15.75" customHeight="1">
      <c r="A2705" s="5">
        <v>251319747</v>
      </c>
      <c r="B2705" s="6" t="s">
        <v>7983</v>
      </c>
      <c r="C2705" s="5" t="s">
        <v>7984</v>
      </c>
      <c r="D2705" s="5"/>
      <c r="E2705" s="5" t="s">
        <v>7985</v>
      </c>
      <c r="F2705" s="6" t="s">
        <v>960</v>
      </c>
      <c r="G2705" s="6" t="s">
        <v>961</v>
      </c>
    </row>
    <row r="2706" spans="1:7" ht="15.75" customHeight="1">
      <c r="A2706" s="3">
        <v>251320389</v>
      </c>
      <c r="B2706" s="4" t="s">
        <v>7986</v>
      </c>
      <c r="C2706" s="3" t="s">
        <v>7987</v>
      </c>
      <c r="D2706" s="3"/>
      <c r="E2706" s="3" t="s">
        <v>7988</v>
      </c>
      <c r="F2706" s="4" t="s">
        <v>960</v>
      </c>
      <c r="G2706" s="4" t="s">
        <v>961</v>
      </c>
    </row>
    <row r="2707" spans="1:7" ht="15.75" customHeight="1">
      <c r="A2707" s="5">
        <v>251325981</v>
      </c>
      <c r="B2707" s="6" t="s">
        <v>7989</v>
      </c>
      <c r="C2707" s="5" t="s">
        <v>7990</v>
      </c>
      <c r="D2707" s="5"/>
      <c r="E2707" s="5" t="s">
        <v>7991</v>
      </c>
      <c r="F2707" s="6" t="s">
        <v>960</v>
      </c>
      <c r="G2707" s="6" t="s">
        <v>961</v>
      </c>
    </row>
    <row r="2708" spans="1:7" ht="15.75" customHeight="1">
      <c r="A2708" s="3">
        <v>251326439</v>
      </c>
      <c r="B2708" s="4" t="s">
        <v>7992</v>
      </c>
      <c r="C2708" s="3" t="s">
        <v>7993</v>
      </c>
      <c r="D2708" s="3"/>
      <c r="E2708" s="3" t="s">
        <v>7994</v>
      </c>
      <c r="F2708" s="4" t="s">
        <v>960</v>
      </c>
      <c r="G2708" s="4" t="s">
        <v>961</v>
      </c>
    </row>
    <row r="2709" spans="1:7" ht="15.75" customHeight="1">
      <c r="A2709" s="5">
        <v>251326488</v>
      </c>
      <c r="B2709" s="6" t="s">
        <v>7995</v>
      </c>
      <c r="C2709" s="5" t="s">
        <v>7996</v>
      </c>
      <c r="D2709" s="5" t="s">
        <v>7997</v>
      </c>
      <c r="E2709" s="5" t="s">
        <v>7998</v>
      </c>
      <c r="F2709" s="6" t="s">
        <v>960</v>
      </c>
      <c r="G2709" s="6" t="s">
        <v>961</v>
      </c>
    </row>
    <row r="2710" spans="1:7" ht="15.75" customHeight="1">
      <c r="A2710" s="3">
        <v>251330184</v>
      </c>
      <c r="B2710" s="4" t="s">
        <v>7999</v>
      </c>
      <c r="C2710" s="3" t="s">
        <v>8000</v>
      </c>
      <c r="D2710" s="3"/>
      <c r="E2710" s="3" t="s">
        <v>8001</v>
      </c>
      <c r="F2710" s="4" t="s">
        <v>960</v>
      </c>
      <c r="G2710" s="4" t="s">
        <v>961</v>
      </c>
    </row>
    <row r="2711" spans="1:7" ht="15.75" customHeight="1">
      <c r="A2711" s="5">
        <v>251333341</v>
      </c>
      <c r="B2711" s="6" t="s">
        <v>8002</v>
      </c>
      <c r="C2711" s="5" t="s">
        <v>8003</v>
      </c>
      <c r="D2711" s="5"/>
      <c r="E2711" s="5" t="s">
        <v>8004</v>
      </c>
      <c r="F2711" s="6" t="s">
        <v>960</v>
      </c>
      <c r="G2711" s="6" t="s">
        <v>961</v>
      </c>
    </row>
    <row r="2712" spans="1:7" ht="15.75" customHeight="1">
      <c r="A2712" s="3">
        <v>251333434</v>
      </c>
      <c r="B2712" s="4" t="s">
        <v>8005</v>
      </c>
      <c r="C2712" s="3" t="s">
        <v>8006</v>
      </c>
      <c r="D2712" s="3"/>
      <c r="E2712" s="3" t="s">
        <v>8007</v>
      </c>
      <c r="F2712" s="4" t="s">
        <v>960</v>
      </c>
      <c r="G2712" s="4" t="s">
        <v>961</v>
      </c>
    </row>
    <row r="2713" spans="1:7" ht="15.75" customHeight="1">
      <c r="A2713" s="5">
        <v>251333716</v>
      </c>
      <c r="B2713" s="6" t="s">
        <v>8008</v>
      </c>
      <c r="C2713" s="5" t="s">
        <v>8009</v>
      </c>
      <c r="D2713" s="5"/>
      <c r="E2713" s="5" t="s">
        <v>8010</v>
      </c>
      <c r="F2713" s="6" t="s">
        <v>960</v>
      </c>
      <c r="G2713" s="6" t="s">
        <v>961</v>
      </c>
    </row>
    <row r="2714" spans="1:7" ht="15.75" customHeight="1">
      <c r="A2714" s="3">
        <v>251343663</v>
      </c>
      <c r="B2714" s="4" t="s">
        <v>8011</v>
      </c>
      <c r="C2714" s="3" t="s">
        <v>8012</v>
      </c>
      <c r="D2714" s="3"/>
      <c r="E2714" s="3" t="s">
        <v>8013</v>
      </c>
      <c r="F2714" s="4" t="s">
        <v>960</v>
      </c>
      <c r="G2714" s="4" t="s">
        <v>961</v>
      </c>
    </row>
    <row r="2715" spans="1:7" ht="15.75" customHeight="1">
      <c r="A2715" s="5">
        <v>251353011</v>
      </c>
      <c r="B2715" s="6" t="s">
        <v>8014</v>
      </c>
      <c r="C2715" s="5" t="s">
        <v>8015</v>
      </c>
      <c r="D2715" s="5"/>
      <c r="E2715" s="5" t="s">
        <v>8016</v>
      </c>
      <c r="F2715" s="6" t="s">
        <v>960</v>
      </c>
      <c r="G2715" s="6" t="s">
        <v>961</v>
      </c>
    </row>
    <row r="2716" spans="1:7" ht="15.75" customHeight="1">
      <c r="A2716" s="3">
        <v>251356077</v>
      </c>
      <c r="B2716" s="4" t="s">
        <v>8017</v>
      </c>
      <c r="C2716" s="3" t="s">
        <v>8018</v>
      </c>
      <c r="D2716" s="3" t="s">
        <v>8019</v>
      </c>
      <c r="E2716" s="3" t="s">
        <v>8020</v>
      </c>
      <c r="F2716" s="4" t="s">
        <v>7323</v>
      </c>
      <c r="G2716" s="4" t="s">
        <v>7324</v>
      </c>
    </row>
    <row r="2717" spans="1:7" ht="15.75" customHeight="1">
      <c r="A2717" s="5">
        <v>251361791</v>
      </c>
      <c r="B2717" s="6" t="s">
        <v>8021</v>
      </c>
      <c r="C2717" s="5" t="s">
        <v>8022</v>
      </c>
      <c r="D2717" s="5"/>
      <c r="E2717" s="5" t="s">
        <v>8023</v>
      </c>
      <c r="F2717" s="6" t="s">
        <v>960</v>
      </c>
      <c r="G2717" s="6" t="s">
        <v>961</v>
      </c>
    </row>
    <row r="2718" spans="1:7" ht="15.75" customHeight="1">
      <c r="A2718" s="3">
        <v>251372924</v>
      </c>
      <c r="B2718" s="4" t="s">
        <v>8024</v>
      </c>
      <c r="C2718" s="3" t="s">
        <v>8025</v>
      </c>
      <c r="D2718" s="3"/>
      <c r="E2718" s="3" t="s">
        <v>8026</v>
      </c>
      <c r="F2718" s="4" t="s">
        <v>960</v>
      </c>
      <c r="G2718" s="4" t="s">
        <v>961</v>
      </c>
    </row>
    <row r="2719" spans="1:7" ht="15.75" customHeight="1">
      <c r="A2719" s="5">
        <v>251377363</v>
      </c>
      <c r="B2719" s="6" t="s">
        <v>8027</v>
      </c>
      <c r="C2719" s="5" t="s">
        <v>8028</v>
      </c>
      <c r="D2719" s="5"/>
      <c r="E2719" s="5" t="s">
        <v>8029</v>
      </c>
      <c r="F2719" s="6" t="s">
        <v>960</v>
      </c>
      <c r="G2719" s="6" t="s">
        <v>961</v>
      </c>
    </row>
    <row r="2720" spans="1:7" ht="15.75" customHeight="1">
      <c r="A2720" s="3">
        <v>251403198</v>
      </c>
      <c r="B2720" s="4" t="s">
        <v>8030</v>
      </c>
      <c r="C2720" s="3" t="s">
        <v>8031</v>
      </c>
      <c r="D2720" s="3"/>
      <c r="E2720" s="3" t="s">
        <v>8032</v>
      </c>
      <c r="F2720" s="4" t="s">
        <v>960</v>
      </c>
      <c r="G2720" s="4" t="s">
        <v>961</v>
      </c>
    </row>
    <row r="2721" spans="1:7" ht="15.75" customHeight="1">
      <c r="A2721" s="5">
        <v>251404080</v>
      </c>
      <c r="B2721" s="6" t="s">
        <v>8033</v>
      </c>
      <c r="C2721" s="5" t="s">
        <v>8034</v>
      </c>
      <c r="D2721" s="5"/>
      <c r="E2721" s="5" t="s">
        <v>8035</v>
      </c>
      <c r="F2721" s="6" t="s">
        <v>960</v>
      </c>
      <c r="G2721" s="6" t="s">
        <v>961</v>
      </c>
    </row>
    <row r="2722" spans="1:7" ht="15.75" customHeight="1">
      <c r="A2722" s="3">
        <v>251406040</v>
      </c>
      <c r="B2722" s="4" t="s">
        <v>8036</v>
      </c>
      <c r="C2722" s="3" t="s">
        <v>8037</v>
      </c>
      <c r="D2722" s="3"/>
      <c r="E2722" s="3" t="s">
        <v>8038</v>
      </c>
      <c r="F2722" s="4" t="s">
        <v>960</v>
      </c>
      <c r="G2722" s="4" t="s">
        <v>961</v>
      </c>
    </row>
    <row r="2723" spans="1:7" ht="15.75" customHeight="1">
      <c r="A2723" s="5">
        <v>251407435</v>
      </c>
      <c r="B2723" s="6" t="s">
        <v>8039</v>
      </c>
      <c r="C2723" s="5" t="s">
        <v>8040</v>
      </c>
      <c r="D2723" s="5"/>
      <c r="E2723" s="5" t="s">
        <v>8041</v>
      </c>
      <c r="F2723" s="6" t="s">
        <v>960</v>
      </c>
      <c r="G2723" s="6" t="s">
        <v>961</v>
      </c>
    </row>
    <row r="2724" spans="1:7" ht="15.75" customHeight="1">
      <c r="A2724" s="3">
        <v>251409145</v>
      </c>
      <c r="B2724" s="4" t="s">
        <v>8042</v>
      </c>
      <c r="C2724" s="3" t="s">
        <v>8043</v>
      </c>
      <c r="D2724" s="3"/>
      <c r="E2724" s="3" t="s">
        <v>8044</v>
      </c>
      <c r="F2724" s="4" t="s">
        <v>960</v>
      </c>
      <c r="G2724" s="4" t="s">
        <v>961</v>
      </c>
    </row>
    <row r="2725" spans="1:7" ht="15.75" customHeight="1">
      <c r="A2725" s="5">
        <v>251411368</v>
      </c>
      <c r="B2725" s="6" t="s">
        <v>8045</v>
      </c>
      <c r="C2725" s="5" t="s">
        <v>8046</v>
      </c>
      <c r="D2725" s="5"/>
      <c r="E2725" s="5" t="s">
        <v>8047</v>
      </c>
      <c r="F2725" s="6" t="s">
        <v>960</v>
      </c>
      <c r="G2725" s="6" t="s">
        <v>961</v>
      </c>
    </row>
    <row r="2726" spans="1:7" ht="15.75" customHeight="1">
      <c r="A2726" s="3">
        <v>251412869</v>
      </c>
      <c r="B2726" s="4" t="s">
        <v>8048</v>
      </c>
      <c r="C2726" s="3" t="s">
        <v>8049</v>
      </c>
      <c r="D2726" s="3"/>
      <c r="E2726" s="3" t="s">
        <v>8050</v>
      </c>
      <c r="F2726" s="4" t="s">
        <v>960</v>
      </c>
      <c r="G2726" s="4" t="s">
        <v>961</v>
      </c>
    </row>
    <row r="2727" spans="1:7" ht="15.75" customHeight="1">
      <c r="A2727" s="5">
        <v>251436762</v>
      </c>
      <c r="B2727" s="6" t="s">
        <v>8051</v>
      </c>
      <c r="C2727" s="5" t="s">
        <v>8052</v>
      </c>
      <c r="D2727" s="5"/>
      <c r="E2727" s="5" t="s">
        <v>8053</v>
      </c>
      <c r="F2727" s="6" t="s">
        <v>960</v>
      </c>
      <c r="G2727" s="6" t="s">
        <v>961</v>
      </c>
    </row>
    <row r="2728" spans="1:7" ht="15.75" customHeight="1">
      <c r="A2728" s="3">
        <v>251181154</v>
      </c>
      <c r="B2728" s="4" t="s">
        <v>7844</v>
      </c>
      <c r="C2728" s="3" t="s">
        <v>7845</v>
      </c>
      <c r="D2728" s="3"/>
      <c r="E2728" s="3" t="s">
        <v>8054</v>
      </c>
      <c r="F2728" s="4" t="s">
        <v>960</v>
      </c>
      <c r="G2728" s="4" t="s">
        <v>961</v>
      </c>
    </row>
    <row r="2729" spans="1:7" ht="15.75" customHeight="1">
      <c r="A2729" s="5">
        <v>251450350</v>
      </c>
      <c r="B2729" s="6" t="s">
        <v>8055</v>
      </c>
      <c r="C2729" s="5" t="s">
        <v>8056</v>
      </c>
      <c r="D2729" s="5"/>
      <c r="E2729" s="5" t="s">
        <v>8057</v>
      </c>
      <c r="F2729" s="6" t="s">
        <v>960</v>
      </c>
      <c r="G2729" s="6" t="s">
        <v>961</v>
      </c>
    </row>
    <row r="2730" spans="1:7" ht="15.75" customHeight="1">
      <c r="A2730" s="3">
        <v>251451058</v>
      </c>
      <c r="B2730" s="4" t="s">
        <v>8058</v>
      </c>
      <c r="C2730" s="3" t="s">
        <v>8059</v>
      </c>
      <c r="D2730" s="3"/>
      <c r="E2730" s="3" t="s">
        <v>8060</v>
      </c>
      <c r="F2730" s="4" t="s">
        <v>960</v>
      </c>
      <c r="G2730" s="4" t="s">
        <v>961</v>
      </c>
    </row>
    <row r="2731" spans="1:7" ht="15.75" customHeight="1">
      <c r="A2731" s="5">
        <v>251451651</v>
      </c>
      <c r="B2731" s="6" t="s">
        <v>8061</v>
      </c>
      <c r="C2731" s="5" t="s">
        <v>8062</v>
      </c>
      <c r="D2731" s="5" t="s">
        <v>8063</v>
      </c>
      <c r="E2731" s="5" t="s">
        <v>8064</v>
      </c>
      <c r="F2731" s="6" t="s">
        <v>960</v>
      </c>
      <c r="G2731" s="6" t="s">
        <v>961</v>
      </c>
    </row>
    <row r="2732" spans="1:7" ht="15.75" customHeight="1">
      <c r="A2732" s="3">
        <v>251451759</v>
      </c>
      <c r="B2732" s="4" t="s">
        <v>8065</v>
      </c>
      <c r="C2732" s="3" t="s">
        <v>8066</v>
      </c>
      <c r="D2732" s="3"/>
      <c r="E2732" s="3" t="s">
        <v>8067</v>
      </c>
      <c r="F2732" s="4" t="s">
        <v>960</v>
      </c>
      <c r="G2732" s="4" t="s">
        <v>961</v>
      </c>
    </row>
    <row r="2733" spans="1:7" ht="15.75" customHeight="1">
      <c r="A2733" s="5">
        <v>251462060</v>
      </c>
      <c r="B2733" s="6" t="s">
        <v>8068</v>
      </c>
      <c r="C2733" s="5" t="s">
        <v>8069</v>
      </c>
      <c r="D2733" s="5"/>
      <c r="E2733" s="5" t="s">
        <v>8070</v>
      </c>
      <c r="F2733" s="6" t="s">
        <v>960</v>
      </c>
      <c r="G2733" s="6" t="s">
        <v>961</v>
      </c>
    </row>
    <row r="2734" spans="1:7" ht="15.75" customHeight="1">
      <c r="A2734" s="3">
        <v>251503644</v>
      </c>
      <c r="B2734" s="4" t="s">
        <v>8071</v>
      </c>
      <c r="C2734" s="3" t="s">
        <v>8072</v>
      </c>
      <c r="D2734" s="3" t="s">
        <v>8073</v>
      </c>
      <c r="E2734" s="3" t="s">
        <v>8074</v>
      </c>
      <c r="F2734" s="4" t="s">
        <v>7408</v>
      </c>
      <c r="G2734" s="4" t="s">
        <v>7409</v>
      </c>
    </row>
    <row r="2735" spans="1:7" ht="15.75" customHeight="1">
      <c r="A2735" s="5">
        <v>251509891</v>
      </c>
      <c r="B2735" s="6" t="s">
        <v>8075</v>
      </c>
      <c r="C2735" s="5" t="s">
        <v>8076</v>
      </c>
      <c r="D2735" s="5" t="s">
        <v>8077</v>
      </c>
      <c r="E2735" s="5" t="s">
        <v>8078</v>
      </c>
      <c r="F2735" s="6" t="s">
        <v>7323</v>
      </c>
      <c r="G2735" s="6" t="s">
        <v>7324</v>
      </c>
    </row>
    <row r="2736" spans="1:7" ht="15.75" customHeight="1">
      <c r="A2736" s="3">
        <v>251531365</v>
      </c>
      <c r="B2736" s="4" t="s">
        <v>8079</v>
      </c>
      <c r="C2736" s="3" t="s">
        <v>8080</v>
      </c>
      <c r="D2736" s="3"/>
      <c r="E2736" s="3" t="s">
        <v>8081</v>
      </c>
      <c r="F2736" s="4" t="s">
        <v>960</v>
      </c>
      <c r="G2736" s="4" t="s">
        <v>961</v>
      </c>
    </row>
    <row r="2737" spans="1:7" ht="15.75" customHeight="1">
      <c r="A2737" s="5">
        <v>251534743</v>
      </c>
      <c r="B2737" s="6" t="s">
        <v>8082</v>
      </c>
      <c r="C2737" s="5" t="s">
        <v>8083</v>
      </c>
      <c r="D2737" s="5"/>
      <c r="E2737" s="5" t="s">
        <v>8084</v>
      </c>
      <c r="F2737" s="6" t="s">
        <v>960</v>
      </c>
      <c r="G2737" s="6" t="s">
        <v>961</v>
      </c>
    </row>
    <row r="2738" spans="1:7" ht="15.75" customHeight="1">
      <c r="A2738" s="3">
        <v>251535463</v>
      </c>
      <c r="B2738" s="4" t="s">
        <v>8085</v>
      </c>
      <c r="C2738" s="3" t="s">
        <v>8086</v>
      </c>
      <c r="D2738" s="3"/>
      <c r="E2738" s="3" t="s">
        <v>8087</v>
      </c>
      <c r="F2738" s="4" t="s">
        <v>960</v>
      </c>
      <c r="G2738" s="4" t="s">
        <v>961</v>
      </c>
    </row>
    <row r="2739" spans="1:7" ht="15.75" customHeight="1">
      <c r="A2739" s="5">
        <v>251538695</v>
      </c>
      <c r="B2739" s="6" t="s">
        <v>8088</v>
      </c>
      <c r="C2739" s="5" t="s">
        <v>8089</v>
      </c>
      <c r="D2739" s="5"/>
      <c r="E2739" s="5" t="s">
        <v>8090</v>
      </c>
      <c r="F2739" s="6" t="s">
        <v>960</v>
      </c>
      <c r="G2739" s="6" t="s">
        <v>961</v>
      </c>
    </row>
    <row r="2740" spans="1:7" ht="15.75" customHeight="1">
      <c r="A2740" s="3">
        <v>251319700</v>
      </c>
      <c r="B2740" s="4" t="s">
        <v>7980</v>
      </c>
      <c r="C2740" s="3" t="s">
        <v>7981</v>
      </c>
      <c r="D2740" s="3"/>
      <c r="E2740" s="3" t="s">
        <v>8091</v>
      </c>
      <c r="F2740" s="4" t="s">
        <v>960</v>
      </c>
      <c r="G2740" s="4" t="s">
        <v>961</v>
      </c>
    </row>
    <row r="2741" spans="1:7" ht="15.75" customHeight="1">
      <c r="A2741" s="5">
        <v>251552185</v>
      </c>
      <c r="B2741" s="6" t="s">
        <v>8092</v>
      </c>
      <c r="C2741" s="5" t="s">
        <v>8093</v>
      </c>
      <c r="D2741" s="5"/>
      <c r="E2741" s="5" t="s">
        <v>8094</v>
      </c>
      <c r="F2741" s="6" t="s">
        <v>960</v>
      </c>
      <c r="G2741" s="6" t="s">
        <v>961</v>
      </c>
    </row>
    <row r="2742" spans="1:7" ht="15.75" customHeight="1">
      <c r="A2742" s="3">
        <v>251555248</v>
      </c>
      <c r="B2742" s="4" t="s">
        <v>8095</v>
      </c>
      <c r="C2742" s="3" t="s">
        <v>8096</v>
      </c>
      <c r="D2742" s="3" t="s">
        <v>8097</v>
      </c>
      <c r="E2742" s="3" t="s">
        <v>8098</v>
      </c>
      <c r="F2742" s="4" t="s">
        <v>960</v>
      </c>
      <c r="G2742" s="4" t="s">
        <v>961</v>
      </c>
    </row>
    <row r="2743" spans="1:7" ht="15.75" customHeight="1">
      <c r="A2743" s="5">
        <v>251576105</v>
      </c>
      <c r="B2743" s="6" t="s">
        <v>8099</v>
      </c>
      <c r="C2743" s="5" t="s">
        <v>8100</v>
      </c>
      <c r="D2743" s="5">
        <v>79649243090</v>
      </c>
      <c r="E2743" s="5" t="s">
        <v>8101</v>
      </c>
      <c r="F2743" s="6" t="s">
        <v>960</v>
      </c>
      <c r="G2743" s="6" t="s">
        <v>961</v>
      </c>
    </row>
    <row r="2744" spans="1:7" ht="15.75" customHeight="1">
      <c r="A2744" s="3">
        <v>251581894</v>
      </c>
      <c r="B2744" s="4" t="s">
        <v>8102</v>
      </c>
      <c r="C2744" s="3" t="s">
        <v>8103</v>
      </c>
      <c r="D2744" s="3"/>
      <c r="E2744" s="3" t="s">
        <v>8104</v>
      </c>
      <c r="F2744" s="4" t="s">
        <v>960</v>
      </c>
      <c r="G2744" s="4" t="s">
        <v>961</v>
      </c>
    </row>
    <row r="2745" spans="1:7" ht="15.75" customHeight="1">
      <c r="A2745" s="5">
        <v>251588598</v>
      </c>
      <c r="B2745" s="6" t="s">
        <v>8105</v>
      </c>
      <c r="C2745" s="5" t="s">
        <v>8106</v>
      </c>
      <c r="D2745" s="5"/>
      <c r="E2745" s="5" t="s">
        <v>8107</v>
      </c>
      <c r="F2745" s="6" t="s">
        <v>960</v>
      </c>
      <c r="G2745" s="6" t="s">
        <v>961</v>
      </c>
    </row>
    <row r="2746" spans="1:7" ht="15.75" customHeight="1">
      <c r="A2746" s="3">
        <v>251609175</v>
      </c>
      <c r="B2746" s="4" t="s">
        <v>8108</v>
      </c>
      <c r="C2746" s="3" t="s">
        <v>8109</v>
      </c>
      <c r="D2746" s="3" t="s">
        <v>8110</v>
      </c>
      <c r="E2746" s="3" t="s">
        <v>8111</v>
      </c>
      <c r="F2746" s="4" t="s">
        <v>7408</v>
      </c>
      <c r="G2746" s="4" t="s">
        <v>7409</v>
      </c>
    </row>
    <row r="2747" spans="1:7" ht="15.75" customHeight="1">
      <c r="A2747" s="5">
        <v>251650761</v>
      </c>
      <c r="B2747" s="6" t="s">
        <v>8112</v>
      </c>
      <c r="C2747" s="5" t="s">
        <v>8113</v>
      </c>
      <c r="D2747" s="5"/>
      <c r="E2747" s="5" t="s">
        <v>8114</v>
      </c>
      <c r="F2747" s="6" t="s">
        <v>960</v>
      </c>
      <c r="G2747" s="6" t="s">
        <v>961</v>
      </c>
    </row>
    <row r="2748" spans="1:7" ht="15.75" customHeight="1">
      <c r="A2748" s="3">
        <v>251661104</v>
      </c>
      <c r="B2748" s="4" t="s">
        <v>8115</v>
      </c>
      <c r="C2748" s="3" t="s">
        <v>8116</v>
      </c>
      <c r="D2748" s="3"/>
      <c r="E2748" s="3" t="s">
        <v>8117</v>
      </c>
      <c r="F2748" s="4" t="s">
        <v>960</v>
      </c>
      <c r="G2748" s="4" t="s">
        <v>961</v>
      </c>
    </row>
    <row r="2749" spans="1:7" ht="15.75" customHeight="1">
      <c r="A2749" s="5">
        <v>251297504</v>
      </c>
      <c r="B2749" s="6" t="s">
        <v>7929</v>
      </c>
      <c r="C2749" s="5" t="s">
        <v>7930</v>
      </c>
      <c r="D2749" s="5">
        <v>79623711366</v>
      </c>
      <c r="E2749" s="5" t="s">
        <v>8118</v>
      </c>
      <c r="F2749" s="6" t="s">
        <v>960</v>
      </c>
      <c r="G2749" s="6" t="s">
        <v>961</v>
      </c>
    </row>
    <row r="2750" spans="1:7" ht="15.75" customHeight="1">
      <c r="A2750" s="3">
        <v>251669392</v>
      </c>
      <c r="B2750" s="4" t="s">
        <v>8119</v>
      </c>
      <c r="C2750" s="3" t="s">
        <v>8120</v>
      </c>
      <c r="D2750" s="3"/>
      <c r="E2750" s="3" t="s">
        <v>1306</v>
      </c>
      <c r="F2750" s="4" t="s">
        <v>960</v>
      </c>
      <c r="G2750" s="4" t="s">
        <v>961</v>
      </c>
    </row>
    <row r="2751" spans="1:7" ht="15.75" customHeight="1">
      <c r="A2751" s="5">
        <v>251674326</v>
      </c>
      <c r="B2751" s="6" t="s">
        <v>8121</v>
      </c>
      <c r="C2751" s="5" t="s">
        <v>8122</v>
      </c>
      <c r="D2751" s="5"/>
      <c r="E2751" s="5" t="s">
        <v>8123</v>
      </c>
      <c r="F2751" s="6" t="s">
        <v>960</v>
      </c>
      <c r="G2751" s="6" t="s">
        <v>961</v>
      </c>
    </row>
    <row r="2752" spans="1:7" ht="15.75" customHeight="1">
      <c r="A2752" s="3">
        <v>251685048</v>
      </c>
      <c r="B2752" s="4" t="s">
        <v>8124</v>
      </c>
      <c r="C2752" s="3" t="s">
        <v>8125</v>
      </c>
      <c r="D2752" s="3"/>
      <c r="E2752" s="3" t="s">
        <v>8126</v>
      </c>
      <c r="F2752" s="4" t="s">
        <v>960</v>
      </c>
      <c r="G2752" s="4" t="s">
        <v>961</v>
      </c>
    </row>
    <row r="2753" spans="1:7" ht="15.75" customHeight="1">
      <c r="A2753" s="5">
        <v>251700789</v>
      </c>
      <c r="B2753" s="6" t="s">
        <v>8127</v>
      </c>
      <c r="C2753" s="5" t="s">
        <v>8128</v>
      </c>
      <c r="D2753" s="5"/>
      <c r="E2753" s="5" t="s">
        <v>8129</v>
      </c>
      <c r="F2753" s="6" t="s">
        <v>960</v>
      </c>
      <c r="G2753" s="6" t="s">
        <v>961</v>
      </c>
    </row>
    <row r="2754" spans="1:7" ht="15.75" customHeight="1">
      <c r="A2754" s="3">
        <v>251710528</v>
      </c>
      <c r="B2754" s="4" t="s">
        <v>8130</v>
      </c>
      <c r="C2754" s="3" t="s">
        <v>8131</v>
      </c>
      <c r="D2754" s="3"/>
      <c r="E2754" s="3" t="s">
        <v>8132</v>
      </c>
      <c r="F2754" s="4" t="s">
        <v>960</v>
      </c>
      <c r="G2754" s="4" t="s">
        <v>961</v>
      </c>
    </row>
    <row r="2755" spans="1:7" ht="15.75" customHeight="1">
      <c r="A2755" s="5">
        <v>251581894</v>
      </c>
      <c r="B2755" s="6" t="s">
        <v>8102</v>
      </c>
      <c r="C2755" s="5" t="s">
        <v>8103</v>
      </c>
      <c r="D2755" s="5"/>
      <c r="E2755" s="5" t="s">
        <v>8133</v>
      </c>
      <c r="F2755" s="6" t="s">
        <v>960</v>
      </c>
      <c r="G2755" s="6" t="s">
        <v>961</v>
      </c>
    </row>
    <row r="2756" spans="1:7" ht="15.75" customHeight="1">
      <c r="A2756" s="3">
        <v>251721380</v>
      </c>
      <c r="B2756" s="4" t="s">
        <v>8134</v>
      </c>
      <c r="C2756" s="3" t="s">
        <v>8135</v>
      </c>
      <c r="D2756" s="3"/>
      <c r="E2756" s="3" t="s">
        <v>8136</v>
      </c>
      <c r="F2756" s="4" t="s">
        <v>960</v>
      </c>
      <c r="G2756" s="4" t="s">
        <v>961</v>
      </c>
    </row>
    <row r="2757" spans="1:7" ht="15.75" customHeight="1">
      <c r="A2757" s="5">
        <v>251751482</v>
      </c>
      <c r="B2757" s="6" t="s">
        <v>8137</v>
      </c>
      <c r="C2757" s="5" t="s">
        <v>8138</v>
      </c>
      <c r="D2757" s="5"/>
      <c r="E2757" s="5" t="s">
        <v>8139</v>
      </c>
      <c r="F2757" s="6" t="s">
        <v>960</v>
      </c>
      <c r="G2757" s="6" t="s">
        <v>961</v>
      </c>
    </row>
    <row r="2758" spans="1:7" ht="15.75" customHeight="1">
      <c r="A2758" s="3"/>
      <c r="B2758" s="4"/>
      <c r="C2758" s="3"/>
      <c r="D2758" s="3"/>
      <c r="E2758" s="3"/>
      <c r="F2758" s="4"/>
      <c r="G2758" s="4"/>
    </row>
  </sheetData>
  <autoFilter ref="A1:G2757"/>
  <pageMargins left="0.5" right="0.5" top="1" bottom="1" header="0" footer="0"/>
  <pageSetup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51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11.5" customWidth="1"/>
    <col min="2" max="2" width="14.125" customWidth="1"/>
    <col min="3" max="3" width="16" customWidth="1"/>
    <col min="4" max="4" width="23.25" customWidth="1"/>
    <col min="5" max="5" width="16.875" customWidth="1"/>
    <col min="6" max="8" width="11.5" customWidth="1"/>
    <col min="9" max="9" width="14.875" customWidth="1"/>
    <col min="10" max="16" width="11.5" customWidth="1"/>
    <col min="17" max="17" width="25.75" customWidth="1"/>
    <col min="18" max="19" width="11.5" customWidth="1"/>
  </cols>
  <sheetData>
    <row r="1" spans="1:19" ht="39" customHeight="1">
      <c r="A1" s="7" t="s">
        <v>8140</v>
      </c>
      <c r="B1" s="7" t="s">
        <v>8141</v>
      </c>
      <c r="C1" s="7" t="s">
        <v>8142</v>
      </c>
      <c r="D1" s="7" t="s">
        <v>1</v>
      </c>
      <c r="E1" s="7" t="s">
        <v>2</v>
      </c>
      <c r="F1" s="7" t="s">
        <v>8143</v>
      </c>
      <c r="G1" s="7" t="s">
        <v>8144</v>
      </c>
      <c r="H1" s="7" t="s">
        <v>3</v>
      </c>
      <c r="I1" s="7" t="s">
        <v>8145</v>
      </c>
      <c r="J1" s="7" t="s">
        <v>4</v>
      </c>
      <c r="K1" s="7" t="s">
        <v>8146</v>
      </c>
      <c r="L1" s="7" t="s">
        <v>8147</v>
      </c>
      <c r="M1" s="7" t="s">
        <v>8148</v>
      </c>
      <c r="N1" s="7" t="s">
        <v>8149</v>
      </c>
      <c r="O1" s="7" t="s">
        <v>8150</v>
      </c>
      <c r="P1" s="7" t="s">
        <v>8151</v>
      </c>
      <c r="Q1" s="7" t="s">
        <v>8152</v>
      </c>
      <c r="R1" s="7" t="s">
        <v>8153</v>
      </c>
      <c r="S1" s="7" t="s">
        <v>8154</v>
      </c>
    </row>
    <row r="2" spans="1:19" ht="25.5">
      <c r="A2" s="8">
        <v>43397490</v>
      </c>
      <c r="B2" s="8" t="s">
        <v>8155</v>
      </c>
      <c r="C2" s="8" t="s">
        <v>8156</v>
      </c>
      <c r="D2" s="8" t="s">
        <v>8157</v>
      </c>
      <c r="E2" s="9">
        <v>74158199151</v>
      </c>
      <c r="F2" s="8"/>
      <c r="G2" s="9"/>
      <c r="H2" s="8" t="s">
        <v>8158</v>
      </c>
      <c r="I2" s="8" t="s">
        <v>8159</v>
      </c>
      <c r="J2" s="8" t="s">
        <v>8160</v>
      </c>
      <c r="K2" s="8"/>
      <c r="L2" s="8"/>
      <c r="M2" s="8"/>
      <c r="N2" s="8"/>
      <c r="O2" s="8"/>
      <c r="P2" s="8"/>
      <c r="Q2" s="8" t="s">
        <v>8161</v>
      </c>
      <c r="R2" s="8"/>
      <c r="S2" s="8"/>
    </row>
    <row r="3" spans="1:19" ht="38.25">
      <c r="A3" s="8">
        <v>43454271</v>
      </c>
      <c r="B3" s="8" t="s">
        <v>8162</v>
      </c>
      <c r="C3" s="8" t="s">
        <v>8163</v>
      </c>
      <c r="D3" s="8" t="s">
        <v>576</v>
      </c>
      <c r="E3" s="9">
        <v>79175903472</v>
      </c>
      <c r="F3" s="8"/>
      <c r="G3" s="9"/>
      <c r="H3" s="8" t="s">
        <v>8164</v>
      </c>
      <c r="I3" s="8" t="s">
        <v>8165</v>
      </c>
      <c r="J3" s="8" t="s">
        <v>8166</v>
      </c>
      <c r="K3" s="8"/>
      <c r="L3" s="8" t="s">
        <v>8167</v>
      </c>
      <c r="M3" s="8" t="s">
        <v>8168</v>
      </c>
      <c r="N3" s="8" t="s">
        <v>8169</v>
      </c>
      <c r="O3" s="8" t="s">
        <v>8170</v>
      </c>
      <c r="P3" s="8" t="s">
        <v>8171</v>
      </c>
      <c r="Q3" s="8" t="s">
        <v>8161</v>
      </c>
      <c r="R3" s="8"/>
      <c r="S3" s="8"/>
    </row>
    <row r="4" spans="1:19" ht="25.5">
      <c r="A4" s="8">
        <v>43528937</v>
      </c>
      <c r="B4" s="8" t="s">
        <v>8172</v>
      </c>
      <c r="C4" s="8" t="s">
        <v>8173</v>
      </c>
      <c r="D4" s="8" t="s">
        <v>248</v>
      </c>
      <c r="E4" s="9">
        <v>79281794882</v>
      </c>
      <c r="F4" s="8"/>
      <c r="G4" s="9"/>
      <c r="H4" s="8" t="s">
        <v>8164</v>
      </c>
      <c r="I4" s="8" t="s">
        <v>8174</v>
      </c>
      <c r="J4" s="8" t="s">
        <v>8175</v>
      </c>
      <c r="K4" s="8"/>
      <c r="L4" s="8"/>
      <c r="M4" s="8" t="s">
        <v>8176</v>
      </c>
      <c r="N4" s="8"/>
      <c r="O4" s="8"/>
      <c r="P4" s="8"/>
      <c r="Q4" s="8"/>
      <c r="R4" s="8"/>
      <c r="S4" s="8"/>
    </row>
    <row r="5" spans="1:19" ht="14.25">
      <c r="A5" s="8">
        <v>44176249</v>
      </c>
      <c r="B5" s="8" t="s">
        <v>8177</v>
      </c>
      <c r="C5" s="8" t="s">
        <v>8178</v>
      </c>
      <c r="D5" s="8" t="s">
        <v>359</v>
      </c>
      <c r="E5" s="9">
        <v>9720543687050</v>
      </c>
      <c r="F5" s="8"/>
      <c r="G5" s="9"/>
      <c r="H5" s="8" t="s">
        <v>8179</v>
      </c>
      <c r="I5" s="8" t="s">
        <v>8180</v>
      </c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ht="25.5">
      <c r="A6" s="8">
        <v>44209568</v>
      </c>
      <c r="B6" s="8" t="s">
        <v>8181</v>
      </c>
      <c r="C6" s="8" t="s">
        <v>8182</v>
      </c>
      <c r="D6" s="8" t="s">
        <v>1249</v>
      </c>
      <c r="E6" s="9">
        <v>4917623779033</v>
      </c>
      <c r="F6" s="8"/>
      <c r="G6" s="9"/>
      <c r="H6" s="8" t="s">
        <v>8183</v>
      </c>
      <c r="I6" s="8" t="s">
        <v>8184</v>
      </c>
      <c r="J6" s="8" t="s">
        <v>8185</v>
      </c>
      <c r="K6" s="8"/>
      <c r="L6" s="8"/>
      <c r="M6" s="8"/>
      <c r="N6" s="8"/>
      <c r="O6" s="8"/>
      <c r="P6" s="8"/>
      <c r="Q6" s="8" t="s">
        <v>8161</v>
      </c>
      <c r="R6" s="8"/>
      <c r="S6" s="8"/>
    </row>
    <row r="7" spans="1:19" ht="25.5">
      <c r="A7" s="8">
        <v>44446619</v>
      </c>
      <c r="B7" s="8" t="s">
        <v>8186</v>
      </c>
      <c r="C7" s="8" t="s">
        <v>8187</v>
      </c>
      <c r="D7" s="8" t="s">
        <v>1103</v>
      </c>
      <c r="E7" s="9">
        <v>79009467744</v>
      </c>
      <c r="F7" s="8"/>
      <c r="G7" s="9"/>
      <c r="H7" s="8" t="s">
        <v>8164</v>
      </c>
      <c r="I7" s="8" t="s">
        <v>8188</v>
      </c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>
      <c r="A8" s="8">
        <v>44524687</v>
      </c>
      <c r="B8" s="8" t="s">
        <v>8189</v>
      </c>
      <c r="C8" s="8" t="s">
        <v>8190</v>
      </c>
      <c r="D8" s="8" t="s">
        <v>31</v>
      </c>
      <c r="E8" s="9">
        <v>79006474256</v>
      </c>
      <c r="F8" s="8"/>
      <c r="G8" s="9"/>
      <c r="H8" s="8" t="s">
        <v>8164</v>
      </c>
      <c r="I8" s="8" t="s">
        <v>8191</v>
      </c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ht="25.5">
      <c r="A9" s="8">
        <v>45654956</v>
      </c>
      <c r="B9" s="8" t="s">
        <v>8192</v>
      </c>
      <c r="C9" s="8" t="s">
        <v>8193</v>
      </c>
      <c r="D9" s="8" t="s">
        <v>867</v>
      </c>
      <c r="E9" s="9">
        <v>972548660430</v>
      </c>
      <c r="F9" s="8"/>
      <c r="G9" s="9"/>
      <c r="H9" s="8" t="s">
        <v>8194</v>
      </c>
      <c r="I9" s="8" t="s">
        <v>8195</v>
      </c>
      <c r="J9" s="8" t="s">
        <v>8196</v>
      </c>
      <c r="K9" s="8"/>
      <c r="L9" s="8"/>
      <c r="M9" s="8"/>
      <c r="N9" s="8"/>
      <c r="O9" s="8"/>
      <c r="P9" s="8"/>
      <c r="Q9" s="8" t="s">
        <v>8161</v>
      </c>
      <c r="R9" s="8"/>
      <c r="S9" s="8"/>
    </row>
    <row r="10" spans="1:19" ht="14.25">
      <c r="A10" s="8">
        <v>45774403</v>
      </c>
      <c r="B10" s="8" t="s">
        <v>8197</v>
      </c>
      <c r="C10" s="8" t="s">
        <v>8198</v>
      </c>
      <c r="D10" s="8" t="s">
        <v>838</v>
      </c>
      <c r="E10" s="9">
        <v>821073084577</v>
      </c>
      <c r="F10" s="8"/>
      <c r="G10" s="9"/>
      <c r="H10" s="8" t="s">
        <v>8199</v>
      </c>
      <c r="I10" s="8" t="s">
        <v>8200</v>
      </c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ht="25.5">
      <c r="A11" s="8">
        <v>45785519</v>
      </c>
      <c r="B11" s="8" t="s">
        <v>8201</v>
      </c>
      <c r="C11" s="8" t="s">
        <v>8202</v>
      </c>
      <c r="D11" s="8" t="s">
        <v>298</v>
      </c>
      <c r="E11" s="9">
        <v>79513438672</v>
      </c>
      <c r="F11" s="8"/>
      <c r="G11" s="9"/>
      <c r="H11" s="8" t="s">
        <v>8164</v>
      </c>
      <c r="I11" s="8"/>
      <c r="J11" s="8" t="s">
        <v>8203</v>
      </c>
      <c r="K11" s="8"/>
      <c r="L11" s="8" t="s">
        <v>8167</v>
      </c>
      <c r="M11" s="8"/>
      <c r="N11" s="8" t="s">
        <v>8169</v>
      </c>
      <c r="O11" s="8" t="s">
        <v>8170</v>
      </c>
      <c r="P11" s="8" t="s">
        <v>8171</v>
      </c>
      <c r="Q11" s="8" t="s">
        <v>8161</v>
      </c>
      <c r="R11" s="8"/>
      <c r="S11" s="8"/>
    </row>
    <row r="12" spans="1:19" ht="14.25">
      <c r="A12" s="8">
        <v>47211305</v>
      </c>
      <c r="B12" s="8" t="s">
        <v>7399</v>
      </c>
      <c r="C12" s="8" t="s">
        <v>8204</v>
      </c>
      <c r="D12" s="8" t="s">
        <v>393</v>
      </c>
      <c r="E12" s="9">
        <v>79025242387</v>
      </c>
      <c r="F12" s="8"/>
      <c r="G12" s="9"/>
      <c r="H12" s="8" t="s">
        <v>8164</v>
      </c>
      <c r="I12" s="8" t="s">
        <v>8205</v>
      </c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ht="14.25">
      <c r="A13" s="8">
        <v>47349198</v>
      </c>
      <c r="B13" s="8" t="s">
        <v>8206</v>
      </c>
      <c r="C13" s="8" t="s">
        <v>8207</v>
      </c>
      <c r="D13" s="8" t="s">
        <v>251</v>
      </c>
      <c r="E13" s="9">
        <v>79030986224</v>
      </c>
      <c r="F13" s="8"/>
      <c r="G13" s="9"/>
      <c r="H13" s="8" t="s">
        <v>8164</v>
      </c>
      <c r="I13" s="8" t="s">
        <v>8208</v>
      </c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ht="14.25">
      <c r="A14" s="8">
        <v>49299703</v>
      </c>
      <c r="B14" s="8" t="s">
        <v>8209</v>
      </c>
      <c r="C14" s="8" t="s">
        <v>8210</v>
      </c>
      <c r="D14" s="8" t="s">
        <v>202</v>
      </c>
      <c r="E14" s="9">
        <v>491637889400</v>
      </c>
      <c r="F14" s="8"/>
      <c r="G14" s="9"/>
      <c r="H14" s="8" t="s">
        <v>8183</v>
      </c>
      <c r="I14" s="8" t="s">
        <v>8184</v>
      </c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ht="25.5">
      <c r="A15" s="8">
        <v>49959236</v>
      </c>
      <c r="B15" s="8" t="s">
        <v>8211</v>
      </c>
      <c r="C15" s="8" t="s">
        <v>8212</v>
      </c>
      <c r="D15" s="8" t="s">
        <v>799</v>
      </c>
      <c r="E15" s="9">
        <v>79673098277</v>
      </c>
      <c r="F15" s="8"/>
      <c r="G15" s="9"/>
      <c r="H15" s="8" t="s">
        <v>8213</v>
      </c>
      <c r="I15" s="8" t="s">
        <v>8214</v>
      </c>
      <c r="J15" s="8" t="s">
        <v>8215</v>
      </c>
      <c r="K15" s="8"/>
      <c r="L15" s="8"/>
      <c r="M15" s="8"/>
      <c r="N15" s="8"/>
      <c r="O15" s="8"/>
      <c r="P15" s="8"/>
      <c r="Q15" s="8"/>
      <c r="R15" s="8"/>
      <c r="S15" s="8"/>
    </row>
    <row r="16" spans="1:19" ht="14.25">
      <c r="A16" s="8">
        <v>50612397</v>
      </c>
      <c r="B16" s="8" t="s">
        <v>8216</v>
      </c>
      <c r="C16" s="8" t="s">
        <v>8217</v>
      </c>
      <c r="D16" s="8" t="s">
        <v>41</v>
      </c>
      <c r="E16" s="9">
        <v>79259105165</v>
      </c>
      <c r="F16" s="8"/>
      <c r="G16" s="9"/>
      <c r="H16" s="8" t="s">
        <v>8164</v>
      </c>
      <c r="I16" s="8" t="s">
        <v>8218</v>
      </c>
      <c r="J16" s="8" t="s">
        <v>8219</v>
      </c>
      <c r="K16" s="8"/>
      <c r="L16" s="8"/>
      <c r="M16" s="8"/>
      <c r="N16" s="8"/>
      <c r="O16" s="8"/>
      <c r="P16" s="8"/>
      <c r="Q16" s="8"/>
      <c r="R16" s="8"/>
      <c r="S16" s="8"/>
    </row>
    <row r="17" spans="1:19" ht="25.5">
      <c r="A17" s="8">
        <v>50643476</v>
      </c>
      <c r="B17" s="8" t="s">
        <v>8220</v>
      </c>
      <c r="C17" s="8" t="s">
        <v>8221</v>
      </c>
      <c r="D17" s="8" t="s">
        <v>216</v>
      </c>
      <c r="E17" s="9">
        <v>375297330814</v>
      </c>
      <c r="F17" s="8"/>
      <c r="G17" s="9"/>
      <c r="H17" s="8" t="s">
        <v>8222</v>
      </c>
      <c r="I17" s="8" t="s">
        <v>8223</v>
      </c>
      <c r="J17" s="8" t="s">
        <v>8224</v>
      </c>
      <c r="K17" s="8"/>
      <c r="L17" s="8"/>
      <c r="M17" s="8"/>
      <c r="N17" s="8"/>
      <c r="O17" s="8"/>
      <c r="P17" s="8"/>
      <c r="Q17" s="8" t="s">
        <v>8161</v>
      </c>
      <c r="R17" s="8"/>
      <c r="S17" s="8"/>
    </row>
    <row r="18" spans="1:19" ht="14.25">
      <c r="A18" s="8">
        <v>50693657</v>
      </c>
      <c r="B18" s="8" t="s">
        <v>8225</v>
      </c>
      <c r="C18" s="8" t="s">
        <v>8226</v>
      </c>
      <c r="D18" s="8" t="s">
        <v>730</v>
      </c>
      <c r="E18" s="9">
        <v>79884966976</v>
      </c>
      <c r="F18" s="8"/>
      <c r="G18" s="9"/>
      <c r="H18" s="8" t="s">
        <v>8164</v>
      </c>
      <c r="I18" s="8" t="s">
        <v>8227</v>
      </c>
      <c r="J18" s="8" t="s">
        <v>8228</v>
      </c>
      <c r="K18" s="8"/>
      <c r="L18" s="8"/>
      <c r="M18" s="8"/>
      <c r="N18" s="8"/>
      <c r="O18" s="8"/>
      <c r="P18" s="8"/>
      <c r="Q18" s="8"/>
      <c r="R18" s="8"/>
      <c r="S18" s="8"/>
    </row>
    <row r="19" spans="1:19" ht="14.25">
      <c r="A19" s="8">
        <v>51931852</v>
      </c>
      <c r="B19" s="8" t="s">
        <v>8229</v>
      </c>
      <c r="C19" s="8" t="s">
        <v>8230</v>
      </c>
      <c r="D19" s="8" t="s">
        <v>847</v>
      </c>
      <c r="E19" s="9">
        <v>821035571880</v>
      </c>
      <c r="F19" s="8"/>
      <c r="G19" s="9"/>
      <c r="H19" s="8" t="s">
        <v>8199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ht="25.5">
      <c r="A20" s="8">
        <v>52238024</v>
      </c>
      <c r="B20" s="8" t="s">
        <v>8192</v>
      </c>
      <c r="C20" s="8" t="s">
        <v>8231</v>
      </c>
      <c r="D20" s="8" t="s">
        <v>748</v>
      </c>
      <c r="E20" s="9">
        <v>79143389472</v>
      </c>
      <c r="F20" s="8"/>
      <c r="G20" s="9"/>
      <c r="H20" s="8" t="s">
        <v>8164</v>
      </c>
      <c r="I20" s="8" t="s">
        <v>8232</v>
      </c>
      <c r="J20" s="8" t="s">
        <v>8233</v>
      </c>
      <c r="K20" s="8"/>
      <c r="L20" s="8"/>
      <c r="M20" s="8"/>
      <c r="N20" s="8"/>
      <c r="O20" s="8"/>
      <c r="P20" s="8"/>
      <c r="Q20" s="8" t="s">
        <v>8161</v>
      </c>
      <c r="R20" s="8"/>
      <c r="S20" s="8"/>
    </row>
    <row r="21" spans="1:19" ht="15.75" customHeight="1">
      <c r="A21" s="8">
        <v>55750410</v>
      </c>
      <c r="B21" s="8" t="s">
        <v>8234</v>
      </c>
      <c r="C21" s="8" t="s">
        <v>8235</v>
      </c>
      <c r="D21" s="8" t="s">
        <v>64</v>
      </c>
      <c r="E21" s="9">
        <v>79897704789</v>
      </c>
      <c r="F21" s="8" t="s">
        <v>8236</v>
      </c>
      <c r="G21" s="9">
        <v>37</v>
      </c>
      <c r="H21" s="8" t="s">
        <v>8164</v>
      </c>
      <c r="I21" s="8" t="s">
        <v>8237</v>
      </c>
      <c r="J21" s="8" t="s">
        <v>8238</v>
      </c>
      <c r="K21" s="8"/>
      <c r="L21" s="8"/>
      <c r="M21" s="8"/>
      <c r="N21" s="8" t="s">
        <v>8169</v>
      </c>
      <c r="O21" s="8"/>
      <c r="P21" s="8" t="s">
        <v>8171</v>
      </c>
      <c r="Q21" s="8"/>
      <c r="R21" s="8"/>
      <c r="S21" s="8"/>
    </row>
    <row r="22" spans="1:19" ht="15.75" customHeight="1">
      <c r="A22" s="8">
        <v>56018039</v>
      </c>
      <c r="B22" s="8" t="s">
        <v>7768</v>
      </c>
      <c r="C22" s="8" t="s">
        <v>8239</v>
      </c>
      <c r="D22" s="8" t="s">
        <v>397</v>
      </c>
      <c r="E22" s="9">
        <v>77771333373</v>
      </c>
      <c r="F22" s="8" t="s">
        <v>8240</v>
      </c>
      <c r="G22" s="9">
        <v>45</v>
      </c>
      <c r="H22" s="8" t="s">
        <v>8241</v>
      </c>
      <c r="I22" s="8" t="s">
        <v>8242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ht="15.75" customHeight="1">
      <c r="A23" s="8">
        <v>58366228</v>
      </c>
      <c r="B23" s="8" t="s">
        <v>8243</v>
      </c>
      <c r="C23" s="8" t="s">
        <v>8244</v>
      </c>
      <c r="D23" s="8" t="s">
        <v>34</v>
      </c>
      <c r="E23" s="9">
        <v>79263978128</v>
      </c>
      <c r="F23" s="8"/>
      <c r="G23" s="9"/>
      <c r="H23" s="8" t="s">
        <v>8164</v>
      </c>
      <c r="I23" s="8" t="s">
        <v>8245</v>
      </c>
      <c r="J23" s="8" t="s">
        <v>8246</v>
      </c>
      <c r="K23" s="8"/>
      <c r="L23" s="8"/>
      <c r="M23" s="8"/>
      <c r="N23" s="8"/>
      <c r="O23" s="8"/>
      <c r="P23" s="8"/>
      <c r="Q23" s="8"/>
      <c r="R23" s="8"/>
      <c r="S23" s="8"/>
    </row>
    <row r="24" spans="1:19" ht="15.75" customHeight="1">
      <c r="A24" s="8">
        <v>59578481</v>
      </c>
      <c r="B24" s="8" t="s">
        <v>8247</v>
      </c>
      <c r="C24" s="8" t="s">
        <v>8248</v>
      </c>
      <c r="D24" s="8" t="s">
        <v>1192</v>
      </c>
      <c r="E24" s="9" t="s">
        <v>1193</v>
      </c>
      <c r="F24" s="8" t="s">
        <v>8249</v>
      </c>
      <c r="G24" s="9">
        <v>52</v>
      </c>
      <c r="H24" s="8" t="s">
        <v>8164</v>
      </c>
      <c r="I24" s="8" t="s">
        <v>8250</v>
      </c>
      <c r="J24" s="8" t="s">
        <v>8251</v>
      </c>
      <c r="K24" s="8"/>
      <c r="L24" s="8" t="s">
        <v>8167</v>
      </c>
      <c r="M24" s="8" t="s">
        <v>8168</v>
      </c>
      <c r="N24" s="8"/>
      <c r="O24" s="8" t="s">
        <v>8170</v>
      </c>
      <c r="P24" s="8" t="s">
        <v>8171</v>
      </c>
      <c r="Q24" s="8" t="s">
        <v>8161</v>
      </c>
      <c r="R24" s="8"/>
      <c r="S24" s="8"/>
    </row>
    <row r="25" spans="1:19" ht="15.75" customHeight="1">
      <c r="A25" s="8">
        <v>59947508</v>
      </c>
      <c r="B25" s="8" t="s">
        <v>8252</v>
      </c>
      <c r="C25" s="8" t="s">
        <v>8253</v>
      </c>
      <c r="D25" s="8" t="s">
        <v>338</v>
      </c>
      <c r="E25" s="9" t="s">
        <v>339</v>
      </c>
      <c r="F25" s="8"/>
      <c r="G25" s="9"/>
      <c r="H25" s="8" t="s">
        <v>8164</v>
      </c>
      <c r="I25" s="8" t="s">
        <v>8254</v>
      </c>
      <c r="J25" s="8" t="s">
        <v>8255</v>
      </c>
      <c r="K25" s="8"/>
      <c r="L25" s="8"/>
      <c r="M25" s="8"/>
      <c r="N25" s="8"/>
      <c r="O25" s="8"/>
      <c r="P25" s="8" t="s">
        <v>8171</v>
      </c>
      <c r="Q25" s="8"/>
      <c r="R25" s="8"/>
      <c r="S25" s="8"/>
    </row>
    <row r="26" spans="1:19" ht="15.75" customHeight="1">
      <c r="A26" s="8">
        <v>59988008</v>
      </c>
      <c r="B26" s="8" t="s">
        <v>8256</v>
      </c>
      <c r="C26" s="8" t="s">
        <v>8257</v>
      </c>
      <c r="D26" s="8" t="s">
        <v>110</v>
      </c>
      <c r="E26" s="9">
        <v>79263535558</v>
      </c>
      <c r="F26" s="8"/>
      <c r="G26" s="9"/>
      <c r="H26" s="8" t="s">
        <v>8164</v>
      </c>
      <c r="I26" s="8" t="s">
        <v>8258</v>
      </c>
      <c r="J26" s="8" t="s">
        <v>8259</v>
      </c>
      <c r="K26" s="8"/>
      <c r="L26" s="8"/>
      <c r="M26" s="8"/>
      <c r="N26" s="8" t="s">
        <v>8169</v>
      </c>
      <c r="O26" s="8"/>
      <c r="P26" s="8" t="s">
        <v>8171</v>
      </c>
      <c r="Q26" s="8"/>
      <c r="R26" s="8"/>
      <c r="S26" s="8"/>
    </row>
    <row r="27" spans="1:19" ht="15.75" customHeight="1">
      <c r="A27" s="8">
        <v>60042372</v>
      </c>
      <c r="B27" s="8" t="s">
        <v>8260</v>
      </c>
      <c r="C27" s="8" t="s">
        <v>8261</v>
      </c>
      <c r="D27" s="8" t="s">
        <v>1003</v>
      </c>
      <c r="E27" s="9" t="s">
        <v>1004</v>
      </c>
      <c r="F27" s="8"/>
      <c r="G27" s="9"/>
      <c r="H27" s="8" t="s">
        <v>8262</v>
      </c>
      <c r="I27" s="8" t="s">
        <v>8263</v>
      </c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ht="15.75" customHeight="1">
      <c r="A28" s="8">
        <v>62764272</v>
      </c>
      <c r="B28" s="8" t="s">
        <v>8264</v>
      </c>
      <c r="C28" s="8" t="s">
        <v>8265</v>
      </c>
      <c r="D28" s="8" t="s">
        <v>434</v>
      </c>
      <c r="E28" s="9">
        <v>380676967306</v>
      </c>
      <c r="F28" s="8" t="s">
        <v>8266</v>
      </c>
      <c r="G28" s="9">
        <v>35</v>
      </c>
      <c r="H28" s="8" t="s">
        <v>8267</v>
      </c>
      <c r="I28" s="8" t="s">
        <v>8268</v>
      </c>
      <c r="J28" s="8" t="s">
        <v>8269</v>
      </c>
      <c r="K28" s="8"/>
      <c r="L28" s="8"/>
      <c r="M28" s="8"/>
      <c r="N28" s="8"/>
      <c r="O28" s="8"/>
      <c r="P28" s="8"/>
      <c r="Q28" s="8" t="s">
        <v>8161</v>
      </c>
      <c r="R28" s="8"/>
      <c r="S28" s="8"/>
    </row>
    <row r="29" spans="1:19" ht="15.75" customHeight="1">
      <c r="A29" s="8">
        <v>62845648</v>
      </c>
      <c r="B29" s="8" t="s">
        <v>7399</v>
      </c>
      <c r="C29" s="8" t="s">
        <v>8270</v>
      </c>
      <c r="D29" s="8" t="s">
        <v>219</v>
      </c>
      <c r="E29" s="9">
        <v>380996472209</v>
      </c>
      <c r="F29" s="8" t="s">
        <v>8271</v>
      </c>
      <c r="G29" s="9">
        <v>52</v>
      </c>
      <c r="H29" s="8" t="s">
        <v>8158</v>
      </c>
      <c r="I29" s="8" t="s">
        <v>8272</v>
      </c>
      <c r="J29" s="8" t="s">
        <v>8273</v>
      </c>
      <c r="K29" s="8"/>
      <c r="L29" s="8" t="s">
        <v>8167</v>
      </c>
      <c r="M29" s="8" t="s">
        <v>8176</v>
      </c>
      <c r="N29" s="8" t="s">
        <v>8169</v>
      </c>
      <c r="O29" s="8" t="s">
        <v>8170</v>
      </c>
      <c r="P29" s="8" t="s">
        <v>8171</v>
      </c>
      <c r="Q29" s="8" t="s">
        <v>8161</v>
      </c>
      <c r="R29" s="8"/>
      <c r="S29" s="8"/>
    </row>
    <row r="30" spans="1:19" ht="15.75" customHeight="1">
      <c r="A30" s="8">
        <v>62845649</v>
      </c>
      <c r="B30" s="8" t="s">
        <v>8274</v>
      </c>
      <c r="C30" s="8" t="s">
        <v>8275</v>
      </c>
      <c r="D30" s="8" t="s">
        <v>1037</v>
      </c>
      <c r="E30" s="9">
        <v>79538969137</v>
      </c>
      <c r="F30" s="8"/>
      <c r="G30" s="9"/>
      <c r="H30" s="8" t="s">
        <v>8164</v>
      </c>
      <c r="I30" s="8" t="s">
        <v>8276</v>
      </c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 ht="15.75" customHeight="1">
      <c r="A31" s="8">
        <v>62966218</v>
      </c>
      <c r="B31" s="8" t="s">
        <v>8277</v>
      </c>
      <c r="C31" s="8" t="s">
        <v>8278</v>
      </c>
      <c r="D31" s="8" t="s">
        <v>523</v>
      </c>
      <c r="E31" s="9" t="s">
        <v>524</v>
      </c>
      <c r="F31" s="8"/>
      <c r="G31" s="9"/>
      <c r="H31" s="8" t="s">
        <v>8164</v>
      </c>
      <c r="I31" s="8"/>
      <c r="J31" s="8">
        <v>89237402671</v>
      </c>
      <c r="K31" s="8"/>
      <c r="L31" s="8" t="s">
        <v>8167</v>
      </c>
      <c r="M31" s="8"/>
      <c r="N31" s="8"/>
      <c r="O31" s="8"/>
      <c r="P31" s="8"/>
      <c r="Q31" s="8"/>
      <c r="R31" s="8"/>
      <c r="S31" s="8"/>
    </row>
    <row r="32" spans="1:19" ht="15.75" customHeight="1">
      <c r="A32" s="8">
        <v>64486999</v>
      </c>
      <c r="B32" s="8" t="s">
        <v>8279</v>
      </c>
      <c r="C32" s="8" t="s">
        <v>8280</v>
      </c>
      <c r="D32" s="8" t="s">
        <v>438</v>
      </c>
      <c r="E32" s="9">
        <v>87074242121</v>
      </c>
      <c r="F32" s="8"/>
      <c r="G32" s="9"/>
      <c r="H32" s="8" t="s">
        <v>8241</v>
      </c>
      <c r="I32" s="8" t="s">
        <v>8281</v>
      </c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 ht="15.75" customHeight="1">
      <c r="A33" s="8">
        <v>64569439</v>
      </c>
      <c r="B33" s="8" t="s">
        <v>3971</v>
      </c>
      <c r="C33" s="8" t="s">
        <v>8282</v>
      </c>
      <c r="D33" s="8" t="s">
        <v>611</v>
      </c>
      <c r="E33" s="9" t="s">
        <v>612</v>
      </c>
      <c r="F33" s="8"/>
      <c r="G33" s="9"/>
      <c r="H33" s="8" t="s">
        <v>8164</v>
      </c>
      <c r="I33" s="8" t="s">
        <v>8165</v>
      </c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ht="15.75" customHeight="1">
      <c r="A34" s="8">
        <v>64579474</v>
      </c>
      <c r="B34" s="8" t="s">
        <v>8283</v>
      </c>
      <c r="C34" s="8" t="s">
        <v>8284</v>
      </c>
      <c r="D34" s="8" t="s">
        <v>125</v>
      </c>
      <c r="E34" s="9">
        <v>380713212251</v>
      </c>
      <c r="F34" s="8" t="s">
        <v>8285</v>
      </c>
      <c r="G34" s="9">
        <v>49</v>
      </c>
      <c r="H34" s="8" t="s">
        <v>8267</v>
      </c>
      <c r="I34" s="8" t="s">
        <v>8286</v>
      </c>
      <c r="J34" s="8" t="s">
        <v>8287</v>
      </c>
      <c r="K34" s="8"/>
      <c r="L34" s="8" t="s">
        <v>8167</v>
      </c>
      <c r="M34" s="8" t="s">
        <v>8176</v>
      </c>
      <c r="N34" s="8"/>
      <c r="O34" s="8" t="s">
        <v>8170</v>
      </c>
      <c r="P34" s="8" t="s">
        <v>8171</v>
      </c>
      <c r="Q34" s="8" t="s">
        <v>8161</v>
      </c>
      <c r="R34" s="8"/>
      <c r="S34" s="8"/>
    </row>
    <row r="35" spans="1:19" ht="15.75" customHeight="1">
      <c r="A35" s="8">
        <v>64632309</v>
      </c>
      <c r="B35" s="8" t="s">
        <v>8288</v>
      </c>
      <c r="C35" s="8" t="s">
        <v>8289</v>
      </c>
      <c r="D35" s="8" t="s">
        <v>678</v>
      </c>
      <c r="E35" s="9">
        <v>79393392480</v>
      </c>
      <c r="F35" s="8"/>
      <c r="G35" s="9"/>
      <c r="H35" s="8" t="s">
        <v>8164</v>
      </c>
      <c r="I35" s="8" t="s">
        <v>8290</v>
      </c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 ht="15.75" customHeight="1">
      <c r="A36" s="8">
        <v>64651895</v>
      </c>
      <c r="B36" s="8" t="s">
        <v>7399</v>
      </c>
      <c r="C36" s="8" t="s">
        <v>8291</v>
      </c>
      <c r="D36" s="8" t="s">
        <v>1028</v>
      </c>
      <c r="E36" s="9">
        <v>79171413761</v>
      </c>
      <c r="F36" s="8" t="s">
        <v>8292</v>
      </c>
      <c r="G36" s="9">
        <v>66</v>
      </c>
      <c r="H36" s="8" t="s">
        <v>8164</v>
      </c>
      <c r="I36" s="8" t="s">
        <v>8293</v>
      </c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 ht="15.75" customHeight="1">
      <c r="A37" s="8">
        <v>65519597</v>
      </c>
      <c r="B37" s="8" t="s">
        <v>8197</v>
      </c>
      <c r="C37" s="8" t="s">
        <v>8294</v>
      </c>
      <c r="D37" s="8" t="s">
        <v>47</v>
      </c>
      <c r="E37" s="9">
        <v>79633605903</v>
      </c>
      <c r="F37" s="8"/>
      <c r="G37" s="9"/>
      <c r="H37" s="8" t="s">
        <v>8164</v>
      </c>
      <c r="I37" s="8" t="s">
        <v>8295</v>
      </c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 ht="15.75" customHeight="1">
      <c r="A38" s="8">
        <v>65690079</v>
      </c>
      <c r="B38" s="8" t="s">
        <v>8206</v>
      </c>
      <c r="C38" s="8" t="s">
        <v>8296</v>
      </c>
      <c r="D38" s="8" t="s">
        <v>477</v>
      </c>
      <c r="E38" s="9" t="s">
        <v>478</v>
      </c>
      <c r="F38" s="8" t="s">
        <v>8297</v>
      </c>
      <c r="G38" s="9">
        <v>39</v>
      </c>
      <c r="H38" s="8" t="s">
        <v>8298</v>
      </c>
      <c r="I38" s="8" t="s">
        <v>8299</v>
      </c>
      <c r="J38" s="8" t="s">
        <v>8300</v>
      </c>
      <c r="K38" s="8"/>
      <c r="L38" s="8"/>
      <c r="M38" s="8"/>
      <c r="N38" s="8"/>
      <c r="O38" s="8"/>
      <c r="P38" s="8" t="s">
        <v>8171</v>
      </c>
      <c r="Q38" s="8"/>
      <c r="R38" s="8"/>
      <c r="S38" s="8"/>
    </row>
    <row r="39" spans="1:19" ht="15.75" customHeight="1">
      <c r="A39" s="8">
        <v>65884516</v>
      </c>
      <c r="B39" s="8" t="s">
        <v>8301</v>
      </c>
      <c r="C39" s="8" t="s">
        <v>8302</v>
      </c>
      <c r="D39" s="8" t="s">
        <v>603</v>
      </c>
      <c r="E39" s="9" t="s">
        <v>604</v>
      </c>
      <c r="F39" s="8"/>
      <c r="G39" s="9"/>
      <c r="H39" s="8" t="s">
        <v>8267</v>
      </c>
      <c r="I39" s="8" t="s">
        <v>8303</v>
      </c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ht="15.75" customHeight="1">
      <c r="A40" s="8">
        <v>66065045</v>
      </c>
      <c r="B40" s="8" t="s">
        <v>8304</v>
      </c>
      <c r="C40" s="8" t="s">
        <v>8305</v>
      </c>
      <c r="D40" s="8" t="s">
        <v>316</v>
      </c>
      <c r="E40" s="9" t="s">
        <v>317</v>
      </c>
      <c r="F40" s="8"/>
      <c r="G40" s="9"/>
      <c r="H40" s="8" t="s">
        <v>8164</v>
      </c>
      <c r="I40" s="8" t="s">
        <v>8208</v>
      </c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ht="15.75" customHeight="1">
      <c r="A41" s="8">
        <v>66311716</v>
      </c>
      <c r="B41" s="8" t="s">
        <v>8306</v>
      </c>
      <c r="C41" s="8" t="s">
        <v>8307</v>
      </c>
      <c r="D41" s="8" t="s">
        <v>371</v>
      </c>
      <c r="E41" s="9" t="s">
        <v>372</v>
      </c>
      <c r="F41" s="8" t="s">
        <v>8308</v>
      </c>
      <c r="G41" s="9">
        <v>50</v>
      </c>
      <c r="H41" s="8" t="s">
        <v>8309</v>
      </c>
      <c r="I41" s="8" t="s">
        <v>8310</v>
      </c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 ht="15.75" customHeight="1">
      <c r="A42" s="8">
        <v>66408959</v>
      </c>
      <c r="B42" s="8" t="s">
        <v>8311</v>
      </c>
      <c r="C42" s="8" t="s">
        <v>8312</v>
      </c>
      <c r="D42" s="8" t="s">
        <v>652</v>
      </c>
      <c r="E42" s="9">
        <v>79194425862</v>
      </c>
      <c r="F42" s="8" t="s">
        <v>8313</v>
      </c>
      <c r="G42" s="9">
        <v>63</v>
      </c>
      <c r="H42" s="8" t="s">
        <v>8314</v>
      </c>
      <c r="I42" s="8" t="s">
        <v>8315</v>
      </c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 ht="15.75" customHeight="1">
      <c r="A43" s="8">
        <v>66962859</v>
      </c>
      <c r="B43" s="8" t="s">
        <v>7131</v>
      </c>
      <c r="C43" s="8" t="s">
        <v>8316</v>
      </c>
      <c r="D43" s="8" t="s">
        <v>1159</v>
      </c>
      <c r="E43" s="9">
        <v>79210193385</v>
      </c>
      <c r="F43" s="8"/>
      <c r="G43" s="9"/>
      <c r="H43" s="8" t="s">
        <v>8164</v>
      </c>
      <c r="I43" s="8" t="s">
        <v>8317</v>
      </c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ht="15.75" customHeight="1">
      <c r="A44" s="8">
        <v>66969637</v>
      </c>
      <c r="B44" s="8" t="s">
        <v>8277</v>
      </c>
      <c r="C44" s="8" t="s">
        <v>8278</v>
      </c>
      <c r="D44" s="8" t="s">
        <v>8318</v>
      </c>
      <c r="E44" s="9">
        <v>89237402671</v>
      </c>
      <c r="F44" s="8"/>
      <c r="G44" s="9"/>
      <c r="H44" s="8" t="s">
        <v>8164</v>
      </c>
      <c r="I44" s="8" t="s">
        <v>8319</v>
      </c>
      <c r="J44" s="8" t="s">
        <v>8320</v>
      </c>
      <c r="K44" s="8"/>
      <c r="L44" s="8"/>
      <c r="M44" s="8"/>
      <c r="N44" s="8"/>
      <c r="O44" s="8"/>
      <c r="P44" s="8"/>
      <c r="Q44" s="8"/>
      <c r="R44" s="8"/>
      <c r="S44" s="8"/>
    </row>
    <row r="45" spans="1:19" ht="15.75" customHeight="1">
      <c r="A45" s="8">
        <v>67021998</v>
      </c>
      <c r="B45" s="8" t="s">
        <v>8321</v>
      </c>
      <c r="C45" s="8" t="s">
        <v>8322</v>
      </c>
      <c r="D45" s="8" t="s">
        <v>1014</v>
      </c>
      <c r="E45" s="9">
        <v>79533520267</v>
      </c>
      <c r="F45" s="8" t="s">
        <v>8323</v>
      </c>
      <c r="G45" s="9">
        <v>38</v>
      </c>
      <c r="H45" s="8" t="s">
        <v>8164</v>
      </c>
      <c r="I45" s="8" t="s">
        <v>8324</v>
      </c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 ht="15.75" customHeight="1">
      <c r="A46" s="8">
        <v>67179034</v>
      </c>
      <c r="B46" s="8" t="s">
        <v>8325</v>
      </c>
      <c r="C46" s="8" t="s">
        <v>8326</v>
      </c>
      <c r="D46" s="8" t="s">
        <v>741</v>
      </c>
      <c r="E46" s="9" t="s">
        <v>742</v>
      </c>
      <c r="F46" s="8" t="s">
        <v>8327</v>
      </c>
      <c r="G46" s="9">
        <v>22</v>
      </c>
      <c r="H46" s="8" t="s">
        <v>8164</v>
      </c>
      <c r="I46" s="8" t="s">
        <v>8165</v>
      </c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 ht="15.75" customHeight="1">
      <c r="A47" s="8">
        <v>67530982</v>
      </c>
      <c r="B47" s="8" t="s">
        <v>8192</v>
      </c>
      <c r="C47" s="8" t="s">
        <v>8328</v>
      </c>
      <c r="D47" s="8" t="s">
        <v>384</v>
      </c>
      <c r="E47" s="9">
        <v>79168585246</v>
      </c>
      <c r="F47" s="8" t="s">
        <v>8329</v>
      </c>
      <c r="G47" s="9">
        <v>48</v>
      </c>
      <c r="H47" s="8" t="s">
        <v>8164</v>
      </c>
      <c r="I47" s="8" t="s">
        <v>8165</v>
      </c>
      <c r="J47" s="8" t="s">
        <v>8330</v>
      </c>
      <c r="K47" s="8"/>
      <c r="L47" s="8" t="s">
        <v>8167</v>
      </c>
      <c r="M47" s="8" t="s">
        <v>8176</v>
      </c>
      <c r="N47" s="8" t="s">
        <v>8169</v>
      </c>
      <c r="O47" s="8" t="s">
        <v>8170</v>
      </c>
      <c r="P47" s="8" t="s">
        <v>8171</v>
      </c>
      <c r="Q47" s="8" t="s">
        <v>8161</v>
      </c>
      <c r="R47" s="8"/>
      <c r="S47" s="8"/>
    </row>
    <row r="48" spans="1:19" ht="15.75" customHeight="1">
      <c r="A48" s="8">
        <v>67983493</v>
      </c>
      <c r="B48" s="8" t="s">
        <v>7818</v>
      </c>
      <c r="C48" s="8" t="s">
        <v>8331</v>
      </c>
      <c r="D48" s="8" t="s">
        <v>752</v>
      </c>
      <c r="E48" s="9">
        <v>79245671411</v>
      </c>
      <c r="F48" s="8" t="s">
        <v>8332</v>
      </c>
      <c r="G48" s="9">
        <v>27</v>
      </c>
      <c r="H48" s="8" t="s">
        <v>8164</v>
      </c>
      <c r="I48" s="8" t="s">
        <v>8333</v>
      </c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1:19" ht="15.75" customHeight="1">
      <c r="A49" s="8">
        <v>68098777</v>
      </c>
      <c r="B49" s="8" t="s">
        <v>8334</v>
      </c>
      <c r="C49" s="8" t="s">
        <v>8335</v>
      </c>
      <c r="D49" s="8" t="s">
        <v>245</v>
      </c>
      <c r="E49" s="9">
        <v>491708879669</v>
      </c>
      <c r="F49" s="8" t="s">
        <v>8336</v>
      </c>
      <c r="G49" s="9">
        <v>48</v>
      </c>
      <c r="H49" s="8" t="s">
        <v>8183</v>
      </c>
      <c r="I49" s="8" t="s">
        <v>8337</v>
      </c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1:19" ht="15.75" customHeight="1">
      <c r="A50" s="8">
        <v>68315632</v>
      </c>
      <c r="B50" s="8" t="s">
        <v>8338</v>
      </c>
      <c r="C50" s="8" t="s">
        <v>8339</v>
      </c>
      <c r="D50" s="8" t="s">
        <v>1025</v>
      </c>
      <c r="E50" s="9">
        <v>79063938670</v>
      </c>
      <c r="F50" s="8"/>
      <c r="G50" s="9"/>
      <c r="H50" s="8" t="s">
        <v>8164</v>
      </c>
      <c r="I50" s="8" t="s">
        <v>8340</v>
      </c>
      <c r="J50" s="8"/>
      <c r="K50" s="8"/>
      <c r="L50" s="8"/>
      <c r="M50" s="8"/>
      <c r="N50" s="8"/>
      <c r="O50" s="8"/>
      <c r="P50" s="8"/>
      <c r="Q50" s="8"/>
      <c r="R50" s="8"/>
      <c r="S50" s="8"/>
    </row>
    <row r="51" spans="1:19" ht="15.75" customHeight="1">
      <c r="A51" s="8">
        <v>68347086</v>
      </c>
      <c r="B51" s="8" t="s">
        <v>8341</v>
      </c>
      <c r="C51" s="8" t="s">
        <v>8342</v>
      </c>
      <c r="D51" s="8" t="s">
        <v>919</v>
      </c>
      <c r="E51" s="9">
        <v>919960310183</v>
      </c>
      <c r="F51" s="8"/>
      <c r="G51" s="9"/>
      <c r="H51" s="8" t="s">
        <v>8343</v>
      </c>
      <c r="I51" s="8"/>
      <c r="J51" s="8" t="s">
        <v>8344</v>
      </c>
      <c r="K51" s="8"/>
      <c r="L51" s="8" t="s">
        <v>8167</v>
      </c>
      <c r="M51" s="8" t="s">
        <v>8176</v>
      </c>
      <c r="N51" s="8"/>
      <c r="O51" s="8"/>
      <c r="P51" s="8"/>
      <c r="Q51" s="8" t="s">
        <v>8161</v>
      </c>
      <c r="R51" s="8"/>
      <c r="S51" s="8"/>
    </row>
    <row r="52" spans="1:19" ht="15.75" customHeight="1">
      <c r="A52" s="8">
        <v>68765806</v>
      </c>
      <c r="B52" s="8" t="s">
        <v>8283</v>
      </c>
      <c r="C52" s="8" t="s">
        <v>8345</v>
      </c>
      <c r="D52" s="8" t="s">
        <v>1059</v>
      </c>
      <c r="E52" s="9">
        <v>79067212233</v>
      </c>
      <c r="F52" s="8"/>
      <c r="G52" s="9"/>
      <c r="H52" s="8" t="s">
        <v>8164</v>
      </c>
      <c r="I52" s="8" t="s">
        <v>8165</v>
      </c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 ht="15.75" customHeight="1">
      <c r="A53" s="8">
        <v>68946439</v>
      </c>
      <c r="B53" s="8" t="s">
        <v>8346</v>
      </c>
      <c r="C53" s="8" t="s">
        <v>8347</v>
      </c>
      <c r="D53" s="8" t="s">
        <v>1230</v>
      </c>
      <c r="E53" s="9" t="s">
        <v>1231</v>
      </c>
      <c r="F53" s="8" t="s">
        <v>8348</v>
      </c>
      <c r="G53" s="9">
        <v>52</v>
      </c>
      <c r="H53" s="8" t="s">
        <v>8349</v>
      </c>
      <c r="I53" s="8" t="s">
        <v>8350</v>
      </c>
      <c r="J53" s="8" t="s">
        <v>8351</v>
      </c>
      <c r="K53" s="8"/>
      <c r="L53" s="8"/>
      <c r="M53" s="8"/>
      <c r="N53" s="8"/>
      <c r="O53" s="8"/>
      <c r="P53" s="8"/>
      <c r="Q53" s="8"/>
      <c r="R53" s="8"/>
      <c r="S53" s="8"/>
    </row>
    <row r="54" spans="1:19" ht="15.75" customHeight="1">
      <c r="A54" s="8">
        <v>69195810</v>
      </c>
      <c r="B54" s="8" t="s">
        <v>8352</v>
      </c>
      <c r="C54" s="8" t="s">
        <v>8353</v>
      </c>
      <c r="D54" s="8" t="s">
        <v>8354</v>
      </c>
      <c r="E54" s="9">
        <v>79281330789</v>
      </c>
      <c r="F54" s="8" t="s">
        <v>8355</v>
      </c>
      <c r="G54" s="9">
        <v>49</v>
      </c>
      <c r="H54" s="8" t="s">
        <v>8356</v>
      </c>
      <c r="I54" s="8" t="s">
        <v>8174</v>
      </c>
      <c r="J54" s="8" t="s">
        <v>8357</v>
      </c>
      <c r="K54" s="8"/>
      <c r="L54" s="8"/>
      <c r="M54" s="8"/>
      <c r="N54" s="8"/>
      <c r="O54" s="8"/>
      <c r="P54" s="8"/>
      <c r="Q54" s="8"/>
      <c r="R54" s="8"/>
      <c r="S54" s="8"/>
    </row>
    <row r="55" spans="1:19" ht="15.75" customHeight="1">
      <c r="A55" s="8">
        <v>69226375</v>
      </c>
      <c r="B55" s="8" t="s">
        <v>8216</v>
      </c>
      <c r="C55" s="8" t="s">
        <v>8358</v>
      </c>
      <c r="D55" s="8" t="s">
        <v>15</v>
      </c>
      <c r="E55" s="9">
        <v>79774294072</v>
      </c>
      <c r="F55" s="8"/>
      <c r="G55" s="9"/>
      <c r="H55" s="8" t="s">
        <v>8164</v>
      </c>
      <c r="I55" s="8" t="s">
        <v>8293</v>
      </c>
      <c r="J55" s="8" t="s">
        <v>8359</v>
      </c>
      <c r="K55" s="8"/>
      <c r="L55" s="8"/>
      <c r="M55" s="8"/>
      <c r="N55" s="8"/>
      <c r="O55" s="8"/>
      <c r="P55" s="8"/>
      <c r="Q55" s="8"/>
      <c r="R55" s="8"/>
      <c r="S55" s="8"/>
    </row>
    <row r="56" spans="1:19" ht="15.75" customHeight="1">
      <c r="A56" s="8">
        <v>69469106</v>
      </c>
      <c r="B56" s="8" t="s">
        <v>8360</v>
      </c>
      <c r="C56" s="8" t="s">
        <v>8361</v>
      </c>
      <c r="D56" s="8" t="s">
        <v>121</v>
      </c>
      <c r="E56" s="9" t="s">
        <v>122</v>
      </c>
      <c r="F56" s="8"/>
      <c r="G56" s="9"/>
      <c r="H56" s="8" t="s">
        <v>8362</v>
      </c>
      <c r="I56" s="8" t="s">
        <v>8363</v>
      </c>
      <c r="J56" s="8" t="s">
        <v>8364</v>
      </c>
      <c r="K56" s="8"/>
      <c r="L56" s="8" t="s">
        <v>8167</v>
      </c>
      <c r="M56" s="8" t="s">
        <v>8176</v>
      </c>
      <c r="N56" s="8"/>
      <c r="O56" s="8" t="s">
        <v>8170</v>
      </c>
      <c r="P56" s="8" t="s">
        <v>8171</v>
      </c>
      <c r="Q56" s="8" t="s">
        <v>8161</v>
      </c>
      <c r="R56" s="8"/>
      <c r="S56" s="8"/>
    </row>
    <row r="57" spans="1:19" ht="15.75" customHeight="1">
      <c r="A57" s="8">
        <v>70664473</v>
      </c>
      <c r="B57" s="8" t="s">
        <v>8365</v>
      </c>
      <c r="C57" s="8" t="s">
        <v>8366</v>
      </c>
      <c r="D57" s="8" t="s">
        <v>8367</v>
      </c>
      <c r="E57" s="9">
        <v>79276671613</v>
      </c>
      <c r="F57" s="8"/>
      <c r="G57" s="9"/>
      <c r="H57" s="8" t="s">
        <v>8164</v>
      </c>
      <c r="I57" s="8"/>
      <c r="J57" s="8" t="s">
        <v>8368</v>
      </c>
      <c r="K57" s="8"/>
      <c r="L57" s="8"/>
      <c r="M57" s="8"/>
      <c r="N57" s="8"/>
      <c r="O57" s="8"/>
      <c r="P57" s="8"/>
      <c r="Q57" s="8"/>
      <c r="R57" s="8"/>
      <c r="S57" s="8"/>
    </row>
    <row r="58" spans="1:19" ht="15.75" customHeight="1">
      <c r="A58" s="8">
        <v>70888255</v>
      </c>
      <c r="B58" s="8" t="s">
        <v>8369</v>
      </c>
      <c r="C58" s="8" t="s">
        <v>8370</v>
      </c>
      <c r="D58" s="8" t="s">
        <v>8371</v>
      </c>
      <c r="E58" s="9" t="s">
        <v>8372</v>
      </c>
      <c r="F58" s="8"/>
      <c r="G58" s="9"/>
      <c r="H58" s="8" t="s">
        <v>8314</v>
      </c>
      <c r="I58" s="8" t="s">
        <v>8191</v>
      </c>
      <c r="J58" s="8"/>
      <c r="K58" s="8"/>
      <c r="L58" s="8"/>
      <c r="M58" s="8"/>
      <c r="N58" s="8"/>
      <c r="O58" s="8"/>
      <c r="P58" s="8"/>
      <c r="Q58" s="8"/>
      <c r="R58" s="8"/>
      <c r="S58" s="8"/>
    </row>
    <row r="59" spans="1:19" ht="15.75" customHeight="1">
      <c r="A59" s="8">
        <v>71095394</v>
      </c>
      <c r="B59" s="8" t="s">
        <v>8373</v>
      </c>
      <c r="C59" s="8" t="s">
        <v>8374</v>
      </c>
      <c r="D59" s="8" t="s">
        <v>8375</v>
      </c>
      <c r="E59" s="9">
        <v>79951805604</v>
      </c>
      <c r="F59" s="8"/>
      <c r="G59" s="9"/>
      <c r="H59" s="8" t="s">
        <v>8164</v>
      </c>
      <c r="I59" s="8" t="s">
        <v>8214</v>
      </c>
      <c r="J59" s="8" t="s">
        <v>8376</v>
      </c>
      <c r="K59" s="8"/>
      <c r="L59" s="8"/>
      <c r="M59" s="8"/>
      <c r="N59" s="8"/>
      <c r="O59" s="8"/>
      <c r="P59" s="8"/>
      <c r="Q59" s="8"/>
      <c r="R59" s="8"/>
      <c r="S59" s="8"/>
    </row>
    <row r="60" spans="1:19" ht="15.75" customHeight="1">
      <c r="A60" s="8">
        <v>71829510</v>
      </c>
      <c r="B60" s="8" t="s">
        <v>8186</v>
      </c>
      <c r="C60" s="8" t="s">
        <v>8377</v>
      </c>
      <c r="D60" s="8" t="s">
        <v>638</v>
      </c>
      <c r="E60" s="9">
        <v>79184493967</v>
      </c>
      <c r="F60" s="8" t="s">
        <v>8378</v>
      </c>
      <c r="G60" s="9">
        <v>71</v>
      </c>
      <c r="H60" s="8" t="s">
        <v>8164</v>
      </c>
      <c r="I60" s="8" t="s">
        <v>8379</v>
      </c>
      <c r="J60" s="8"/>
      <c r="K60" s="8"/>
      <c r="L60" s="8"/>
      <c r="M60" s="8"/>
      <c r="N60" s="8"/>
      <c r="O60" s="8"/>
      <c r="P60" s="8"/>
      <c r="Q60" s="8"/>
      <c r="R60" s="8"/>
      <c r="S60" s="8"/>
    </row>
    <row r="61" spans="1:19" ht="15.75" customHeight="1">
      <c r="A61" s="8">
        <v>71934265</v>
      </c>
      <c r="B61" s="8" t="s">
        <v>8380</v>
      </c>
      <c r="C61" s="8" t="s">
        <v>8381</v>
      </c>
      <c r="D61" s="8" t="s">
        <v>655</v>
      </c>
      <c r="E61" s="9" t="s">
        <v>656</v>
      </c>
      <c r="F61" s="8" t="s">
        <v>8382</v>
      </c>
      <c r="G61" s="9">
        <v>74</v>
      </c>
      <c r="H61" s="8" t="s">
        <v>8164</v>
      </c>
      <c r="I61" s="8" t="s">
        <v>8276</v>
      </c>
      <c r="J61" s="8"/>
      <c r="K61" s="8"/>
      <c r="L61" s="8"/>
      <c r="M61" s="8"/>
      <c r="N61" s="8"/>
      <c r="O61" s="8"/>
      <c r="P61" s="8"/>
      <c r="Q61" s="8"/>
      <c r="R61" s="8"/>
      <c r="S61" s="8"/>
    </row>
    <row r="62" spans="1:19" ht="15.75" customHeight="1">
      <c r="A62" s="8">
        <v>72065065</v>
      </c>
      <c r="B62" s="8" t="s">
        <v>8383</v>
      </c>
      <c r="C62" s="8" t="s">
        <v>8384</v>
      </c>
      <c r="D62" s="8" t="s">
        <v>1218</v>
      </c>
      <c r="E62" s="9">
        <v>37061864017</v>
      </c>
      <c r="F62" s="8" t="s">
        <v>8385</v>
      </c>
      <c r="G62" s="9"/>
      <c r="H62" s="8" t="s">
        <v>8386</v>
      </c>
      <c r="I62" s="8" t="s">
        <v>8387</v>
      </c>
      <c r="J62" s="8"/>
      <c r="K62" s="8"/>
      <c r="L62" s="8"/>
      <c r="M62" s="8"/>
      <c r="N62" s="8"/>
      <c r="O62" s="8"/>
      <c r="P62" s="8"/>
      <c r="Q62" s="8"/>
      <c r="R62" s="8"/>
      <c r="S62" s="8"/>
    </row>
    <row r="63" spans="1:19" ht="15.75" customHeight="1">
      <c r="A63" s="8">
        <v>72157345</v>
      </c>
      <c r="B63" s="8" t="s">
        <v>7768</v>
      </c>
      <c r="C63" s="8" t="s">
        <v>8388</v>
      </c>
      <c r="D63" s="8" t="s">
        <v>85</v>
      </c>
      <c r="E63" s="9" t="s">
        <v>86</v>
      </c>
      <c r="F63" s="8"/>
      <c r="G63" s="9"/>
      <c r="H63" s="8" t="s">
        <v>8222</v>
      </c>
      <c r="I63" s="8" t="s">
        <v>8389</v>
      </c>
      <c r="J63" s="8"/>
      <c r="K63" s="8"/>
      <c r="L63" s="8"/>
      <c r="M63" s="8"/>
      <c r="N63" s="8"/>
      <c r="O63" s="8"/>
      <c r="P63" s="8"/>
      <c r="Q63" s="8"/>
      <c r="R63" s="8"/>
      <c r="S63" s="8"/>
    </row>
    <row r="64" spans="1:19" ht="15.75" customHeight="1">
      <c r="A64" s="8">
        <v>72496872</v>
      </c>
      <c r="B64" s="8" t="s">
        <v>8390</v>
      </c>
      <c r="C64" s="8" t="s">
        <v>8391</v>
      </c>
      <c r="D64" s="8" t="s">
        <v>44</v>
      </c>
      <c r="E64" s="9">
        <v>79156392705</v>
      </c>
      <c r="F64" s="8"/>
      <c r="G64" s="9"/>
      <c r="H64" s="8" t="s">
        <v>8164</v>
      </c>
      <c r="I64" s="8" t="s">
        <v>8392</v>
      </c>
      <c r="J64" s="8"/>
      <c r="K64" s="8"/>
      <c r="L64" s="8"/>
      <c r="M64" s="8"/>
      <c r="N64" s="8"/>
      <c r="O64" s="8"/>
      <c r="P64" s="8"/>
      <c r="Q64" s="8"/>
      <c r="R64" s="8"/>
      <c r="S64" s="8"/>
    </row>
    <row r="65" spans="1:19" ht="15.75" customHeight="1">
      <c r="A65" s="8">
        <v>72504477</v>
      </c>
      <c r="B65" s="8" t="s">
        <v>8393</v>
      </c>
      <c r="C65" s="8" t="s">
        <v>8394</v>
      </c>
      <c r="D65" s="8" t="s">
        <v>304</v>
      </c>
      <c r="E65" s="9" t="s">
        <v>305</v>
      </c>
      <c r="F65" s="8" t="s">
        <v>8395</v>
      </c>
      <c r="G65" s="9">
        <v>38</v>
      </c>
      <c r="H65" s="8" t="s">
        <v>8267</v>
      </c>
      <c r="I65" s="8" t="s">
        <v>8396</v>
      </c>
      <c r="J65" s="8" t="s">
        <v>8397</v>
      </c>
      <c r="K65" s="8"/>
      <c r="L65" s="8" t="s">
        <v>8167</v>
      </c>
      <c r="M65" s="8" t="s">
        <v>8176</v>
      </c>
      <c r="N65" s="8" t="s">
        <v>8169</v>
      </c>
      <c r="O65" s="8" t="s">
        <v>8170</v>
      </c>
      <c r="P65" s="8" t="s">
        <v>8171</v>
      </c>
      <c r="Q65" s="8"/>
      <c r="R65" s="8"/>
      <c r="S65" s="8"/>
    </row>
    <row r="66" spans="1:19" ht="15.75" customHeight="1">
      <c r="A66" s="8">
        <v>72601926</v>
      </c>
      <c r="B66" s="8" t="s">
        <v>8398</v>
      </c>
      <c r="C66" s="8" t="s">
        <v>8399</v>
      </c>
      <c r="D66" s="8" t="s">
        <v>1017</v>
      </c>
      <c r="E66" s="9" t="s">
        <v>1018</v>
      </c>
      <c r="F66" s="8"/>
      <c r="G66" s="9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 spans="1:19" ht="15.75" customHeight="1">
      <c r="A67" s="8">
        <v>72655675</v>
      </c>
      <c r="B67" s="8" t="s">
        <v>8197</v>
      </c>
      <c r="C67" s="8" t="s">
        <v>8400</v>
      </c>
      <c r="D67" s="8" t="s">
        <v>1152</v>
      </c>
      <c r="E67" s="9" t="s">
        <v>1153</v>
      </c>
      <c r="F67" s="8" t="s">
        <v>8401</v>
      </c>
      <c r="G67" s="9">
        <v>37</v>
      </c>
      <c r="H67" s="8" t="s">
        <v>8164</v>
      </c>
      <c r="I67" s="8" t="s">
        <v>8402</v>
      </c>
      <c r="J67" s="8"/>
      <c r="K67" s="8"/>
      <c r="L67" s="8"/>
      <c r="M67" s="8"/>
      <c r="N67" s="8"/>
      <c r="O67" s="8"/>
      <c r="P67" s="8"/>
      <c r="Q67" s="8"/>
      <c r="R67" s="8"/>
      <c r="S67" s="8"/>
    </row>
    <row r="68" spans="1:19" ht="15.75" customHeight="1">
      <c r="A68" s="8">
        <v>72875564</v>
      </c>
      <c r="B68" s="8" t="s">
        <v>8186</v>
      </c>
      <c r="C68" s="8" t="s">
        <v>8403</v>
      </c>
      <c r="D68" s="8" t="s">
        <v>488</v>
      </c>
      <c r="E68" s="9" t="s">
        <v>489</v>
      </c>
      <c r="F68" s="8" t="s">
        <v>8404</v>
      </c>
      <c r="G68" s="9">
        <v>47</v>
      </c>
      <c r="H68" s="8" t="s">
        <v>8222</v>
      </c>
      <c r="I68" s="8" t="s">
        <v>8405</v>
      </c>
      <c r="J68" s="8" t="s">
        <v>8406</v>
      </c>
      <c r="K68" s="8"/>
      <c r="L68" s="8"/>
      <c r="M68" s="8"/>
      <c r="N68" s="8"/>
      <c r="O68" s="8"/>
      <c r="P68" s="8"/>
      <c r="Q68" s="8"/>
      <c r="R68" s="8"/>
      <c r="S68" s="8"/>
    </row>
    <row r="69" spans="1:19" ht="15.75" customHeight="1">
      <c r="A69" s="8">
        <v>73572235</v>
      </c>
      <c r="B69" s="8" t="s">
        <v>8407</v>
      </c>
      <c r="C69" s="8" t="s">
        <v>8408</v>
      </c>
      <c r="D69" s="8" t="s">
        <v>1075</v>
      </c>
      <c r="E69" s="9" t="s">
        <v>1076</v>
      </c>
      <c r="F69" s="8"/>
      <c r="G69" s="9"/>
      <c r="H69" s="8" t="s">
        <v>8164</v>
      </c>
      <c r="I69" s="8"/>
      <c r="J69" s="8" t="s">
        <v>8409</v>
      </c>
      <c r="K69" s="8"/>
      <c r="L69" s="8"/>
      <c r="M69" s="8"/>
      <c r="N69" s="8"/>
      <c r="O69" s="8"/>
      <c r="P69" s="8"/>
      <c r="Q69" s="8"/>
      <c r="R69" s="8"/>
      <c r="S69" s="8"/>
    </row>
    <row r="70" spans="1:19" ht="15.75" customHeight="1">
      <c r="A70" s="8">
        <v>73683798</v>
      </c>
      <c r="B70" s="8" t="s">
        <v>8410</v>
      </c>
      <c r="C70" s="8" t="s">
        <v>8411</v>
      </c>
      <c r="D70" s="8" t="s">
        <v>118</v>
      </c>
      <c r="E70" s="9">
        <v>375297604563</v>
      </c>
      <c r="F70" s="8"/>
      <c r="G70" s="9"/>
      <c r="H70" s="8" t="s">
        <v>8222</v>
      </c>
      <c r="I70" s="8" t="s">
        <v>8412</v>
      </c>
      <c r="J70" s="8"/>
      <c r="K70" s="8"/>
      <c r="L70" s="8"/>
      <c r="M70" s="8"/>
      <c r="N70" s="8"/>
      <c r="O70" s="8"/>
      <c r="P70" s="8"/>
      <c r="Q70" s="8"/>
      <c r="R70" s="8"/>
      <c r="S70" s="8"/>
    </row>
    <row r="71" spans="1:19" ht="15.75" customHeight="1">
      <c r="A71" s="8">
        <v>73815586</v>
      </c>
      <c r="B71" s="8" t="s">
        <v>7399</v>
      </c>
      <c r="C71" s="8" t="s">
        <v>8413</v>
      </c>
      <c r="D71" s="8" t="s">
        <v>508</v>
      </c>
      <c r="E71" s="9">
        <v>79086311436</v>
      </c>
      <c r="F71" s="8"/>
      <c r="G71" s="9"/>
      <c r="H71" s="8" t="s">
        <v>8164</v>
      </c>
      <c r="I71" s="8" t="s">
        <v>8414</v>
      </c>
      <c r="J71" s="8"/>
      <c r="K71" s="8"/>
      <c r="L71" s="8"/>
      <c r="M71" s="8"/>
      <c r="N71" s="8"/>
      <c r="O71" s="8"/>
      <c r="P71" s="8"/>
      <c r="Q71" s="8"/>
      <c r="R71" s="8"/>
      <c r="S71" s="8"/>
    </row>
    <row r="72" spans="1:19" ht="15.75" customHeight="1">
      <c r="A72" s="8">
        <v>74836812</v>
      </c>
      <c r="B72" s="8" t="s">
        <v>8234</v>
      </c>
      <c r="C72" s="8" t="s">
        <v>8415</v>
      </c>
      <c r="D72" s="8" t="s">
        <v>1145</v>
      </c>
      <c r="E72" s="9">
        <v>79166755599</v>
      </c>
      <c r="F72" s="8" t="s">
        <v>8416</v>
      </c>
      <c r="G72" s="9">
        <v>35</v>
      </c>
      <c r="H72" s="8" t="s">
        <v>8164</v>
      </c>
      <c r="I72" s="8" t="s">
        <v>8165</v>
      </c>
      <c r="J72" s="8"/>
      <c r="K72" s="8"/>
      <c r="L72" s="8"/>
      <c r="M72" s="8"/>
      <c r="N72" s="8"/>
      <c r="O72" s="8"/>
      <c r="P72" s="8"/>
      <c r="Q72" s="8"/>
      <c r="R72" s="8"/>
      <c r="S72" s="8"/>
    </row>
    <row r="73" spans="1:19" ht="15.75" customHeight="1">
      <c r="A73" s="8">
        <v>75450207</v>
      </c>
      <c r="B73" s="8" t="s">
        <v>7768</v>
      </c>
      <c r="C73" s="8" t="s">
        <v>8417</v>
      </c>
      <c r="D73" s="8" t="s">
        <v>958</v>
      </c>
      <c r="E73" s="9">
        <v>79167792575</v>
      </c>
      <c r="F73" s="8"/>
      <c r="G73" s="9"/>
      <c r="H73" s="8" t="s">
        <v>8164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spans="1:19" ht="15.75" customHeight="1">
      <c r="A74" s="8">
        <v>75696923</v>
      </c>
      <c r="B74" s="8" t="s">
        <v>8206</v>
      </c>
      <c r="C74" s="8" t="s">
        <v>8418</v>
      </c>
      <c r="D74" s="8" t="s">
        <v>1295</v>
      </c>
      <c r="E74" s="9">
        <v>79272169867</v>
      </c>
      <c r="F74" s="8" t="s">
        <v>8419</v>
      </c>
      <c r="G74" s="9">
        <v>35</v>
      </c>
      <c r="H74" s="8" t="s">
        <v>8164</v>
      </c>
      <c r="I74" s="8" t="s">
        <v>8420</v>
      </c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1:19" ht="15.75" customHeight="1">
      <c r="A75" s="8">
        <v>76610416</v>
      </c>
      <c r="B75" s="8" t="s">
        <v>7919</v>
      </c>
      <c r="C75" s="8" t="s">
        <v>8421</v>
      </c>
      <c r="D75" s="8" t="s">
        <v>231</v>
      </c>
      <c r="E75" s="9" t="s">
        <v>232</v>
      </c>
      <c r="F75" s="8" t="s">
        <v>8422</v>
      </c>
      <c r="G75" s="9">
        <v>73</v>
      </c>
      <c r="H75" s="8" t="s">
        <v>8164</v>
      </c>
      <c r="I75" s="8" t="s">
        <v>8423</v>
      </c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1:19" ht="15.75" customHeight="1">
      <c r="A76" s="8">
        <v>77054334</v>
      </c>
      <c r="B76" s="8" t="s">
        <v>8424</v>
      </c>
      <c r="C76" s="8" t="s">
        <v>8425</v>
      </c>
      <c r="D76" s="8" t="s">
        <v>1253</v>
      </c>
      <c r="E76" s="9">
        <v>77769844144</v>
      </c>
      <c r="F76" s="8"/>
      <c r="G76" s="9"/>
      <c r="H76" s="8" t="s">
        <v>8241</v>
      </c>
      <c r="I76" s="8" t="s">
        <v>8426</v>
      </c>
      <c r="J76" s="8"/>
      <c r="K76" s="8"/>
      <c r="L76" s="8"/>
      <c r="M76" s="8"/>
      <c r="N76" s="8"/>
      <c r="O76" s="8"/>
      <c r="P76" s="8"/>
      <c r="Q76" s="8"/>
      <c r="R76" s="8"/>
      <c r="S76" s="8"/>
    </row>
    <row r="77" spans="1:19" ht="15.75" customHeight="1">
      <c r="A77" s="8">
        <v>78223056</v>
      </c>
      <c r="B77" s="8" t="s">
        <v>8427</v>
      </c>
      <c r="C77" s="8" t="s">
        <v>8428</v>
      </c>
      <c r="D77" s="8" t="s">
        <v>183</v>
      </c>
      <c r="E77" s="9">
        <v>79161528379</v>
      </c>
      <c r="F77" s="8" t="s">
        <v>8429</v>
      </c>
      <c r="G77" s="9">
        <v>56</v>
      </c>
      <c r="H77" s="8" t="s">
        <v>8164</v>
      </c>
      <c r="I77" s="8" t="s">
        <v>8165</v>
      </c>
      <c r="J77" s="8" t="s">
        <v>8430</v>
      </c>
      <c r="K77" s="8"/>
      <c r="L77" s="8" t="s">
        <v>8167</v>
      </c>
      <c r="M77" s="8" t="s">
        <v>8176</v>
      </c>
      <c r="N77" s="8"/>
      <c r="O77" s="8"/>
      <c r="P77" s="8" t="s">
        <v>8171</v>
      </c>
      <c r="Q77" s="8" t="s">
        <v>8161</v>
      </c>
      <c r="R77" s="8"/>
      <c r="S77" s="8"/>
    </row>
    <row r="78" spans="1:19" ht="15.75" customHeight="1">
      <c r="A78" s="8">
        <v>78276817</v>
      </c>
      <c r="B78" s="8" t="s">
        <v>8431</v>
      </c>
      <c r="C78" s="8" t="s">
        <v>8432</v>
      </c>
      <c r="D78" s="8" t="s">
        <v>295</v>
      </c>
      <c r="E78" s="9">
        <v>79112151024</v>
      </c>
      <c r="F78" s="8"/>
      <c r="G78" s="9"/>
      <c r="H78" s="8" t="s">
        <v>8164</v>
      </c>
      <c r="I78" s="8" t="s">
        <v>8208</v>
      </c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1:19" ht="15.75" customHeight="1">
      <c r="A79" s="8">
        <v>78497877</v>
      </c>
      <c r="B79" s="8" t="s">
        <v>8373</v>
      </c>
      <c r="C79" s="8" t="s">
        <v>8433</v>
      </c>
      <c r="D79" s="8" t="s">
        <v>852</v>
      </c>
      <c r="E79" s="9">
        <v>79265822993</v>
      </c>
      <c r="F79" s="8"/>
      <c r="G79" s="9"/>
      <c r="H79" s="8" t="s">
        <v>8164</v>
      </c>
      <c r="I79" s="8" t="s">
        <v>8165</v>
      </c>
      <c r="J79" s="8"/>
      <c r="K79" s="8"/>
      <c r="L79" s="8"/>
      <c r="M79" s="8"/>
      <c r="N79" s="8"/>
      <c r="O79" s="8"/>
      <c r="P79" s="8"/>
      <c r="Q79" s="8"/>
      <c r="R79" s="8"/>
      <c r="S79" s="8"/>
    </row>
    <row r="80" spans="1:19" ht="15.75" customHeight="1">
      <c r="A80" s="8">
        <v>78514521</v>
      </c>
      <c r="B80" s="8" t="s">
        <v>8434</v>
      </c>
      <c r="C80" s="8" t="s">
        <v>8435</v>
      </c>
      <c r="D80" s="8" t="s">
        <v>1135</v>
      </c>
      <c r="E80" s="9">
        <v>79138390912</v>
      </c>
      <c r="F80" s="8" t="s">
        <v>8436</v>
      </c>
      <c r="G80" s="9">
        <v>59</v>
      </c>
      <c r="H80" s="8" t="s">
        <v>8164</v>
      </c>
      <c r="I80" s="8" t="s">
        <v>8437</v>
      </c>
      <c r="J80" s="8"/>
      <c r="K80" s="8"/>
      <c r="L80" s="8"/>
      <c r="M80" s="8"/>
      <c r="N80" s="8"/>
      <c r="O80" s="8"/>
      <c r="P80" s="8"/>
      <c r="Q80" s="8"/>
      <c r="R80" s="8"/>
      <c r="S80" s="8"/>
    </row>
    <row r="81" spans="1:19" ht="15.75" customHeight="1">
      <c r="A81" s="8">
        <v>78533828</v>
      </c>
      <c r="B81" s="8" t="s">
        <v>8438</v>
      </c>
      <c r="C81" s="8" t="s">
        <v>8439</v>
      </c>
      <c r="D81" s="8" t="s">
        <v>1031</v>
      </c>
      <c r="E81" s="9">
        <v>79821084700</v>
      </c>
      <c r="F81" s="8" t="s">
        <v>8440</v>
      </c>
      <c r="G81" s="9">
        <v>50</v>
      </c>
      <c r="H81" s="8" t="s">
        <v>8164</v>
      </c>
      <c r="I81" s="8" t="s">
        <v>8441</v>
      </c>
      <c r="J81" s="8"/>
      <c r="K81" s="8"/>
      <c r="L81" s="8"/>
      <c r="M81" s="8"/>
      <c r="N81" s="8"/>
      <c r="O81" s="8"/>
      <c r="P81" s="8"/>
      <c r="Q81" s="8"/>
      <c r="R81" s="8"/>
      <c r="S81" s="8"/>
    </row>
    <row r="82" spans="1:19" ht="15.75" customHeight="1">
      <c r="A82" s="8">
        <v>79129052</v>
      </c>
      <c r="B82" s="8" t="s">
        <v>3971</v>
      </c>
      <c r="C82" s="8" t="s">
        <v>8442</v>
      </c>
      <c r="D82" s="8" t="s">
        <v>573</v>
      </c>
      <c r="E82" s="9">
        <v>380665708958</v>
      </c>
      <c r="F82" s="8"/>
      <c r="G82" s="9"/>
      <c r="H82" s="8" t="s">
        <v>8267</v>
      </c>
      <c r="I82" s="8" t="s">
        <v>8443</v>
      </c>
      <c r="J82" s="8"/>
      <c r="K82" s="8"/>
      <c r="L82" s="8"/>
      <c r="M82" s="8"/>
      <c r="N82" s="8"/>
      <c r="O82" s="8"/>
      <c r="P82" s="8"/>
      <c r="Q82" s="8"/>
      <c r="R82" s="8"/>
      <c r="S82" s="8"/>
    </row>
    <row r="83" spans="1:19" ht="15.75" customHeight="1">
      <c r="A83" s="8">
        <v>79139679</v>
      </c>
      <c r="B83" s="8" t="s">
        <v>8444</v>
      </c>
      <c r="C83" s="8" t="s">
        <v>8445</v>
      </c>
      <c r="D83" s="8" t="s">
        <v>170</v>
      </c>
      <c r="E83" s="9">
        <v>77775256550</v>
      </c>
      <c r="F83" s="8"/>
      <c r="G83" s="9"/>
      <c r="H83" s="8" t="s">
        <v>8241</v>
      </c>
      <c r="I83" s="8" t="s">
        <v>8281</v>
      </c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1:19" ht="15.75" customHeight="1">
      <c r="A84" s="8">
        <v>80033101</v>
      </c>
      <c r="B84" s="8" t="s">
        <v>7768</v>
      </c>
      <c r="C84" s="8" t="s">
        <v>8446</v>
      </c>
      <c r="D84" s="8" t="s">
        <v>1107</v>
      </c>
      <c r="E84" s="9">
        <v>79052478802</v>
      </c>
      <c r="F84" s="8"/>
      <c r="G84" s="9"/>
      <c r="H84" s="8" t="s">
        <v>8164</v>
      </c>
      <c r="I84" s="8" t="s">
        <v>8447</v>
      </c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:19" ht="15.75" customHeight="1">
      <c r="A85" s="8">
        <v>80482136</v>
      </c>
      <c r="B85" s="8" t="s">
        <v>8448</v>
      </c>
      <c r="C85" s="8" t="s">
        <v>8449</v>
      </c>
      <c r="D85" s="8" t="s">
        <v>52</v>
      </c>
      <c r="E85" s="9" t="s">
        <v>53</v>
      </c>
      <c r="F85" s="8" t="s">
        <v>8450</v>
      </c>
      <c r="G85" s="9">
        <v>43</v>
      </c>
      <c r="H85" s="8" t="s">
        <v>8222</v>
      </c>
      <c r="I85" s="8" t="s">
        <v>8412</v>
      </c>
      <c r="J85" s="8" t="s">
        <v>8451</v>
      </c>
      <c r="K85" s="8"/>
      <c r="L85" s="8"/>
      <c r="M85" s="8"/>
      <c r="N85" s="8"/>
      <c r="O85" s="8"/>
      <c r="P85" s="8"/>
      <c r="Q85" s="8" t="s">
        <v>8161</v>
      </c>
      <c r="R85" s="8"/>
      <c r="S85" s="8"/>
    </row>
    <row r="86" spans="1:19" ht="15.75" customHeight="1">
      <c r="A86" s="8">
        <v>80641359</v>
      </c>
      <c r="B86" s="8" t="s">
        <v>8452</v>
      </c>
      <c r="C86" s="8" t="s">
        <v>8453</v>
      </c>
      <c r="D86" s="8" t="s">
        <v>599</v>
      </c>
      <c r="E86" s="9" t="s">
        <v>600</v>
      </c>
      <c r="F86" s="8" t="s">
        <v>8454</v>
      </c>
      <c r="G86" s="9">
        <v>64</v>
      </c>
      <c r="H86" s="8" t="s">
        <v>8164</v>
      </c>
      <c r="I86" s="8" t="s">
        <v>8276</v>
      </c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1:19" ht="15.75" customHeight="1">
      <c r="A87" s="8">
        <v>81212011</v>
      </c>
      <c r="B87" s="8" t="s">
        <v>8283</v>
      </c>
      <c r="C87" s="8" t="s">
        <v>8455</v>
      </c>
      <c r="D87" s="8" t="s">
        <v>1034</v>
      </c>
      <c r="E87" s="9">
        <v>79504735795</v>
      </c>
      <c r="F87" s="8"/>
      <c r="G87" s="9"/>
      <c r="H87" s="8" t="s">
        <v>8164</v>
      </c>
      <c r="I87" s="8" t="s">
        <v>8456</v>
      </c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1:19" ht="15.75" customHeight="1">
      <c r="A88" s="8">
        <v>81538700</v>
      </c>
      <c r="B88" s="8" t="s">
        <v>8457</v>
      </c>
      <c r="C88" s="8" t="s">
        <v>8458</v>
      </c>
      <c r="D88" s="8" t="s">
        <v>1148</v>
      </c>
      <c r="E88" s="9">
        <v>37253240593</v>
      </c>
      <c r="F88" s="8" t="s">
        <v>8459</v>
      </c>
      <c r="G88" s="9">
        <v>24</v>
      </c>
      <c r="H88" s="8" t="s">
        <v>8262</v>
      </c>
      <c r="I88" s="8" t="s">
        <v>8460</v>
      </c>
      <c r="J88" s="8" t="s">
        <v>8461</v>
      </c>
      <c r="K88" s="8"/>
      <c r="L88" s="8"/>
      <c r="M88" s="8"/>
      <c r="N88" s="8"/>
      <c r="O88" s="8"/>
      <c r="P88" s="8"/>
      <c r="Q88" s="8"/>
      <c r="R88" s="8"/>
      <c r="S88" s="8"/>
    </row>
    <row r="89" spans="1:19" ht="15.75" customHeight="1">
      <c r="A89" s="8">
        <v>82030647</v>
      </c>
      <c r="B89" s="8" t="s">
        <v>7768</v>
      </c>
      <c r="C89" s="8" t="s">
        <v>8462</v>
      </c>
      <c r="D89" s="8" t="s">
        <v>832</v>
      </c>
      <c r="E89" s="9" t="s">
        <v>833</v>
      </c>
      <c r="F89" s="8"/>
      <c r="G89" s="9"/>
      <c r="H89" s="8" t="s">
        <v>8463</v>
      </c>
      <c r="I89" s="8" t="s">
        <v>8464</v>
      </c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1:19" ht="15.75" customHeight="1">
      <c r="A90" s="8">
        <v>82489095</v>
      </c>
      <c r="B90" s="8" t="s">
        <v>8465</v>
      </c>
      <c r="C90" s="8" t="s">
        <v>8466</v>
      </c>
      <c r="D90" s="8" t="s">
        <v>287</v>
      </c>
      <c r="E90" s="9">
        <v>79875327379</v>
      </c>
      <c r="F90" s="8"/>
      <c r="G90" s="9"/>
      <c r="H90" s="8" t="s">
        <v>8164</v>
      </c>
      <c r="I90" s="8" t="s">
        <v>8467</v>
      </c>
      <c r="J90" s="8" t="s">
        <v>8468</v>
      </c>
      <c r="K90" s="8"/>
      <c r="L90" s="8"/>
      <c r="M90" s="8"/>
      <c r="N90" s="8"/>
      <c r="O90" s="8"/>
      <c r="P90" s="8"/>
      <c r="Q90" s="8"/>
      <c r="R90" s="8"/>
      <c r="S90" s="8"/>
    </row>
    <row r="91" spans="1:19" ht="15.75" customHeight="1">
      <c r="A91" s="8">
        <v>82916830</v>
      </c>
      <c r="B91" s="8" t="s">
        <v>8469</v>
      </c>
      <c r="C91" s="8" t="s">
        <v>8470</v>
      </c>
      <c r="D91" s="8" t="s">
        <v>424</v>
      </c>
      <c r="E91" s="9" t="s">
        <v>425</v>
      </c>
      <c r="F91" s="8"/>
      <c r="G91" s="9"/>
      <c r="H91" s="8" t="s">
        <v>8471</v>
      </c>
      <c r="I91" s="8" t="s">
        <v>8472</v>
      </c>
      <c r="J91" s="8" t="s">
        <v>8473</v>
      </c>
      <c r="K91" s="8"/>
      <c r="L91" s="8" t="s">
        <v>8167</v>
      </c>
      <c r="M91" s="8" t="s">
        <v>8176</v>
      </c>
      <c r="N91" s="8"/>
      <c r="O91" s="8"/>
      <c r="P91" s="8"/>
      <c r="Q91" s="8"/>
      <c r="R91" s="8"/>
      <c r="S91" s="8"/>
    </row>
    <row r="92" spans="1:19" ht="15.75" customHeight="1">
      <c r="A92" s="8">
        <v>82972451</v>
      </c>
      <c r="B92" s="8" t="s">
        <v>7919</v>
      </c>
      <c r="C92" s="8" t="s">
        <v>8474</v>
      </c>
      <c r="D92" s="8" t="s">
        <v>186</v>
      </c>
      <c r="E92" s="9" t="s">
        <v>187</v>
      </c>
      <c r="F92" s="8" t="s">
        <v>8475</v>
      </c>
      <c r="G92" s="9">
        <v>41</v>
      </c>
      <c r="H92" s="8" t="s">
        <v>8164</v>
      </c>
      <c r="I92" s="8" t="s">
        <v>8476</v>
      </c>
      <c r="J92" s="8"/>
      <c r="K92" s="8"/>
      <c r="L92" s="8"/>
      <c r="M92" s="8"/>
      <c r="N92" s="8"/>
      <c r="O92" s="8"/>
      <c r="P92" s="8"/>
      <c r="Q92" s="8"/>
      <c r="R92" s="8"/>
      <c r="S92" s="8"/>
    </row>
    <row r="93" spans="1:19" ht="15.75" customHeight="1">
      <c r="A93" s="8">
        <v>83094957</v>
      </c>
      <c r="B93" s="8" t="s">
        <v>8477</v>
      </c>
      <c r="C93" s="8" t="s">
        <v>8478</v>
      </c>
      <c r="D93" s="8" t="s">
        <v>1288</v>
      </c>
      <c r="E93" s="9">
        <v>87712448577</v>
      </c>
      <c r="F93" s="8"/>
      <c r="G93" s="9"/>
      <c r="H93" s="8" t="s">
        <v>8241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</row>
    <row r="94" spans="1:19" ht="15.75" customHeight="1">
      <c r="A94" s="8">
        <v>83233738</v>
      </c>
      <c r="B94" s="8" t="s">
        <v>8479</v>
      </c>
      <c r="C94" s="8" t="s">
        <v>8480</v>
      </c>
      <c r="D94" s="8" t="s">
        <v>1043</v>
      </c>
      <c r="E94" s="9" t="s">
        <v>1044</v>
      </c>
      <c r="F94" s="8"/>
      <c r="G94" s="9"/>
      <c r="H94" s="8" t="s">
        <v>8164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</row>
    <row r="95" spans="1:19" ht="15.75" customHeight="1">
      <c r="A95" s="8">
        <v>83295273</v>
      </c>
      <c r="B95" s="8" t="s">
        <v>8277</v>
      </c>
      <c r="C95" s="8" t="s">
        <v>8481</v>
      </c>
      <c r="D95" s="8" t="s">
        <v>966</v>
      </c>
      <c r="E95" s="9">
        <v>79228081877</v>
      </c>
      <c r="F95" s="8" t="s">
        <v>8482</v>
      </c>
      <c r="G95" s="9">
        <v>39</v>
      </c>
      <c r="H95" s="8" t="s">
        <v>8164</v>
      </c>
      <c r="I95" s="8" t="s">
        <v>8483</v>
      </c>
      <c r="J95" s="8"/>
      <c r="K95" s="8"/>
      <c r="L95" s="8"/>
      <c r="M95" s="8"/>
      <c r="N95" s="8"/>
      <c r="O95" s="8"/>
      <c r="P95" s="8"/>
      <c r="Q95" s="8"/>
      <c r="R95" s="8"/>
      <c r="S95" s="8"/>
    </row>
    <row r="96" spans="1:19" ht="15.75" customHeight="1">
      <c r="A96" s="8">
        <v>83397493</v>
      </c>
      <c r="B96" s="8" t="s">
        <v>8484</v>
      </c>
      <c r="C96" s="8" t="s">
        <v>8485</v>
      </c>
      <c r="D96" s="8" t="s">
        <v>379</v>
      </c>
      <c r="E96" s="9">
        <v>79034174329</v>
      </c>
      <c r="F96" s="8"/>
      <c r="G96" s="9"/>
      <c r="H96" s="8" t="s">
        <v>8164</v>
      </c>
      <c r="I96" s="8" t="s">
        <v>8486</v>
      </c>
      <c r="J96" s="8"/>
      <c r="K96" s="8"/>
      <c r="L96" s="8"/>
      <c r="M96" s="8"/>
      <c r="N96" s="8"/>
      <c r="O96" s="8"/>
      <c r="P96" s="8"/>
      <c r="Q96" s="8"/>
      <c r="R96" s="8"/>
      <c r="S96" s="8"/>
    </row>
    <row r="97" spans="1:19" ht="15.75" customHeight="1">
      <c r="A97" s="8">
        <v>83439163</v>
      </c>
      <c r="B97" s="8" t="s">
        <v>8192</v>
      </c>
      <c r="C97" s="8" t="s">
        <v>8487</v>
      </c>
      <c r="D97" s="8" t="s">
        <v>928</v>
      </c>
      <c r="E97" s="9">
        <v>79165860017</v>
      </c>
      <c r="F97" s="8" t="s">
        <v>8488</v>
      </c>
      <c r="G97" s="9">
        <v>56</v>
      </c>
      <c r="H97" s="8" t="s">
        <v>8164</v>
      </c>
      <c r="I97" s="8" t="s">
        <v>8489</v>
      </c>
      <c r="J97" s="8">
        <v>89165860017</v>
      </c>
      <c r="K97" s="8"/>
      <c r="L97" s="8"/>
      <c r="M97" s="8"/>
      <c r="N97" s="8"/>
      <c r="O97" s="8" t="s">
        <v>8170</v>
      </c>
      <c r="P97" s="8" t="s">
        <v>8171</v>
      </c>
      <c r="Q97" s="8"/>
      <c r="R97" s="8"/>
      <c r="S97" s="8"/>
    </row>
    <row r="98" spans="1:19" ht="15.75" customHeight="1">
      <c r="A98" s="8">
        <v>83511568</v>
      </c>
      <c r="B98" s="8" t="s">
        <v>8490</v>
      </c>
      <c r="C98" s="8" t="s">
        <v>8491</v>
      </c>
      <c r="D98" s="8" t="s">
        <v>648</v>
      </c>
      <c r="E98" s="9">
        <v>998972485031</v>
      </c>
      <c r="F98" s="8"/>
      <c r="G98" s="9"/>
      <c r="H98" s="8" t="s">
        <v>8463</v>
      </c>
      <c r="I98" s="8" t="s">
        <v>8492</v>
      </c>
      <c r="J98" s="8" t="s">
        <v>8493</v>
      </c>
      <c r="K98" s="8"/>
      <c r="L98" s="8"/>
      <c r="M98" s="8"/>
      <c r="N98" s="8"/>
      <c r="O98" s="8"/>
      <c r="P98" s="8" t="s">
        <v>8171</v>
      </c>
      <c r="Q98" s="8" t="s">
        <v>8161</v>
      </c>
      <c r="R98" s="8"/>
      <c r="S98" s="8"/>
    </row>
    <row r="99" spans="1:19" ht="15.75" customHeight="1">
      <c r="A99" s="8">
        <v>83862136</v>
      </c>
      <c r="B99" s="8" t="s">
        <v>8494</v>
      </c>
      <c r="C99" s="8" t="s">
        <v>8495</v>
      </c>
      <c r="D99" s="8" t="s">
        <v>953</v>
      </c>
      <c r="E99" s="9" t="s">
        <v>954</v>
      </c>
      <c r="F99" s="8"/>
      <c r="G99" s="9"/>
      <c r="H99" s="8" t="s">
        <v>8349</v>
      </c>
      <c r="I99" s="8" t="s">
        <v>8496</v>
      </c>
      <c r="J99" s="8" t="s">
        <v>8497</v>
      </c>
      <c r="K99" s="8"/>
      <c r="L99" s="8"/>
      <c r="M99" s="8"/>
      <c r="N99" s="8"/>
      <c r="O99" s="8"/>
      <c r="P99" s="8"/>
      <c r="Q99" s="8"/>
      <c r="R99" s="8"/>
      <c r="S99" s="8"/>
    </row>
    <row r="100" spans="1:19" ht="15.75" customHeight="1">
      <c r="A100" s="8">
        <v>84634054</v>
      </c>
      <c r="B100" s="8" t="s">
        <v>8234</v>
      </c>
      <c r="C100" s="8" t="s">
        <v>8498</v>
      </c>
      <c r="D100" s="8" t="s">
        <v>620</v>
      </c>
      <c r="E100" s="9">
        <v>79082634355</v>
      </c>
      <c r="F100" s="8"/>
      <c r="G100" s="9"/>
      <c r="H100" s="8" t="s">
        <v>8164</v>
      </c>
      <c r="I100" s="8" t="s">
        <v>8499</v>
      </c>
      <c r="J100" s="8"/>
      <c r="K100" s="8"/>
      <c r="L100" s="8"/>
      <c r="M100" s="8"/>
      <c r="N100" s="8"/>
      <c r="O100" s="8"/>
      <c r="P100" s="8"/>
      <c r="Q100" s="8"/>
      <c r="R100" s="8"/>
      <c r="S100" s="8"/>
    </row>
    <row r="101" spans="1:19" ht="15.75" customHeight="1">
      <c r="A101" s="8">
        <v>85035194</v>
      </c>
      <c r="B101" s="8" t="s">
        <v>8500</v>
      </c>
      <c r="C101" s="8" t="s">
        <v>8501</v>
      </c>
      <c r="D101" s="8" t="s">
        <v>326</v>
      </c>
      <c r="E101" s="9">
        <v>491794845355</v>
      </c>
      <c r="F101" s="8" t="s">
        <v>8502</v>
      </c>
      <c r="G101" s="9">
        <v>44</v>
      </c>
      <c r="H101" s="8" t="s">
        <v>8183</v>
      </c>
      <c r="I101" s="8" t="s">
        <v>8503</v>
      </c>
      <c r="J101" s="8" t="s">
        <v>8504</v>
      </c>
      <c r="K101" s="8"/>
      <c r="L101" s="8"/>
      <c r="M101" s="8"/>
      <c r="N101" s="8"/>
      <c r="O101" s="8"/>
      <c r="P101" s="8"/>
      <c r="Q101" s="8" t="s">
        <v>8161</v>
      </c>
      <c r="R101" s="8"/>
      <c r="S101" s="8"/>
    </row>
    <row r="102" spans="1:19" ht="15.75" customHeight="1">
      <c r="A102" s="8">
        <v>85097606</v>
      </c>
      <c r="B102" s="8" t="s">
        <v>8434</v>
      </c>
      <c r="C102" s="8" t="s">
        <v>8505</v>
      </c>
      <c r="D102" s="8" t="s">
        <v>1164</v>
      </c>
      <c r="E102" s="9">
        <v>79057151755</v>
      </c>
      <c r="F102" s="8"/>
      <c r="G102" s="9"/>
      <c r="H102" s="8" t="s">
        <v>8164</v>
      </c>
      <c r="I102" s="8" t="s">
        <v>8506</v>
      </c>
      <c r="J102" s="8"/>
      <c r="K102" s="8"/>
      <c r="L102" s="8"/>
      <c r="M102" s="8"/>
      <c r="N102" s="8"/>
      <c r="O102" s="8"/>
      <c r="P102" s="8"/>
      <c r="Q102" s="8"/>
      <c r="R102" s="8"/>
      <c r="S102" s="8"/>
    </row>
    <row r="103" spans="1:19" ht="15.75" customHeight="1">
      <c r="A103" s="8">
        <v>85381133</v>
      </c>
      <c r="B103" s="8" t="s">
        <v>8172</v>
      </c>
      <c r="C103" s="8" t="s">
        <v>8507</v>
      </c>
      <c r="D103" s="8" t="s">
        <v>308</v>
      </c>
      <c r="E103" s="9">
        <v>46702302444</v>
      </c>
      <c r="F103" s="8" t="s">
        <v>8508</v>
      </c>
      <c r="G103" s="9">
        <v>59</v>
      </c>
      <c r="H103" s="8" t="s">
        <v>8509</v>
      </c>
      <c r="I103" s="8" t="s">
        <v>8510</v>
      </c>
      <c r="J103" s="8"/>
      <c r="K103" s="8"/>
      <c r="L103" s="8"/>
      <c r="M103" s="8"/>
      <c r="N103" s="8"/>
      <c r="O103" s="8"/>
      <c r="P103" s="8"/>
      <c r="Q103" s="8"/>
      <c r="R103" s="8"/>
      <c r="S103" s="8"/>
    </row>
    <row r="104" spans="1:19" ht="15.75" customHeight="1">
      <c r="A104" s="8">
        <v>85990970</v>
      </c>
      <c r="B104" s="8" t="s">
        <v>8234</v>
      </c>
      <c r="C104" s="8" t="s">
        <v>8511</v>
      </c>
      <c r="D104" s="8" t="s">
        <v>691</v>
      </c>
      <c r="E104" s="9">
        <v>79185463636</v>
      </c>
      <c r="F104" s="8"/>
      <c r="G104" s="9"/>
      <c r="H104" s="8" t="s">
        <v>8164</v>
      </c>
      <c r="I104" s="8" t="s">
        <v>8512</v>
      </c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1:19" ht="15.75" customHeight="1">
      <c r="A105" s="8">
        <v>87247814</v>
      </c>
      <c r="B105" s="8" t="s">
        <v>8513</v>
      </c>
      <c r="C105" s="8" t="s">
        <v>8513</v>
      </c>
      <c r="D105" s="8" t="s">
        <v>596</v>
      </c>
      <c r="E105" s="9">
        <v>37067403333</v>
      </c>
      <c r="F105" s="8"/>
      <c r="G105" s="9"/>
      <c r="H105" s="8" t="s">
        <v>8386</v>
      </c>
      <c r="I105" s="8" t="s">
        <v>8387</v>
      </c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1:19" ht="15.75" customHeight="1">
      <c r="A106" s="8">
        <v>87407143</v>
      </c>
      <c r="B106" s="8" t="s">
        <v>8514</v>
      </c>
      <c r="C106" s="8" t="s">
        <v>8515</v>
      </c>
      <c r="D106" s="8" t="s">
        <v>241</v>
      </c>
      <c r="E106" s="9" t="s">
        <v>242</v>
      </c>
      <c r="F106" s="8" t="s">
        <v>8516</v>
      </c>
      <c r="G106" s="9">
        <v>42</v>
      </c>
      <c r="H106" s="8" t="s">
        <v>8164</v>
      </c>
      <c r="I106" s="8" t="s">
        <v>8517</v>
      </c>
      <c r="J106" s="8" t="s">
        <v>8518</v>
      </c>
      <c r="K106" s="8"/>
      <c r="L106" s="8"/>
      <c r="M106" s="8"/>
      <c r="N106" s="8"/>
      <c r="O106" s="8"/>
      <c r="P106" s="8"/>
      <c r="Q106" s="8"/>
      <c r="R106" s="8"/>
      <c r="S106" s="8"/>
    </row>
    <row r="107" spans="1:19" ht="15.75" customHeight="1">
      <c r="A107" s="8">
        <v>87412864</v>
      </c>
      <c r="B107" s="8" t="s">
        <v>8519</v>
      </c>
      <c r="C107" s="8" t="s">
        <v>8520</v>
      </c>
      <c r="D107" s="8" t="s">
        <v>375</v>
      </c>
      <c r="E107" s="9" t="s">
        <v>376</v>
      </c>
      <c r="F107" s="8" t="s">
        <v>8521</v>
      </c>
      <c r="G107" s="9">
        <v>51</v>
      </c>
      <c r="H107" s="8" t="s">
        <v>8522</v>
      </c>
      <c r="I107" s="8" t="s">
        <v>8523</v>
      </c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8" spans="1:19" ht="15.75" customHeight="1">
      <c r="A108" s="8">
        <v>87668977</v>
      </c>
      <c r="B108" s="8" t="s">
        <v>7768</v>
      </c>
      <c r="C108" s="8" t="s">
        <v>8524</v>
      </c>
      <c r="D108" s="8" t="s">
        <v>819</v>
      </c>
      <c r="E108" s="9" t="s">
        <v>820</v>
      </c>
      <c r="F108" s="8" t="s">
        <v>8525</v>
      </c>
      <c r="G108" s="9">
        <v>60</v>
      </c>
      <c r="H108" s="8" t="s">
        <v>8164</v>
      </c>
      <c r="I108" s="8" t="s">
        <v>8423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09" spans="1:19" ht="15.75" customHeight="1">
      <c r="A109" s="8">
        <v>87978421</v>
      </c>
      <c r="B109" s="8" t="s">
        <v>8479</v>
      </c>
      <c r="C109" s="8" t="s">
        <v>8526</v>
      </c>
      <c r="D109" s="8" t="s">
        <v>284</v>
      </c>
      <c r="E109" s="9">
        <v>375296783690</v>
      </c>
      <c r="F109" s="8"/>
      <c r="G109" s="9"/>
      <c r="H109" s="8" t="s">
        <v>8222</v>
      </c>
      <c r="I109" s="8" t="s">
        <v>8412</v>
      </c>
      <c r="J109" s="8" t="s">
        <v>8527</v>
      </c>
      <c r="K109" s="8"/>
      <c r="L109" s="8"/>
      <c r="M109" s="8" t="s">
        <v>8176</v>
      </c>
      <c r="N109" s="8" t="s">
        <v>8169</v>
      </c>
      <c r="O109" s="8" t="s">
        <v>8170</v>
      </c>
      <c r="P109" s="8"/>
      <c r="Q109" s="8"/>
      <c r="R109" s="8"/>
      <c r="S109" s="8"/>
    </row>
    <row r="110" spans="1:19" ht="15.75" customHeight="1">
      <c r="A110" s="8">
        <v>88485110</v>
      </c>
      <c r="B110" s="8" t="s">
        <v>8252</v>
      </c>
      <c r="C110" s="8" t="s">
        <v>8528</v>
      </c>
      <c r="D110" s="8" t="s">
        <v>28</v>
      </c>
      <c r="E110" s="9">
        <v>79679611111</v>
      </c>
      <c r="F110" s="8"/>
      <c r="G110" s="9"/>
      <c r="H110" s="8" t="s">
        <v>8356</v>
      </c>
      <c r="I110" s="8" t="s">
        <v>8191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</row>
    <row r="111" spans="1:19" ht="15.75" customHeight="1">
      <c r="A111" s="8">
        <v>88585112</v>
      </c>
      <c r="B111" s="8" t="s">
        <v>8529</v>
      </c>
      <c r="C111" s="8" t="s">
        <v>8530</v>
      </c>
      <c r="D111" s="8" t="s">
        <v>1050</v>
      </c>
      <c r="E111" s="9">
        <v>79885387055</v>
      </c>
      <c r="F111" s="8"/>
      <c r="G111" s="9"/>
      <c r="H111" s="8" t="s">
        <v>8164</v>
      </c>
      <c r="I111" s="8" t="s">
        <v>8531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</row>
    <row r="112" spans="1:19" ht="15.75" customHeight="1">
      <c r="A112" s="8">
        <v>88586840</v>
      </c>
      <c r="B112" s="8" t="s">
        <v>8532</v>
      </c>
      <c r="C112" s="8" t="s">
        <v>8533</v>
      </c>
      <c r="D112" s="8" t="s">
        <v>1261</v>
      </c>
      <c r="E112" s="9">
        <v>79081851479</v>
      </c>
      <c r="F112" s="8"/>
      <c r="G112" s="9"/>
      <c r="H112" s="8" t="s">
        <v>8158</v>
      </c>
      <c r="I112" s="8" t="s">
        <v>8534</v>
      </c>
      <c r="J112" s="8"/>
      <c r="K112" s="8"/>
      <c r="L112" s="8"/>
      <c r="M112" s="8"/>
      <c r="N112" s="8"/>
      <c r="O112" s="8"/>
      <c r="P112" s="8"/>
      <c r="Q112" s="8"/>
      <c r="R112" s="8"/>
      <c r="S112" s="8"/>
    </row>
    <row r="113" spans="1:19" ht="15.75" customHeight="1">
      <c r="A113" s="8">
        <v>88674915</v>
      </c>
      <c r="B113" s="8" t="s">
        <v>8304</v>
      </c>
      <c r="C113" s="8" t="s">
        <v>8535</v>
      </c>
      <c r="D113" s="8" t="s">
        <v>511</v>
      </c>
      <c r="E113" s="9" t="s">
        <v>512</v>
      </c>
      <c r="F113" s="8"/>
      <c r="G113" s="9"/>
      <c r="H113" s="8" t="s">
        <v>8164</v>
      </c>
      <c r="I113" s="8" t="s">
        <v>8536</v>
      </c>
      <c r="J113" s="8" t="s">
        <v>510</v>
      </c>
      <c r="K113" s="8"/>
      <c r="L113" s="8"/>
      <c r="M113" s="8"/>
      <c r="N113" s="8"/>
      <c r="O113" s="8"/>
      <c r="P113" s="8"/>
      <c r="Q113" s="8"/>
      <c r="R113" s="8"/>
      <c r="S113" s="8"/>
    </row>
    <row r="114" spans="1:19" ht="15.75" customHeight="1">
      <c r="A114" s="8">
        <v>88797855</v>
      </c>
      <c r="B114" s="8" t="s">
        <v>8410</v>
      </c>
      <c r="C114" s="8" t="s">
        <v>8537</v>
      </c>
      <c r="D114" s="8" t="s">
        <v>707</v>
      </c>
      <c r="E114" s="9">
        <v>79522729779</v>
      </c>
      <c r="F114" s="8"/>
      <c r="G114" s="9"/>
      <c r="H114" s="8" t="s">
        <v>8164</v>
      </c>
      <c r="I114" s="8" t="s">
        <v>8538</v>
      </c>
      <c r="J114" s="8"/>
      <c r="K114" s="8"/>
      <c r="L114" s="8"/>
      <c r="M114" s="8"/>
      <c r="N114" s="8"/>
      <c r="O114" s="8"/>
      <c r="P114" s="8"/>
      <c r="Q114" s="8"/>
      <c r="R114" s="8"/>
      <c r="S114" s="8"/>
    </row>
    <row r="115" spans="1:19" ht="15.75" customHeight="1">
      <c r="A115" s="8">
        <v>88990755</v>
      </c>
      <c r="B115" s="8" t="s">
        <v>8539</v>
      </c>
      <c r="C115" s="8" t="s">
        <v>8540</v>
      </c>
      <c r="D115" s="8" t="s">
        <v>583</v>
      </c>
      <c r="E115" s="9" t="s">
        <v>584</v>
      </c>
      <c r="F115" s="8" t="s">
        <v>8541</v>
      </c>
      <c r="G115" s="9">
        <v>2</v>
      </c>
      <c r="H115" s="8" t="s">
        <v>8542</v>
      </c>
      <c r="I115" s="8" t="s">
        <v>8543</v>
      </c>
      <c r="J115" s="8" t="s">
        <v>8544</v>
      </c>
      <c r="K115" s="8"/>
      <c r="L115" s="8"/>
      <c r="M115" s="8"/>
      <c r="N115" s="8"/>
      <c r="O115" s="8"/>
      <c r="P115" s="8"/>
      <c r="Q115" s="8" t="s">
        <v>8161</v>
      </c>
      <c r="R115" s="8"/>
      <c r="S115" s="8"/>
    </row>
    <row r="116" spans="1:19" ht="15.75" customHeight="1">
      <c r="A116" s="8">
        <v>89790177</v>
      </c>
      <c r="B116" s="8" t="s">
        <v>8365</v>
      </c>
      <c r="C116" s="8" t="s">
        <v>8545</v>
      </c>
      <c r="D116" s="8" t="s">
        <v>698</v>
      </c>
      <c r="E116" s="9">
        <v>434664824510</v>
      </c>
      <c r="F116" s="8" t="s">
        <v>8546</v>
      </c>
      <c r="G116" s="9">
        <v>50</v>
      </c>
      <c r="H116" s="8" t="s">
        <v>8547</v>
      </c>
      <c r="I116" s="8" t="s">
        <v>8548</v>
      </c>
      <c r="J116" s="8"/>
      <c r="K116" s="8"/>
      <c r="L116" s="8"/>
      <c r="M116" s="8"/>
      <c r="N116" s="8"/>
      <c r="O116" s="8"/>
      <c r="P116" s="8"/>
      <c r="Q116" s="8"/>
      <c r="R116" s="8"/>
      <c r="S116" s="8"/>
    </row>
    <row r="117" spans="1:19" ht="15.75" customHeight="1">
      <c r="A117" s="8">
        <v>89933705</v>
      </c>
      <c r="B117" s="8" t="s">
        <v>8304</v>
      </c>
      <c r="C117" s="8" t="s">
        <v>8549</v>
      </c>
      <c r="D117" s="8" t="s">
        <v>904</v>
      </c>
      <c r="E117" s="9" t="s">
        <v>905</v>
      </c>
      <c r="F117" s="8"/>
      <c r="G117" s="9"/>
      <c r="H117" s="8" t="s">
        <v>8158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</row>
    <row r="118" spans="1:19" ht="15.75" customHeight="1">
      <c r="A118" s="8">
        <v>90352678</v>
      </c>
      <c r="B118" s="8" t="s">
        <v>8479</v>
      </c>
      <c r="C118" s="8" t="s">
        <v>8550</v>
      </c>
      <c r="D118" s="8" t="s">
        <v>106</v>
      </c>
      <c r="E118" s="9" t="s">
        <v>107</v>
      </c>
      <c r="F118" s="8"/>
      <c r="G118" s="9"/>
      <c r="H118" s="8" t="s">
        <v>8551</v>
      </c>
      <c r="I118" s="8" t="s">
        <v>8552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</row>
    <row r="119" spans="1:19" ht="15.75" customHeight="1">
      <c r="A119" s="8">
        <v>90444525</v>
      </c>
      <c r="B119" s="8" t="s">
        <v>7399</v>
      </c>
      <c r="C119" s="8" t="s">
        <v>8553</v>
      </c>
      <c r="D119" s="8" t="s">
        <v>989</v>
      </c>
      <c r="E119" s="9" t="s">
        <v>990</v>
      </c>
      <c r="F119" s="8"/>
      <c r="G119" s="9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</row>
    <row r="120" spans="1:19" ht="15.75" customHeight="1">
      <c r="A120" s="8">
        <v>90931110</v>
      </c>
      <c r="B120" s="8" t="s">
        <v>8554</v>
      </c>
      <c r="C120" s="8" t="s">
        <v>8555</v>
      </c>
      <c r="D120" s="8" t="s">
        <v>670</v>
      </c>
      <c r="E120" s="9" t="s">
        <v>671</v>
      </c>
      <c r="F120" s="8"/>
      <c r="G120" s="9"/>
      <c r="H120" s="8" t="s">
        <v>8267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</row>
    <row r="121" spans="1:19" ht="15.75" customHeight="1">
      <c r="A121" s="8">
        <v>91069076</v>
      </c>
      <c r="B121" s="8" t="s">
        <v>7399</v>
      </c>
      <c r="C121" s="8" t="s">
        <v>8556</v>
      </c>
      <c r="D121" s="8" t="s">
        <v>666</v>
      </c>
      <c r="E121" s="9" t="s">
        <v>667</v>
      </c>
      <c r="F121" s="8" t="s">
        <v>8557</v>
      </c>
      <c r="G121" s="9">
        <v>57</v>
      </c>
      <c r="H121" s="8" t="s">
        <v>8558</v>
      </c>
      <c r="I121" s="8" t="s">
        <v>8559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</row>
    <row r="122" spans="1:19" ht="15.75" customHeight="1">
      <c r="A122" s="8">
        <v>91911640</v>
      </c>
      <c r="B122" s="8" t="s">
        <v>8206</v>
      </c>
      <c r="C122" s="8" t="s">
        <v>8560</v>
      </c>
      <c r="D122" s="8" t="s">
        <v>1040</v>
      </c>
      <c r="E122" s="9">
        <v>79532350253</v>
      </c>
      <c r="F122" s="8"/>
      <c r="G122" s="9"/>
      <c r="H122" s="8" t="s">
        <v>8164</v>
      </c>
      <c r="I122" s="8" t="s">
        <v>8561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</row>
    <row r="123" spans="1:19" ht="15.75" customHeight="1">
      <c r="A123" s="8">
        <v>92907328</v>
      </c>
      <c r="B123" s="8" t="s">
        <v>8562</v>
      </c>
      <c r="C123" s="8" t="s">
        <v>8563</v>
      </c>
      <c r="D123" s="8" t="s">
        <v>417</v>
      </c>
      <c r="E123" s="9" t="s">
        <v>418</v>
      </c>
      <c r="F123" s="8" t="s">
        <v>8564</v>
      </c>
      <c r="G123" s="9">
        <v>46</v>
      </c>
      <c r="H123" s="8" t="s">
        <v>8565</v>
      </c>
      <c r="I123" s="8" t="s">
        <v>8566</v>
      </c>
      <c r="J123" s="8"/>
      <c r="K123" s="8"/>
      <c r="L123" s="8"/>
      <c r="M123" s="8"/>
      <c r="N123" s="8"/>
      <c r="O123" s="8"/>
      <c r="P123" s="8"/>
      <c r="Q123" s="8"/>
      <c r="R123" s="8"/>
      <c r="S123" s="8"/>
    </row>
    <row r="124" spans="1:19" ht="15.75" customHeight="1">
      <c r="A124" s="8">
        <v>92965067</v>
      </c>
      <c r="B124" s="8" t="s">
        <v>8431</v>
      </c>
      <c r="C124" s="8" t="s">
        <v>8567</v>
      </c>
      <c r="D124" s="8" t="s">
        <v>145</v>
      </c>
      <c r="E124" s="9" t="s">
        <v>146</v>
      </c>
      <c r="F124" s="8"/>
      <c r="G124" s="9"/>
      <c r="H124" s="8" t="s">
        <v>8164</v>
      </c>
      <c r="I124" s="8" t="s">
        <v>8214</v>
      </c>
      <c r="J124" s="8"/>
      <c r="K124" s="8"/>
      <c r="L124" s="8"/>
      <c r="M124" s="8"/>
      <c r="N124" s="8"/>
      <c r="O124" s="8"/>
      <c r="P124" s="8"/>
      <c r="Q124" s="8"/>
      <c r="R124" s="8"/>
      <c r="S124" s="8"/>
    </row>
    <row r="125" spans="1:19" ht="15.75" customHeight="1">
      <c r="A125" s="8">
        <v>93053325</v>
      </c>
      <c r="B125" s="8" t="s">
        <v>8554</v>
      </c>
      <c r="C125" s="8" t="s">
        <v>8568</v>
      </c>
      <c r="D125" s="8" t="s">
        <v>933</v>
      </c>
      <c r="E125" s="9" t="s">
        <v>934</v>
      </c>
      <c r="F125" s="8" t="s">
        <v>8569</v>
      </c>
      <c r="G125" s="9">
        <v>42</v>
      </c>
      <c r="H125" s="8" t="s">
        <v>8164</v>
      </c>
      <c r="I125" s="8" t="s">
        <v>8191</v>
      </c>
      <c r="J125" s="8"/>
      <c r="K125" s="8"/>
      <c r="L125" s="8"/>
      <c r="M125" s="8"/>
      <c r="N125" s="8"/>
      <c r="O125" s="8"/>
      <c r="P125" s="8"/>
      <c r="Q125" s="8"/>
      <c r="R125" s="8"/>
      <c r="S125" s="8"/>
    </row>
    <row r="126" spans="1:19" ht="15.75" customHeight="1">
      <c r="A126" s="8">
        <v>93239049</v>
      </c>
      <c r="B126" s="8" t="s">
        <v>8279</v>
      </c>
      <c r="C126" s="8" t="s">
        <v>8331</v>
      </c>
      <c r="D126" s="8" t="s">
        <v>342</v>
      </c>
      <c r="E126" s="9" t="s">
        <v>343</v>
      </c>
      <c r="F126" s="8"/>
      <c r="G126" s="9"/>
      <c r="H126" s="8" t="s">
        <v>8164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</row>
    <row r="127" spans="1:19" ht="15.75" customHeight="1">
      <c r="A127" s="8">
        <v>94139154</v>
      </c>
      <c r="B127" s="8" t="s">
        <v>8570</v>
      </c>
      <c r="C127" s="8" t="s">
        <v>8571</v>
      </c>
      <c r="D127" s="8" t="s">
        <v>1285</v>
      </c>
      <c r="E127" s="9">
        <v>420776298778</v>
      </c>
      <c r="F127" s="8"/>
      <c r="G127" s="9"/>
      <c r="H127" s="8" t="s">
        <v>8241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</row>
    <row r="128" spans="1:19" ht="15.75" customHeight="1">
      <c r="A128" s="8">
        <v>94665039</v>
      </c>
      <c r="B128" s="8" t="s">
        <v>8304</v>
      </c>
      <c r="C128" s="8" t="s">
        <v>8572</v>
      </c>
      <c r="D128" s="8" t="s">
        <v>947</v>
      </c>
      <c r="E128" s="9">
        <v>87051863347</v>
      </c>
      <c r="F128" s="8"/>
      <c r="G128" s="9"/>
      <c r="H128" s="8" t="s">
        <v>8164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</row>
    <row r="129" spans="1:19" ht="15.75" customHeight="1">
      <c r="A129" s="8">
        <v>96326091</v>
      </c>
      <c r="B129" s="8" t="s">
        <v>8573</v>
      </c>
      <c r="C129" s="8" t="s">
        <v>8574</v>
      </c>
      <c r="D129" s="8" t="s">
        <v>113</v>
      </c>
      <c r="E129" s="9">
        <v>37126748038</v>
      </c>
      <c r="F129" s="8"/>
      <c r="G129" s="9"/>
      <c r="H129" s="8" t="s">
        <v>8558</v>
      </c>
      <c r="I129" s="8" t="s">
        <v>8559</v>
      </c>
      <c r="J129" s="8"/>
      <c r="K129" s="8"/>
      <c r="L129" s="8"/>
      <c r="M129" s="8"/>
      <c r="N129" s="8"/>
      <c r="O129" s="8"/>
      <c r="P129" s="8"/>
      <c r="Q129" s="8"/>
      <c r="R129" s="8"/>
      <c r="S129" s="8"/>
    </row>
    <row r="130" spans="1:19" ht="15.75" customHeight="1">
      <c r="A130" s="8">
        <v>96520067</v>
      </c>
      <c r="B130" s="8" t="s">
        <v>8431</v>
      </c>
      <c r="C130" s="8" t="s">
        <v>8575</v>
      </c>
      <c r="D130" s="8" t="s">
        <v>593</v>
      </c>
      <c r="E130" s="9">
        <v>380503362604</v>
      </c>
      <c r="F130" s="8" t="s">
        <v>8576</v>
      </c>
      <c r="G130" s="9">
        <v>49</v>
      </c>
      <c r="H130" s="8" t="s">
        <v>8267</v>
      </c>
      <c r="I130" s="8" t="s">
        <v>8272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</row>
    <row r="131" spans="1:19" ht="15.75" customHeight="1">
      <c r="A131" s="8">
        <v>97026631</v>
      </c>
      <c r="B131" s="8" t="s">
        <v>8577</v>
      </c>
      <c r="C131" s="8" t="s">
        <v>8578</v>
      </c>
      <c r="D131" s="8" t="s">
        <v>1298</v>
      </c>
      <c r="E131" s="9"/>
      <c r="F131" s="8"/>
      <c r="G131" s="9"/>
      <c r="H131" s="8" t="s">
        <v>8164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</row>
    <row r="132" spans="1:19" ht="15.75" customHeight="1">
      <c r="A132" s="8">
        <v>97353022</v>
      </c>
      <c r="B132" s="8" t="s">
        <v>8579</v>
      </c>
      <c r="C132" s="8" t="s">
        <v>8580</v>
      </c>
      <c r="D132" s="8" t="s">
        <v>1011</v>
      </c>
      <c r="E132" s="9">
        <v>375256893172</v>
      </c>
      <c r="F132" s="8"/>
      <c r="G132" s="9"/>
      <c r="H132" s="8" t="s">
        <v>8222</v>
      </c>
      <c r="I132" s="8" t="s">
        <v>8412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</row>
    <row r="133" spans="1:19" ht="15.75" customHeight="1">
      <c r="A133" s="8">
        <v>99784323</v>
      </c>
      <c r="B133" s="8" t="s">
        <v>8581</v>
      </c>
      <c r="C133" s="8" t="s">
        <v>8582</v>
      </c>
      <c r="D133" s="8" t="s">
        <v>963</v>
      </c>
      <c r="E133" s="9">
        <v>3805458</v>
      </c>
      <c r="F133" s="8"/>
      <c r="G133" s="9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</row>
    <row r="134" spans="1:19" ht="15.75" customHeight="1">
      <c r="A134" s="8">
        <v>99974439</v>
      </c>
      <c r="B134" s="8" t="s">
        <v>8304</v>
      </c>
      <c r="C134" s="8" t="s">
        <v>8583</v>
      </c>
      <c r="D134" s="8" t="s">
        <v>161</v>
      </c>
      <c r="E134" s="9" t="s">
        <v>162</v>
      </c>
      <c r="F134" s="8"/>
      <c r="G134" s="9"/>
      <c r="H134" s="8" t="s">
        <v>8584</v>
      </c>
      <c r="I134" s="8" t="s">
        <v>8585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</row>
    <row r="135" spans="1:19" ht="15.75" customHeight="1">
      <c r="A135" s="8">
        <v>100065368</v>
      </c>
      <c r="B135" s="8" t="s">
        <v>8586</v>
      </c>
      <c r="C135" s="8" t="s">
        <v>8587</v>
      </c>
      <c r="D135" s="8" t="s">
        <v>353</v>
      </c>
      <c r="E135" s="9" t="s">
        <v>354</v>
      </c>
      <c r="F135" s="8"/>
      <c r="G135" s="9"/>
      <c r="H135" s="8" t="s">
        <v>8183</v>
      </c>
      <c r="I135" s="8" t="s">
        <v>8588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</row>
    <row r="136" spans="1:19" ht="15.75" customHeight="1">
      <c r="A136" s="8">
        <v>100107234</v>
      </c>
      <c r="B136" s="8" t="s">
        <v>8589</v>
      </c>
      <c r="C136" s="8" t="s">
        <v>8590</v>
      </c>
      <c r="D136" s="8" t="s">
        <v>322</v>
      </c>
      <c r="E136" s="9" t="s">
        <v>323</v>
      </c>
      <c r="F136" s="8"/>
      <c r="G136" s="9"/>
      <c r="H136" s="8" t="s">
        <v>8267</v>
      </c>
      <c r="I136" s="8" t="s">
        <v>8591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</row>
    <row r="137" spans="1:19" ht="15.75" customHeight="1">
      <c r="A137" s="8">
        <v>101267665</v>
      </c>
      <c r="B137" s="8" t="s">
        <v>7875</v>
      </c>
      <c r="C137" s="8" t="s">
        <v>8592</v>
      </c>
      <c r="D137" s="8" t="s">
        <v>1070</v>
      </c>
      <c r="E137" s="9" t="s">
        <v>1071</v>
      </c>
      <c r="F137" s="8"/>
      <c r="G137" s="9"/>
      <c r="H137" s="8" t="s">
        <v>8522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</row>
    <row r="138" spans="1:19" ht="15.75" customHeight="1">
      <c r="A138" s="8">
        <v>102015887</v>
      </c>
      <c r="B138" s="8" t="s">
        <v>8593</v>
      </c>
      <c r="C138" s="8" t="s">
        <v>8594</v>
      </c>
      <c r="D138" s="8" t="s">
        <v>674</v>
      </c>
      <c r="E138" s="9">
        <v>359888716058</v>
      </c>
      <c r="F138" s="8"/>
      <c r="G138" s="9"/>
      <c r="H138" s="8" t="s">
        <v>8595</v>
      </c>
      <c r="I138" s="8" t="s">
        <v>8596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</row>
    <row r="139" spans="1:19" ht="15.75" customHeight="1">
      <c r="A139" s="8">
        <v>104677633</v>
      </c>
      <c r="B139" s="8" t="s">
        <v>8597</v>
      </c>
      <c r="C139" s="8" t="s">
        <v>8598</v>
      </c>
      <c r="D139" s="8" t="s">
        <v>641</v>
      </c>
      <c r="E139" s="9" t="s">
        <v>642</v>
      </c>
      <c r="F139" s="8" t="s">
        <v>8599</v>
      </c>
      <c r="G139" s="9">
        <v>39</v>
      </c>
      <c r="H139" s="8" t="s">
        <v>8600</v>
      </c>
      <c r="I139" s="8" t="s">
        <v>8601</v>
      </c>
      <c r="J139" s="8"/>
      <c r="K139" s="8"/>
      <c r="L139" s="8"/>
      <c r="M139" s="8"/>
      <c r="N139" s="8"/>
      <c r="O139" s="8"/>
      <c r="P139" s="8"/>
      <c r="Q139" s="8"/>
      <c r="R139" s="8"/>
      <c r="S139" s="8"/>
    </row>
    <row r="140" spans="1:19" ht="15.75" customHeight="1">
      <c r="A140" s="8">
        <v>106035515</v>
      </c>
      <c r="B140" s="8" t="s">
        <v>8602</v>
      </c>
      <c r="C140" s="8" t="s">
        <v>8603</v>
      </c>
      <c r="D140" s="8" t="s">
        <v>1084</v>
      </c>
      <c r="E140" s="9" t="s">
        <v>1085</v>
      </c>
      <c r="F140" s="8"/>
      <c r="G140" s="9"/>
      <c r="H140" s="8" t="s">
        <v>8164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</row>
    <row r="141" spans="1:19" ht="15.75" customHeight="1">
      <c r="A141" s="8">
        <v>106346923</v>
      </c>
      <c r="B141" s="8" t="s">
        <v>8604</v>
      </c>
      <c r="C141" s="8" t="s">
        <v>8605</v>
      </c>
      <c r="D141" s="8" t="s">
        <v>1276</v>
      </c>
      <c r="E141" s="9" t="s">
        <v>1277</v>
      </c>
      <c r="F141" s="8" t="s">
        <v>8606</v>
      </c>
      <c r="G141" s="9">
        <v>38</v>
      </c>
      <c r="H141" s="8" t="s">
        <v>8386</v>
      </c>
      <c r="I141" s="8" t="s">
        <v>8607</v>
      </c>
      <c r="J141" s="8"/>
      <c r="K141" s="8"/>
      <c r="L141" s="8"/>
      <c r="M141" s="8"/>
      <c r="N141" s="8"/>
      <c r="O141" s="8"/>
      <c r="P141" s="8"/>
      <c r="Q141" s="8"/>
      <c r="R141" s="8"/>
      <c r="S141" s="8"/>
    </row>
    <row r="142" spans="1:19" ht="15.75" customHeight="1">
      <c r="A142" s="8">
        <v>107347354</v>
      </c>
      <c r="B142" s="8" t="s">
        <v>8479</v>
      </c>
      <c r="C142" s="8" t="s">
        <v>8608</v>
      </c>
      <c r="D142" s="8" t="s">
        <v>1179</v>
      </c>
      <c r="E142" s="9" t="s">
        <v>1180</v>
      </c>
      <c r="F142" s="8"/>
      <c r="G142" s="9"/>
      <c r="H142" s="8" t="s">
        <v>8164</v>
      </c>
      <c r="I142" s="8" t="s">
        <v>8165</v>
      </c>
      <c r="J142" s="8"/>
      <c r="K142" s="8"/>
      <c r="L142" s="8"/>
      <c r="M142" s="8"/>
      <c r="N142" s="8"/>
      <c r="O142" s="8"/>
      <c r="P142" s="8"/>
      <c r="Q142" s="8"/>
      <c r="R142" s="8"/>
      <c r="S142" s="8"/>
    </row>
    <row r="143" spans="1:19" ht="15.75" customHeight="1">
      <c r="A143" s="8">
        <v>107383457</v>
      </c>
      <c r="B143" s="8" t="s">
        <v>8197</v>
      </c>
      <c r="C143" s="8" t="s">
        <v>8609</v>
      </c>
      <c r="D143" s="8" t="s">
        <v>67</v>
      </c>
      <c r="E143" s="9" t="s">
        <v>68</v>
      </c>
      <c r="F143" s="8"/>
      <c r="G143" s="9"/>
      <c r="H143" s="8" t="s">
        <v>8164</v>
      </c>
      <c r="I143" s="8" t="s">
        <v>8165</v>
      </c>
      <c r="J143" s="8"/>
      <c r="K143" s="8"/>
      <c r="L143" s="8"/>
      <c r="M143" s="8"/>
      <c r="N143" s="8"/>
      <c r="O143" s="8"/>
      <c r="P143" s="8"/>
      <c r="Q143" s="8"/>
      <c r="R143" s="8"/>
      <c r="S143" s="8"/>
    </row>
    <row r="144" spans="1:19" ht="15.75" customHeight="1">
      <c r="A144" s="8">
        <v>107858032</v>
      </c>
      <c r="B144" s="8" t="s">
        <v>8610</v>
      </c>
      <c r="C144" s="8" t="s">
        <v>8611</v>
      </c>
      <c r="D144" s="8" t="s">
        <v>207</v>
      </c>
      <c r="E144" s="9" t="s">
        <v>208</v>
      </c>
      <c r="F144" s="8"/>
      <c r="G144" s="9"/>
      <c r="H144" s="8" t="s">
        <v>8164</v>
      </c>
      <c r="I144" s="8" t="s">
        <v>8208</v>
      </c>
      <c r="J144" s="8"/>
      <c r="K144" s="8"/>
      <c r="L144" s="8"/>
      <c r="M144" s="8"/>
      <c r="N144" s="8"/>
      <c r="O144" s="8"/>
      <c r="P144" s="8"/>
      <c r="Q144" s="8"/>
      <c r="R144" s="8"/>
      <c r="S144" s="8"/>
    </row>
    <row r="145" spans="1:19" ht="15.75" customHeight="1">
      <c r="A145" s="8">
        <v>107900029</v>
      </c>
      <c r="B145" s="8" t="s">
        <v>8431</v>
      </c>
      <c r="C145" s="8" t="s">
        <v>8612</v>
      </c>
      <c r="D145" s="8" t="s">
        <v>334</v>
      </c>
      <c r="E145" s="9" t="s">
        <v>335</v>
      </c>
      <c r="F145" s="8" t="s">
        <v>8613</v>
      </c>
      <c r="G145" s="9">
        <v>56</v>
      </c>
      <c r="H145" s="8" t="s">
        <v>8164</v>
      </c>
      <c r="I145" s="8" t="s">
        <v>8208</v>
      </c>
      <c r="J145" s="8"/>
      <c r="K145" s="8"/>
      <c r="L145" s="8"/>
      <c r="M145" s="8"/>
      <c r="N145" s="8"/>
      <c r="O145" s="8"/>
      <c r="P145" s="8"/>
      <c r="Q145" s="8"/>
      <c r="R145" s="8"/>
      <c r="S145" s="8"/>
    </row>
    <row r="146" spans="1:19" ht="15.75" customHeight="1">
      <c r="A146" s="8">
        <v>108270185</v>
      </c>
      <c r="B146" s="8" t="s">
        <v>8614</v>
      </c>
      <c r="C146" s="8" t="s">
        <v>8615</v>
      </c>
      <c r="D146" s="8" t="s">
        <v>1129</v>
      </c>
      <c r="E146" s="9" t="s">
        <v>1130</v>
      </c>
      <c r="F146" s="8"/>
      <c r="G146" s="9"/>
      <c r="H146" s="8" t="s">
        <v>8164</v>
      </c>
      <c r="I146" s="8" t="s">
        <v>8616</v>
      </c>
      <c r="J146" s="8"/>
      <c r="K146" s="8"/>
      <c r="L146" s="8"/>
      <c r="M146" s="8"/>
      <c r="N146" s="8"/>
      <c r="O146" s="8"/>
      <c r="P146" s="8"/>
      <c r="Q146" s="8"/>
      <c r="R146" s="8"/>
      <c r="S146" s="8"/>
    </row>
    <row r="147" spans="1:19" ht="15.75" customHeight="1">
      <c r="A147" s="8">
        <v>108858024</v>
      </c>
      <c r="B147" s="8" t="s">
        <v>8390</v>
      </c>
      <c r="C147" s="8" t="s">
        <v>8617</v>
      </c>
      <c r="D147" s="8" t="s">
        <v>1140</v>
      </c>
      <c r="E147" s="9" t="s">
        <v>1141</v>
      </c>
      <c r="F147" s="8"/>
      <c r="G147" s="9"/>
      <c r="H147" s="8" t="s">
        <v>8164</v>
      </c>
      <c r="I147" s="8" t="s">
        <v>8618</v>
      </c>
      <c r="J147" s="8"/>
      <c r="K147" s="8"/>
      <c r="L147" s="8"/>
      <c r="M147" s="8"/>
      <c r="N147" s="8"/>
      <c r="O147" s="8"/>
      <c r="P147" s="8"/>
      <c r="Q147" s="8"/>
      <c r="R147" s="8"/>
      <c r="S147" s="8"/>
    </row>
    <row r="148" spans="1:19" ht="15.75" customHeight="1">
      <c r="A148" s="8">
        <v>108939949</v>
      </c>
      <c r="B148" s="8" t="s">
        <v>8619</v>
      </c>
      <c r="C148" s="8" t="s">
        <v>8620</v>
      </c>
      <c r="D148" s="8" t="s">
        <v>199</v>
      </c>
      <c r="E148" s="9">
        <v>79519415950</v>
      </c>
      <c r="F148" s="8"/>
      <c r="G148" s="9"/>
      <c r="H148" s="8" t="s">
        <v>8164</v>
      </c>
      <c r="I148" s="8" t="s">
        <v>8621</v>
      </c>
      <c r="J148" s="8" t="s">
        <v>8622</v>
      </c>
      <c r="K148" s="8"/>
      <c r="L148" s="8" t="s">
        <v>8167</v>
      </c>
      <c r="M148" s="8" t="s">
        <v>8176</v>
      </c>
      <c r="N148" s="8"/>
      <c r="O148" s="8"/>
      <c r="P148" s="8" t="s">
        <v>8171</v>
      </c>
      <c r="Q148" s="8" t="s">
        <v>8161</v>
      </c>
      <c r="R148" s="8"/>
      <c r="S148" s="8"/>
    </row>
    <row r="149" spans="1:19" ht="15.75" customHeight="1">
      <c r="A149" s="8">
        <v>109147240</v>
      </c>
      <c r="B149" s="8" t="s">
        <v>8365</v>
      </c>
      <c r="C149" s="8" t="s">
        <v>8623</v>
      </c>
      <c r="D149" s="8" t="s">
        <v>787</v>
      </c>
      <c r="E149" s="9" t="s">
        <v>788</v>
      </c>
      <c r="F149" s="8"/>
      <c r="G149" s="9"/>
      <c r="H149" s="8" t="s">
        <v>8179</v>
      </c>
      <c r="I149" s="8" t="s">
        <v>8624</v>
      </c>
      <c r="J149" s="8"/>
      <c r="K149" s="8"/>
      <c r="L149" s="8"/>
      <c r="M149" s="8"/>
      <c r="N149" s="8"/>
      <c r="O149" s="8"/>
      <c r="P149" s="8"/>
      <c r="Q149" s="8"/>
      <c r="R149" s="8"/>
      <c r="S149" s="8"/>
    </row>
    <row r="150" spans="1:19" ht="15.75" customHeight="1">
      <c r="A150" s="8">
        <v>109319216</v>
      </c>
      <c r="B150" s="8" t="s">
        <v>8625</v>
      </c>
      <c r="C150" s="8" t="s">
        <v>8626</v>
      </c>
      <c r="D150" s="8" t="s">
        <v>79</v>
      </c>
      <c r="E150" s="9" t="s">
        <v>80</v>
      </c>
      <c r="F150" s="8"/>
      <c r="G150" s="9"/>
      <c r="H150" s="8" t="s">
        <v>8183</v>
      </c>
      <c r="I150" s="8" t="s">
        <v>8627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</row>
    <row r="151" spans="1:19" ht="15.75" customHeight="1">
      <c r="A151" s="8">
        <v>110177964</v>
      </c>
      <c r="B151" s="8" t="s">
        <v>8628</v>
      </c>
      <c r="C151" s="8" t="s">
        <v>8629</v>
      </c>
      <c r="D151" s="8" t="s">
        <v>1000</v>
      </c>
      <c r="E151" s="9">
        <v>998905047457</v>
      </c>
      <c r="F151" s="8"/>
      <c r="G151" s="9"/>
      <c r="H151" s="8" t="s">
        <v>8164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</row>
    <row r="152" spans="1:19" ht="15.75" customHeight="1">
      <c r="A152" s="8">
        <v>110937585</v>
      </c>
      <c r="B152" s="8" t="s">
        <v>8338</v>
      </c>
      <c r="C152" s="8" t="s">
        <v>8630</v>
      </c>
      <c r="D152" s="8" t="s">
        <v>803</v>
      </c>
      <c r="E152" s="9" t="s">
        <v>804</v>
      </c>
      <c r="F152" s="8"/>
      <c r="G152" s="9"/>
      <c r="H152" s="8" t="s">
        <v>8164</v>
      </c>
      <c r="I152" s="8" t="s">
        <v>8414</v>
      </c>
      <c r="J152" s="8"/>
      <c r="K152" s="8"/>
      <c r="L152" s="8"/>
      <c r="M152" s="8"/>
      <c r="N152" s="8"/>
      <c r="O152" s="8"/>
      <c r="P152" s="8"/>
      <c r="Q152" s="8"/>
      <c r="R152" s="8"/>
      <c r="S152" s="8"/>
    </row>
    <row r="153" spans="1:19" ht="15.75" customHeight="1">
      <c r="A153" s="8">
        <v>111404536</v>
      </c>
      <c r="B153" s="8" t="s">
        <v>8631</v>
      </c>
      <c r="C153" s="8" t="s">
        <v>8632</v>
      </c>
      <c r="D153" s="8" t="s">
        <v>858</v>
      </c>
      <c r="E153" s="9" t="s">
        <v>859</v>
      </c>
      <c r="F153" s="8"/>
      <c r="G153" s="9"/>
      <c r="H153" s="8" t="s">
        <v>8164</v>
      </c>
      <c r="I153" s="8" t="s">
        <v>8165</v>
      </c>
      <c r="J153" s="8"/>
      <c r="K153" s="8"/>
      <c r="L153" s="8"/>
      <c r="M153" s="8"/>
      <c r="N153" s="8"/>
      <c r="O153" s="8"/>
      <c r="P153" s="8"/>
      <c r="Q153" s="8"/>
      <c r="R153" s="8"/>
      <c r="S153" s="8"/>
    </row>
    <row r="154" spans="1:19" ht="15.75" customHeight="1">
      <c r="A154" s="8">
        <v>112330260</v>
      </c>
      <c r="B154" s="8" t="s">
        <v>8311</v>
      </c>
      <c r="C154" s="8" t="s">
        <v>8633</v>
      </c>
      <c r="D154" s="8" t="s">
        <v>1175</v>
      </c>
      <c r="E154" s="9">
        <v>79778751255</v>
      </c>
      <c r="F154" s="8"/>
      <c r="G154" s="9"/>
      <c r="H154" s="8" t="s">
        <v>8164</v>
      </c>
      <c r="I154" s="8" t="s">
        <v>8165</v>
      </c>
      <c r="J154" s="8"/>
      <c r="K154" s="8"/>
      <c r="L154" s="8"/>
      <c r="M154" s="8"/>
      <c r="N154" s="8"/>
      <c r="O154" s="8"/>
      <c r="P154" s="8"/>
      <c r="Q154" s="8"/>
      <c r="R154" s="8"/>
      <c r="S154" s="8"/>
    </row>
    <row r="155" spans="1:19" ht="15.75" customHeight="1">
      <c r="A155" s="8">
        <v>112802662</v>
      </c>
      <c r="B155" s="8" t="s">
        <v>8579</v>
      </c>
      <c r="C155" s="8" t="s">
        <v>8634</v>
      </c>
      <c r="D155" s="8" t="s">
        <v>1280</v>
      </c>
      <c r="E155" s="9" t="s">
        <v>1281</v>
      </c>
      <c r="F155" s="8"/>
      <c r="G155" s="9"/>
      <c r="H155" s="8" t="s">
        <v>8241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</row>
    <row r="156" spans="1:19" ht="15.75" customHeight="1">
      <c r="A156" s="8">
        <v>112895581</v>
      </c>
      <c r="B156" s="8" t="s">
        <v>8635</v>
      </c>
      <c r="C156" s="8" t="s">
        <v>8636</v>
      </c>
      <c r="D156" s="8" t="s">
        <v>441</v>
      </c>
      <c r="E156" s="9" t="s">
        <v>442</v>
      </c>
      <c r="F156" s="8"/>
      <c r="G156" s="9"/>
      <c r="H156" s="8" t="s">
        <v>8222</v>
      </c>
      <c r="I156" s="8" t="s">
        <v>8637</v>
      </c>
      <c r="J156" s="8"/>
      <c r="K156" s="8"/>
      <c r="L156" s="8"/>
      <c r="M156" s="8"/>
      <c r="N156" s="8"/>
      <c r="O156" s="8"/>
      <c r="P156" s="8"/>
      <c r="Q156" s="8"/>
      <c r="R156" s="8"/>
      <c r="S156" s="8"/>
    </row>
    <row r="157" spans="1:19" ht="15.75" customHeight="1">
      <c r="A157" s="8">
        <v>112947214</v>
      </c>
      <c r="B157" s="8" t="s">
        <v>8638</v>
      </c>
      <c r="C157" s="8" t="s">
        <v>8639</v>
      </c>
      <c r="D157" s="8" t="s">
        <v>1240</v>
      </c>
      <c r="E157" s="9" t="s">
        <v>1241</v>
      </c>
      <c r="F157" s="8"/>
      <c r="G157" s="9"/>
      <c r="H157" s="8" t="s">
        <v>8164</v>
      </c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</row>
    <row r="158" spans="1:19" ht="15.75" customHeight="1">
      <c r="A158" s="8">
        <v>113028951</v>
      </c>
      <c r="B158" s="8" t="s">
        <v>8640</v>
      </c>
      <c r="C158" s="8" t="s">
        <v>8641</v>
      </c>
      <c r="D158" s="8" t="s">
        <v>460</v>
      </c>
      <c r="E158" s="9" t="s">
        <v>461</v>
      </c>
      <c r="F158" s="8"/>
      <c r="G158" s="9"/>
      <c r="H158" s="8" t="s">
        <v>8164</v>
      </c>
      <c r="I158" s="8" t="s">
        <v>8642</v>
      </c>
      <c r="J158" s="8"/>
      <c r="K158" s="8"/>
      <c r="L158" s="8"/>
      <c r="M158" s="8"/>
      <c r="N158" s="8"/>
      <c r="O158" s="8"/>
      <c r="P158" s="8"/>
      <c r="Q158" s="8"/>
      <c r="R158" s="8"/>
      <c r="S158" s="8"/>
    </row>
    <row r="159" spans="1:19" ht="15.75" customHeight="1">
      <c r="A159" s="8">
        <v>113056461</v>
      </c>
      <c r="B159" s="8" t="s">
        <v>8643</v>
      </c>
      <c r="C159" s="8" t="s">
        <v>8644</v>
      </c>
      <c r="D159" s="8" t="s">
        <v>8645</v>
      </c>
      <c r="E159" s="9">
        <v>79109161919</v>
      </c>
      <c r="F159" s="8"/>
      <c r="G159" s="9"/>
      <c r="H159" s="8" t="s">
        <v>8164</v>
      </c>
      <c r="I159" s="8" t="s">
        <v>8165</v>
      </c>
      <c r="J159" s="8"/>
      <c r="K159" s="8"/>
      <c r="L159" s="8"/>
      <c r="M159" s="8"/>
      <c r="N159" s="8"/>
      <c r="O159" s="8"/>
      <c r="P159" s="8"/>
      <c r="Q159" s="8"/>
      <c r="R159" s="8"/>
      <c r="S159" s="8"/>
    </row>
    <row r="160" spans="1:19" ht="15.75" customHeight="1">
      <c r="A160" s="8">
        <v>113228780</v>
      </c>
      <c r="B160" s="8" t="s">
        <v>8646</v>
      </c>
      <c r="C160" s="8" t="s">
        <v>8647</v>
      </c>
      <c r="D160" s="8" t="s">
        <v>681</v>
      </c>
      <c r="E160" s="9">
        <v>79006427495</v>
      </c>
      <c r="F160" s="8" t="s">
        <v>8648</v>
      </c>
      <c r="G160" s="9">
        <v>55</v>
      </c>
      <c r="H160" s="8" t="s">
        <v>8164</v>
      </c>
      <c r="I160" s="8" t="s">
        <v>8649</v>
      </c>
      <c r="J160" s="8"/>
      <c r="K160" s="8"/>
      <c r="L160" s="8"/>
      <c r="M160" s="8"/>
      <c r="N160" s="8"/>
      <c r="O160" s="8"/>
      <c r="P160" s="8"/>
      <c r="Q160" s="8"/>
      <c r="R160" s="8"/>
      <c r="S160" s="8"/>
    </row>
    <row r="161" spans="1:19" ht="15.75" customHeight="1">
      <c r="A161" s="8">
        <v>113421295</v>
      </c>
      <c r="B161" s="8" t="s">
        <v>8614</v>
      </c>
      <c r="C161" s="8" t="s">
        <v>8650</v>
      </c>
      <c r="D161" s="8" t="s">
        <v>544</v>
      </c>
      <c r="E161" s="9" t="s">
        <v>545</v>
      </c>
      <c r="F161" s="8"/>
      <c r="G161" s="9"/>
      <c r="H161" s="8" t="s">
        <v>8267</v>
      </c>
      <c r="I161" s="8" t="s">
        <v>8272</v>
      </c>
      <c r="J161" s="8"/>
      <c r="K161" s="8"/>
      <c r="L161" s="8"/>
      <c r="M161" s="8"/>
      <c r="N161" s="8"/>
      <c r="O161" s="8"/>
      <c r="P161" s="8"/>
      <c r="Q161" s="8" t="s">
        <v>8161</v>
      </c>
      <c r="R161" s="8"/>
      <c r="S161" s="8"/>
    </row>
    <row r="162" spans="1:19" ht="15.75" customHeight="1">
      <c r="A162" s="8">
        <v>113703450</v>
      </c>
      <c r="B162" s="8" t="s">
        <v>8206</v>
      </c>
      <c r="C162" s="8" t="s">
        <v>8651</v>
      </c>
      <c r="D162" s="8" t="s">
        <v>24</v>
      </c>
      <c r="E162" s="9" t="s">
        <v>25</v>
      </c>
      <c r="F162" s="8"/>
      <c r="G162" s="9"/>
      <c r="H162" s="8" t="s">
        <v>8652</v>
      </c>
      <c r="I162" s="8" t="s">
        <v>8652</v>
      </c>
      <c r="J162" s="8" t="s">
        <v>8653</v>
      </c>
      <c r="K162" s="8"/>
      <c r="L162" s="8"/>
      <c r="M162" s="8"/>
      <c r="N162" s="8"/>
      <c r="O162" s="8"/>
      <c r="P162" s="8" t="s">
        <v>8171</v>
      </c>
      <c r="Q162" s="8"/>
      <c r="R162" s="8"/>
      <c r="S162" s="8"/>
    </row>
    <row r="163" spans="1:19" ht="15.75" customHeight="1">
      <c r="A163" s="8">
        <v>113793863</v>
      </c>
      <c r="B163" s="8" t="s">
        <v>8654</v>
      </c>
      <c r="C163" s="8" t="s">
        <v>8655</v>
      </c>
      <c r="D163" s="8" t="s">
        <v>58</v>
      </c>
      <c r="E163" s="9" t="s">
        <v>59</v>
      </c>
      <c r="F163" s="8"/>
      <c r="G163" s="9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</row>
    <row r="164" spans="1:19" ht="15.75" customHeight="1">
      <c r="A164" s="8">
        <v>114710165</v>
      </c>
      <c r="B164" s="8" t="s">
        <v>8390</v>
      </c>
      <c r="C164" s="8" t="s">
        <v>8656</v>
      </c>
      <c r="D164" s="8" t="s">
        <v>262</v>
      </c>
      <c r="E164" s="9">
        <v>79181351575</v>
      </c>
      <c r="F164" s="8"/>
      <c r="G164" s="9"/>
      <c r="H164" s="8" t="s">
        <v>8164</v>
      </c>
      <c r="I164" s="8" t="s">
        <v>8657</v>
      </c>
      <c r="J164" s="8"/>
      <c r="K164" s="8"/>
      <c r="L164" s="8"/>
      <c r="M164" s="8"/>
      <c r="N164" s="8"/>
      <c r="O164" s="8"/>
      <c r="P164" s="8"/>
      <c r="Q164" s="8"/>
      <c r="R164" s="8"/>
      <c r="S164" s="8"/>
    </row>
    <row r="165" spans="1:19" ht="15.75" customHeight="1">
      <c r="A165" s="8">
        <v>115950675</v>
      </c>
      <c r="B165" s="8" t="s">
        <v>8658</v>
      </c>
      <c r="C165" s="8" t="s">
        <v>8659</v>
      </c>
      <c r="D165" s="8" t="s">
        <v>563</v>
      </c>
      <c r="E165" s="9" t="s">
        <v>564</v>
      </c>
      <c r="F165" s="8"/>
      <c r="G165" s="9"/>
      <c r="H165" s="8" t="s">
        <v>8164</v>
      </c>
      <c r="I165" s="8" t="s">
        <v>8191</v>
      </c>
      <c r="J165" s="8"/>
      <c r="K165" s="8"/>
      <c r="L165" s="8"/>
      <c r="M165" s="8"/>
      <c r="N165" s="8"/>
      <c r="O165" s="8"/>
      <c r="P165" s="8"/>
      <c r="Q165" s="8"/>
      <c r="R165" s="8"/>
      <c r="S165" s="8"/>
    </row>
    <row r="166" spans="1:19" ht="15.75" customHeight="1">
      <c r="A166" s="8">
        <v>117177707</v>
      </c>
      <c r="B166" s="8" t="s">
        <v>8186</v>
      </c>
      <c r="C166" s="8" t="s">
        <v>8660</v>
      </c>
      <c r="D166" s="8" t="s">
        <v>909</v>
      </c>
      <c r="E166" s="9" t="s">
        <v>910</v>
      </c>
      <c r="F166" s="8"/>
      <c r="G166" s="9"/>
      <c r="H166" s="8" t="s">
        <v>8222</v>
      </c>
      <c r="I166" s="8" t="s">
        <v>8412</v>
      </c>
      <c r="J166" s="8"/>
      <c r="K166" s="8"/>
      <c r="L166" s="8"/>
      <c r="M166" s="8"/>
      <c r="N166" s="8"/>
      <c r="O166" s="8"/>
      <c r="P166" s="8"/>
      <c r="Q166" s="8"/>
      <c r="R166" s="8"/>
      <c r="S166" s="8"/>
    </row>
    <row r="167" spans="1:19" ht="15.75" customHeight="1">
      <c r="A167" s="8">
        <v>117476649</v>
      </c>
      <c r="B167" s="8" t="s">
        <v>8581</v>
      </c>
      <c r="C167" s="8" t="s">
        <v>8661</v>
      </c>
      <c r="D167" s="8" t="s">
        <v>1256</v>
      </c>
      <c r="E167" s="9" t="s">
        <v>1257</v>
      </c>
      <c r="F167" s="8" t="s">
        <v>8662</v>
      </c>
      <c r="G167" s="9">
        <v>50</v>
      </c>
      <c r="H167" s="8" t="s">
        <v>8158</v>
      </c>
      <c r="I167" s="8" t="s">
        <v>8663</v>
      </c>
      <c r="J167" s="8"/>
      <c r="K167" s="8"/>
      <c r="L167" s="8"/>
      <c r="M167" s="8"/>
      <c r="N167" s="8"/>
      <c r="O167" s="8"/>
      <c r="P167" s="8"/>
      <c r="Q167" s="8"/>
      <c r="R167" s="8"/>
      <c r="S167" s="8"/>
    </row>
    <row r="168" spans="1:19" ht="15.75" customHeight="1">
      <c r="A168" s="8">
        <v>117519061</v>
      </c>
      <c r="B168" s="8" t="s">
        <v>8664</v>
      </c>
      <c r="C168" s="8" t="s">
        <v>8665</v>
      </c>
      <c r="D168" s="8" t="s">
        <v>527</v>
      </c>
      <c r="E168" s="9" t="s">
        <v>528</v>
      </c>
      <c r="F168" s="8" t="s">
        <v>8666</v>
      </c>
      <c r="G168" s="9">
        <v>51</v>
      </c>
      <c r="H168" s="8" t="s">
        <v>8356</v>
      </c>
      <c r="I168" s="8" t="s">
        <v>8441</v>
      </c>
      <c r="J168" s="8" t="s">
        <v>8665</v>
      </c>
      <c r="K168" s="8"/>
      <c r="L168" s="8"/>
      <c r="M168" s="8"/>
      <c r="N168" s="8"/>
      <c r="O168" s="8"/>
      <c r="P168" s="8"/>
      <c r="Q168" s="8"/>
      <c r="R168" s="8"/>
      <c r="S168" s="8"/>
    </row>
    <row r="169" spans="1:19" ht="15.75" customHeight="1">
      <c r="A169" s="8">
        <v>119031728</v>
      </c>
      <c r="B169" s="8" t="s">
        <v>8479</v>
      </c>
      <c r="C169" s="8" t="s">
        <v>8667</v>
      </c>
      <c r="D169" s="8" t="s">
        <v>808</v>
      </c>
      <c r="E169" s="9">
        <v>79035433222</v>
      </c>
      <c r="F169" s="8"/>
      <c r="G169" s="9"/>
      <c r="H169" s="8" t="s">
        <v>8164</v>
      </c>
      <c r="I169" s="8" t="s">
        <v>8668</v>
      </c>
      <c r="J169" s="8"/>
      <c r="K169" s="8"/>
      <c r="L169" s="8"/>
      <c r="M169" s="8"/>
      <c r="N169" s="8"/>
      <c r="O169" s="8"/>
      <c r="P169" s="8"/>
      <c r="Q169" s="8"/>
      <c r="R169" s="8"/>
      <c r="S169" s="8"/>
    </row>
    <row r="170" spans="1:19" ht="15.75" customHeight="1">
      <c r="A170" s="8">
        <v>121548126</v>
      </c>
      <c r="B170" s="8" t="s">
        <v>8669</v>
      </c>
      <c r="C170" s="8" t="s">
        <v>8670</v>
      </c>
      <c r="D170" s="8" t="s">
        <v>387</v>
      </c>
      <c r="E170" s="9" t="s">
        <v>388</v>
      </c>
      <c r="F170" s="8"/>
      <c r="G170" s="9"/>
      <c r="H170" s="8" t="s">
        <v>8241</v>
      </c>
      <c r="I170" s="8" t="s">
        <v>8671</v>
      </c>
      <c r="J170" s="8" t="s">
        <v>8672</v>
      </c>
      <c r="K170" s="8"/>
      <c r="L170" s="8"/>
      <c r="M170" s="8"/>
      <c r="N170" s="8"/>
      <c r="O170" s="8"/>
      <c r="P170" s="8"/>
      <c r="Q170" s="8"/>
      <c r="R170" s="8"/>
      <c r="S170" s="8"/>
    </row>
    <row r="171" spans="1:19" ht="15.75" customHeight="1">
      <c r="A171" s="8">
        <v>121640640</v>
      </c>
      <c r="B171" s="8" t="s">
        <v>8304</v>
      </c>
      <c r="C171" s="8" t="s">
        <v>8673</v>
      </c>
      <c r="D171" s="8" t="s">
        <v>1169</v>
      </c>
      <c r="E171" s="9">
        <v>79265456107</v>
      </c>
      <c r="F171" s="8"/>
      <c r="G171" s="9"/>
      <c r="H171" s="8" t="s">
        <v>8164</v>
      </c>
      <c r="I171" s="8" t="s">
        <v>8245</v>
      </c>
      <c r="J171" s="8"/>
      <c r="K171" s="8"/>
      <c r="L171" s="8"/>
      <c r="M171" s="8"/>
      <c r="N171" s="8"/>
      <c r="O171" s="8"/>
      <c r="P171" s="8"/>
      <c r="Q171" s="8"/>
      <c r="R171" s="8"/>
      <c r="S171" s="8"/>
    </row>
    <row r="172" spans="1:19" ht="15.75" customHeight="1">
      <c r="A172" s="8">
        <v>122087340</v>
      </c>
      <c r="B172" s="8" t="s">
        <v>8674</v>
      </c>
      <c r="C172" s="8" t="s">
        <v>8675</v>
      </c>
      <c r="D172" s="8" t="s">
        <v>429</v>
      </c>
      <c r="E172" s="9" t="s">
        <v>430</v>
      </c>
      <c r="F172" s="8"/>
      <c r="G172" s="9"/>
      <c r="H172" s="8" t="s">
        <v>8164</v>
      </c>
      <c r="I172" s="8" t="s">
        <v>8676</v>
      </c>
      <c r="J172" s="8"/>
      <c r="K172" s="8"/>
      <c r="L172" s="8"/>
      <c r="M172" s="8"/>
      <c r="N172" s="8"/>
      <c r="O172" s="8"/>
      <c r="P172" s="8"/>
      <c r="Q172" s="8"/>
      <c r="R172" s="8"/>
      <c r="S172" s="8"/>
    </row>
    <row r="173" spans="1:19" ht="15.75" customHeight="1">
      <c r="A173" s="8">
        <v>122382624</v>
      </c>
      <c r="B173" s="8" t="s">
        <v>8677</v>
      </c>
      <c r="C173" s="8" t="s">
        <v>8678</v>
      </c>
      <c r="D173" s="8" t="s">
        <v>717</v>
      </c>
      <c r="E173" s="9" t="s">
        <v>718</v>
      </c>
      <c r="F173" s="8" t="s">
        <v>8679</v>
      </c>
      <c r="G173" s="9">
        <v>51</v>
      </c>
      <c r="H173" s="8" t="s">
        <v>8164</v>
      </c>
      <c r="I173" s="8" t="s">
        <v>8208</v>
      </c>
      <c r="J173" s="8"/>
      <c r="K173" s="8"/>
      <c r="L173" s="8"/>
      <c r="M173" s="8"/>
      <c r="N173" s="8"/>
      <c r="O173" s="8"/>
      <c r="P173" s="8"/>
      <c r="Q173" s="8"/>
      <c r="R173" s="8"/>
      <c r="S173" s="8"/>
    </row>
    <row r="174" spans="1:19" ht="15.75" customHeight="1">
      <c r="A174" s="8">
        <v>122385279</v>
      </c>
      <c r="B174" s="8" t="s">
        <v>9</v>
      </c>
      <c r="C174" s="8"/>
      <c r="D174" s="8" t="s">
        <v>10</v>
      </c>
      <c r="E174" s="9"/>
      <c r="F174" s="8"/>
      <c r="G174" s="9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</row>
    <row r="175" spans="1:19" ht="15.75" customHeight="1">
      <c r="A175" s="8">
        <v>122473481</v>
      </c>
      <c r="B175" s="8" t="s">
        <v>8162</v>
      </c>
      <c r="C175" s="8" t="s">
        <v>8680</v>
      </c>
      <c r="D175" s="8" t="s">
        <v>1204</v>
      </c>
      <c r="E175" s="9" t="s">
        <v>1205</v>
      </c>
      <c r="F175" s="8"/>
      <c r="G175" s="9"/>
      <c r="H175" s="8" t="s">
        <v>8222</v>
      </c>
      <c r="I175" s="8" t="s">
        <v>8681</v>
      </c>
      <c r="J175" s="8"/>
      <c r="K175" s="8"/>
      <c r="L175" s="8"/>
      <c r="M175" s="8"/>
      <c r="N175" s="8"/>
      <c r="O175" s="8"/>
      <c r="P175" s="8"/>
      <c r="Q175" s="8"/>
      <c r="R175" s="8"/>
      <c r="S175" s="8"/>
    </row>
    <row r="176" spans="1:19" ht="15.75" customHeight="1">
      <c r="A176" s="8">
        <v>122542795</v>
      </c>
      <c r="B176" s="8" t="s">
        <v>8682</v>
      </c>
      <c r="C176" s="8" t="s">
        <v>8683</v>
      </c>
      <c r="D176" s="8" t="s">
        <v>265</v>
      </c>
      <c r="E176" s="9" t="s">
        <v>266</v>
      </c>
      <c r="F176" s="8"/>
      <c r="G176" s="9"/>
      <c r="H176" s="8" t="s">
        <v>8183</v>
      </c>
      <c r="I176" s="8" t="s">
        <v>8184</v>
      </c>
      <c r="J176" s="8"/>
      <c r="K176" s="8"/>
      <c r="L176" s="8"/>
      <c r="M176" s="8"/>
      <c r="N176" s="8"/>
      <c r="O176" s="8"/>
      <c r="P176" s="8"/>
      <c r="Q176" s="8"/>
      <c r="R176" s="8"/>
      <c r="S176" s="8"/>
    </row>
    <row r="177" spans="1:19" ht="15.75" customHeight="1">
      <c r="A177" s="8">
        <v>123081043</v>
      </c>
      <c r="B177" s="8" t="s">
        <v>8684</v>
      </c>
      <c r="C177" s="8" t="s">
        <v>8685</v>
      </c>
      <c r="D177" s="8" t="s">
        <v>157</v>
      </c>
      <c r="E177" s="9" t="s">
        <v>158</v>
      </c>
      <c r="F177" s="8" t="s">
        <v>8686</v>
      </c>
      <c r="G177" s="9">
        <v>31</v>
      </c>
      <c r="H177" s="8" t="s">
        <v>8164</v>
      </c>
      <c r="I177" s="8" t="s">
        <v>8214</v>
      </c>
      <c r="J177" s="8"/>
      <c r="K177" s="8"/>
      <c r="L177" s="8"/>
      <c r="M177" s="8"/>
      <c r="N177" s="8"/>
      <c r="O177" s="8"/>
      <c r="P177" s="8"/>
      <c r="Q177" s="8"/>
      <c r="R177" s="8"/>
      <c r="S177" s="8"/>
    </row>
    <row r="178" spans="1:19" ht="15.75" customHeight="1">
      <c r="A178" s="8">
        <v>124068528</v>
      </c>
      <c r="B178" s="8" t="s">
        <v>7768</v>
      </c>
      <c r="C178" s="8" t="s">
        <v>8687</v>
      </c>
      <c r="D178" s="8" t="s">
        <v>733</v>
      </c>
      <c r="E178" s="9" t="s">
        <v>734</v>
      </c>
      <c r="F178" s="8"/>
      <c r="G178" s="9"/>
      <c r="H178" s="8" t="s">
        <v>8164</v>
      </c>
      <c r="I178" s="8" t="s">
        <v>8191</v>
      </c>
      <c r="J178" s="8" t="s">
        <v>8688</v>
      </c>
      <c r="K178" s="8"/>
      <c r="L178" s="8"/>
      <c r="M178" s="8"/>
      <c r="N178" s="8"/>
      <c r="O178" s="8"/>
      <c r="P178" s="8" t="s">
        <v>8171</v>
      </c>
      <c r="Q178" s="8"/>
      <c r="R178" s="8"/>
      <c r="S178" s="8"/>
    </row>
    <row r="179" spans="1:19" ht="15.75" customHeight="1">
      <c r="A179" s="8">
        <v>124951700</v>
      </c>
      <c r="B179" s="8" t="s">
        <v>8689</v>
      </c>
      <c r="C179" s="8" t="s">
        <v>8690</v>
      </c>
      <c r="D179" s="8" t="s">
        <v>548</v>
      </c>
      <c r="E179" s="9" t="s">
        <v>549</v>
      </c>
      <c r="F179" s="8"/>
      <c r="G179" s="9"/>
      <c r="H179" s="8" t="s">
        <v>8164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</row>
    <row r="180" spans="1:19" ht="15.75" customHeight="1">
      <c r="A180" s="8">
        <v>126369311</v>
      </c>
      <c r="B180" s="8" t="s">
        <v>8186</v>
      </c>
      <c r="C180" s="8" t="s">
        <v>8691</v>
      </c>
      <c r="D180" s="8" t="s">
        <v>1021</v>
      </c>
      <c r="E180" s="9">
        <v>79250659075</v>
      </c>
      <c r="F180" s="8" t="s">
        <v>8692</v>
      </c>
      <c r="G180" s="9">
        <v>52</v>
      </c>
      <c r="H180" s="8" t="s">
        <v>8693</v>
      </c>
      <c r="I180" s="8" t="s">
        <v>8165</v>
      </c>
      <c r="J180" s="8"/>
      <c r="K180" s="8"/>
      <c r="L180" s="8"/>
      <c r="M180" s="8"/>
      <c r="N180" s="8"/>
      <c r="O180" s="8"/>
      <c r="P180" s="8"/>
      <c r="Q180" s="8"/>
      <c r="R180" s="8"/>
      <c r="S180" s="8"/>
    </row>
    <row r="181" spans="1:19" ht="15.75" customHeight="1">
      <c r="A181" s="8">
        <v>126386484</v>
      </c>
      <c r="B181" s="8" t="s">
        <v>8694</v>
      </c>
      <c r="C181" s="8" t="s">
        <v>8695</v>
      </c>
      <c r="D181" s="8" t="s">
        <v>313</v>
      </c>
      <c r="E181" s="9">
        <v>79082896868</v>
      </c>
      <c r="F181" s="8"/>
      <c r="G181" s="9"/>
      <c r="H181" s="8" t="s">
        <v>8164</v>
      </c>
      <c r="I181" s="8" t="s">
        <v>8696</v>
      </c>
      <c r="J181" s="8"/>
      <c r="K181" s="8"/>
      <c r="L181" s="8"/>
      <c r="M181" s="8"/>
      <c r="N181" s="8"/>
      <c r="O181" s="8"/>
      <c r="P181" s="8"/>
      <c r="Q181" s="8"/>
      <c r="R181" s="8"/>
      <c r="S181" s="8"/>
    </row>
    <row r="182" spans="1:19" ht="15.75" customHeight="1">
      <c r="A182" s="8">
        <v>126574177</v>
      </c>
      <c r="B182" s="8" t="s">
        <v>8697</v>
      </c>
      <c r="C182" s="8" t="s">
        <v>8698</v>
      </c>
      <c r="D182" s="8" t="s">
        <v>759</v>
      </c>
      <c r="E182" s="9" t="s">
        <v>760</v>
      </c>
      <c r="F182" s="8"/>
      <c r="G182" s="9"/>
      <c r="H182" s="8" t="s">
        <v>8164</v>
      </c>
      <c r="I182" s="8" t="s">
        <v>8699</v>
      </c>
      <c r="J182" s="8"/>
      <c r="K182" s="8"/>
      <c r="L182" s="8"/>
      <c r="M182" s="8"/>
      <c r="N182" s="8"/>
      <c r="O182" s="8"/>
      <c r="P182" s="8"/>
      <c r="Q182" s="8"/>
      <c r="R182" s="8"/>
      <c r="S182" s="8"/>
    </row>
    <row r="183" spans="1:19" ht="15.75" customHeight="1">
      <c r="A183" s="8">
        <v>126795043</v>
      </c>
      <c r="B183" s="8" t="s">
        <v>8700</v>
      </c>
      <c r="C183" s="8" t="s">
        <v>8701</v>
      </c>
      <c r="D183" s="8" t="s">
        <v>175</v>
      </c>
      <c r="E183" s="9" t="s">
        <v>176</v>
      </c>
      <c r="F183" s="8" t="s">
        <v>8702</v>
      </c>
      <c r="G183" s="9">
        <v>37</v>
      </c>
      <c r="H183" s="8" t="s">
        <v>8463</v>
      </c>
      <c r="I183" s="8" t="s">
        <v>8703</v>
      </c>
      <c r="J183" s="8"/>
      <c r="K183" s="8"/>
      <c r="L183" s="8"/>
      <c r="M183" s="8"/>
      <c r="N183" s="8"/>
      <c r="O183" s="8"/>
      <c r="P183" s="8"/>
      <c r="Q183" s="8"/>
      <c r="R183" s="8"/>
      <c r="S183" s="8"/>
    </row>
    <row r="184" spans="1:19" ht="15.75" customHeight="1">
      <c r="A184" s="8">
        <v>126816775</v>
      </c>
      <c r="B184" s="8" t="s">
        <v>8704</v>
      </c>
      <c r="C184" s="8" t="s">
        <v>8705</v>
      </c>
      <c r="D184" s="8" t="s">
        <v>348</v>
      </c>
      <c r="E184" s="9">
        <v>79173419788</v>
      </c>
      <c r="F184" s="8" t="s">
        <v>8706</v>
      </c>
      <c r="G184" s="9">
        <v>54</v>
      </c>
      <c r="H184" s="8" t="s">
        <v>8164</v>
      </c>
      <c r="I184" s="8" t="s">
        <v>8707</v>
      </c>
      <c r="J184" s="8"/>
      <c r="K184" s="8"/>
      <c r="L184" s="8"/>
      <c r="M184" s="8"/>
      <c r="N184" s="8"/>
      <c r="O184" s="8"/>
      <c r="P184" s="8"/>
      <c r="Q184" s="8" t="s">
        <v>8161</v>
      </c>
      <c r="R184" s="8"/>
      <c r="S184" s="8"/>
    </row>
    <row r="185" spans="1:19" ht="15.75" customHeight="1">
      <c r="A185" s="8">
        <v>127020556</v>
      </c>
      <c r="B185" s="8" t="s">
        <v>8708</v>
      </c>
      <c r="C185" s="8" t="s">
        <v>8709</v>
      </c>
      <c r="D185" s="8" t="s">
        <v>659</v>
      </c>
      <c r="E185" s="9" t="s">
        <v>660</v>
      </c>
      <c r="F185" s="8"/>
      <c r="G185" s="9"/>
      <c r="H185" s="8" t="s">
        <v>8547</v>
      </c>
      <c r="I185" s="8" t="s">
        <v>8710</v>
      </c>
      <c r="J185" s="8"/>
      <c r="K185" s="8"/>
      <c r="L185" s="8"/>
      <c r="M185" s="8"/>
      <c r="N185" s="8"/>
      <c r="O185" s="8"/>
      <c r="P185" s="8"/>
      <c r="Q185" s="8"/>
      <c r="R185" s="8"/>
      <c r="S185" s="8"/>
    </row>
    <row r="186" spans="1:19" ht="15.75" customHeight="1">
      <c r="A186" s="8">
        <v>127549104</v>
      </c>
      <c r="B186" s="8" t="s">
        <v>8643</v>
      </c>
      <c r="C186" s="8" t="s">
        <v>8711</v>
      </c>
      <c r="D186" s="8" t="s">
        <v>179</v>
      </c>
      <c r="E186" s="9" t="s">
        <v>180</v>
      </c>
      <c r="F186" s="8" t="s">
        <v>8712</v>
      </c>
      <c r="G186" s="9">
        <v>54</v>
      </c>
      <c r="H186" s="8" t="s">
        <v>8179</v>
      </c>
      <c r="I186" s="8" t="s">
        <v>8180</v>
      </c>
      <c r="J186" s="8" t="s">
        <v>8713</v>
      </c>
      <c r="K186" s="8"/>
      <c r="L186" s="8" t="s">
        <v>8167</v>
      </c>
      <c r="M186" s="8" t="s">
        <v>8176</v>
      </c>
      <c r="N186" s="8" t="s">
        <v>8169</v>
      </c>
      <c r="O186" s="8" t="s">
        <v>8170</v>
      </c>
      <c r="P186" s="8" t="s">
        <v>8171</v>
      </c>
      <c r="Q186" s="8" t="s">
        <v>8161</v>
      </c>
      <c r="R186" s="8"/>
      <c r="S186" s="8"/>
    </row>
    <row r="187" spans="1:19" ht="15.75" customHeight="1">
      <c r="A187" s="8">
        <v>131378664</v>
      </c>
      <c r="B187" s="8" t="s">
        <v>8431</v>
      </c>
      <c r="C187" s="8" t="s">
        <v>8714</v>
      </c>
      <c r="D187" s="8" t="s">
        <v>1245</v>
      </c>
      <c r="E187" s="9" t="s">
        <v>1246</v>
      </c>
      <c r="F187" s="8"/>
      <c r="G187" s="9"/>
      <c r="H187" s="8" t="s">
        <v>8715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</row>
    <row r="188" spans="1:19" ht="15.75" customHeight="1">
      <c r="A188" s="8">
        <v>132163269</v>
      </c>
      <c r="B188" s="8" t="s">
        <v>8444</v>
      </c>
      <c r="C188" s="8" t="s">
        <v>8716</v>
      </c>
      <c r="D188" s="8" t="s">
        <v>366</v>
      </c>
      <c r="E188" s="9">
        <v>79266941242</v>
      </c>
      <c r="F188" s="8"/>
      <c r="G188" s="9"/>
      <c r="H188" s="8" t="s">
        <v>8164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</row>
    <row r="189" spans="1:19" ht="15.75" customHeight="1">
      <c r="A189" s="8">
        <v>132764699</v>
      </c>
      <c r="B189" s="8" t="s">
        <v>8717</v>
      </c>
      <c r="C189" s="8" t="s">
        <v>8718</v>
      </c>
      <c r="D189" s="8" t="s">
        <v>1291</v>
      </c>
      <c r="E189" s="9" t="s">
        <v>1292</v>
      </c>
      <c r="F189" s="8"/>
      <c r="G189" s="9"/>
      <c r="H189" s="8" t="s">
        <v>8719</v>
      </c>
      <c r="I189" s="8" t="s">
        <v>8720</v>
      </c>
      <c r="J189" s="8"/>
      <c r="K189" s="8"/>
      <c r="L189" s="8"/>
      <c r="M189" s="8"/>
      <c r="N189" s="8"/>
      <c r="O189" s="8"/>
      <c r="P189" s="8"/>
      <c r="Q189" s="8"/>
      <c r="R189" s="8"/>
      <c r="S189" s="8"/>
    </row>
    <row r="190" spans="1:19" ht="15.75" customHeight="1">
      <c r="A190" s="8">
        <v>132839354</v>
      </c>
      <c r="B190" s="8" t="s">
        <v>8721</v>
      </c>
      <c r="C190" s="8" t="s">
        <v>8722</v>
      </c>
      <c r="D190" s="8" t="s">
        <v>1301</v>
      </c>
      <c r="E190" s="9">
        <v>79253458788</v>
      </c>
      <c r="F190" s="8"/>
      <c r="G190" s="9"/>
      <c r="H190" s="8" t="s">
        <v>8164</v>
      </c>
      <c r="I190" s="8" t="s">
        <v>8165</v>
      </c>
      <c r="J190" s="8"/>
      <c r="K190" s="8"/>
      <c r="L190" s="8"/>
      <c r="M190" s="8"/>
      <c r="N190" s="8"/>
      <c r="O190" s="8"/>
      <c r="P190" s="8"/>
      <c r="Q190" s="8"/>
      <c r="R190" s="8"/>
      <c r="S190" s="8"/>
    </row>
    <row r="191" spans="1:19" ht="15.75" customHeight="1">
      <c r="A191" s="8">
        <v>133756252</v>
      </c>
      <c r="B191" s="8" t="s">
        <v>7875</v>
      </c>
      <c r="C191" s="8" t="s">
        <v>8723</v>
      </c>
      <c r="D191" s="8" t="s">
        <v>1007</v>
      </c>
      <c r="E191" s="9" t="s">
        <v>1008</v>
      </c>
      <c r="F191" s="8"/>
      <c r="G191" s="9"/>
      <c r="H191" s="8" t="s">
        <v>8267</v>
      </c>
      <c r="I191" s="8" t="s">
        <v>8724</v>
      </c>
      <c r="J191" s="8"/>
      <c r="K191" s="8"/>
      <c r="L191" s="8"/>
      <c r="M191" s="8"/>
      <c r="N191" s="8"/>
      <c r="O191" s="8"/>
      <c r="P191" s="8"/>
      <c r="Q191" s="8"/>
      <c r="R191" s="8"/>
      <c r="S191" s="8"/>
    </row>
    <row r="192" spans="1:19" ht="15.75" customHeight="1">
      <c r="A192" s="8">
        <v>137354138</v>
      </c>
      <c r="B192" s="8" t="s">
        <v>7818</v>
      </c>
      <c r="C192" s="8" t="s">
        <v>8725</v>
      </c>
      <c r="D192" s="8" t="s">
        <v>816</v>
      </c>
      <c r="E192" s="9">
        <v>79122969892</v>
      </c>
      <c r="F192" s="8"/>
      <c r="G192" s="9"/>
      <c r="H192" s="8" t="s">
        <v>8164</v>
      </c>
      <c r="I192" s="8" t="s">
        <v>8414</v>
      </c>
      <c r="J192" s="8"/>
      <c r="K192" s="8"/>
      <c r="L192" s="8"/>
      <c r="M192" s="8"/>
      <c r="N192" s="8"/>
      <c r="O192" s="8"/>
      <c r="P192" s="8"/>
      <c r="Q192" s="8"/>
      <c r="R192" s="8"/>
      <c r="S192" s="8"/>
    </row>
    <row r="193" spans="1:19" ht="15.75" customHeight="1">
      <c r="A193" s="8">
        <v>138863844</v>
      </c>
      <c r="B193" s="8" t="s">
        <v>8304</v>
      </c>
      <c r="C193" s="8" t="s">
        <v>8726</v>
      </c>
      <c r="D193" s="8" t="s">
        <v>151</v>
      </c>
      <c r="E193" s="9" t="s">
        <v>152</v>
      </c>
      <c r="F193" s="8" t="s">
        <v>8727</v>
      </c>
      <c r="G193" s="9">
        <v>56</v>
      </c>
      <c r="H193" s="8" t="s">
        <v>8728</v>
      </c>
      <c r="I193" s="8" t="s">
        <v>8281</v>
      </c>
      <c r="J193" s="8"/>
      <c r="K193" s="8"/>
      <c r="L193" s="8"/>
      <c r="M193" s="8"/>
      <c r="N193" s="8"/>
      <c r="O193" s="8"/>
      <c r="P193" s="8"/>
      <c r="Q193" s="8"/>
      <c r="R193" s="8"/>
      <c r="S193" s="8"/>
    </row>
    <row r="194" spans="1:19" ht="15.75" customHeight="1">
      <c r="A194" s="8">
        <v>139104204</v>
      </c>
      <c r="B194" s="8" t="s">
        <v>8301</v>
      </c>
      <c r="C194" s="8" t="s">
        <v>8729</v>
      </c>
      <c r="D194" s="8" t="s">
        <v>756</v>
      </c>
      <c r="E194" s="9">
        <v>79304167961</v>
      </c>
      <c r="F194" s="8" t="s">
        <v>8730</v>
      </c>
      <c r="G194" s="9">
        <v>38</v>
      </c>
      <c r="H194" s="8" t="s">
        <v>8164</v>
      </c>
      <c r="I194" s="8" t="s">
        <v>8699</v>
      </c>
      <c r="J194" s="8"/>
      <c r="K194" s="8"/>
      <c r="L194" s="8"/>
      <c r="M194" s="8"/>
      <c r="N194" s="8"/>
      <c r="O194" s="8"/>
      <c r="P194" s="8"/>
      <c r="Q194" s="8"/>
      <c r="R194" s="8"/>
      <c r="S194" s="8"/>
    </row>
    <row r="195" spans="1:19" ht="15.75" customHeight="1">
      <c r="A195" s="8">
        <v>139285931</v>
      </c>
      <c r="B195" s="8" t="s">
        <v>8731</v>
      </c>
      <c r="C195" s="8" t="s">
        <v>8732</v>
      </c>
      <c r="D195" s="8" t="s">
        <v>1088</v>
      </c>
      <c r="E195" s="9" t="s">
        <v>1089</v>
      </c>
      <c r="F195" s="8" t="s">
        <v>8733</v>
      </c>
      <c r="G195" s="9">
        <v>40</v>
      </c>
      <c r="H195" s="8" t="s">
        <v>8164</v>
      </c>
      <c r="I195" s="8" t="s">
        <v>8191</v>
      </c>
      <c r="J195" s="8"/>
      <c r="K195" s="8"/>
      <c r="L195" s="8"/>
      <c r="M195" s="8"/>
      <c r="N195" s="8"/>
      <c r="O195" s="8"/>
      <c r="P195" s="8"/>
      <c r="Q195" s="8"/>
      <c r="R195" s="8"/>
      <c r="S195" s="8"/>
    </row>
    <row r="196" spans="1:19" ht="15.75" customHeight="1">
      <c r="A196" s="8">
        <v>140807600</v>
      </c>
      <c r="B196" s="8" t="s">
        <v>8734</v>
      </c>
      <c r="C196" s="8" t="s">
        <v>8735</v>
      </c>
      <c r="D196" s="8" t="s">
        <v>979</v>
      </c>
      <c r="E196" s="9">
        <v>87085857725</v>
      </c>
      <c r="F196" s="8"/>
      <c r="G196" s="9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</row>
    <row r="197" spans="1:19" ht="15.75" customHeight="1">
      <c r="A197" s="8">
        <v>141796325</v>
      </c>
      <c r="B197" s="8" t="s">
        <v>8186</v>
      </c>
      <c r="C197" s="8" t="s">
        <v>8736</v>
      </c>
      <c r="D197" s="8" t="s">
        <v>1092</v>
      </c>
      <c r="E197" s="9" t="s">
        <v>1093</v>
      </c>
      <c r="F197" s="8"/>
      <c r="G197" s="9"/>
      <c r="H197" s="8" t="s">
        <v>8262</v>
      </c>
      <c r="I197" s="8" t="s">
        <v>8263</v>
      </c>
      <c r="J197" s="8"/>
      <c r="K197" s="8"/>
      <c r="L197" s="8"/>
      <c r="M197" s="8"/>
      <c r="N197" s="8"/>
      <c r="O197" s="8"/>
      <c r="P197" s="8"/>
      <c r="Q197" s="8"/>
      <c r="R197" s="8"/>
      <c r="S197" s="8"/>
    </row>
    <row r="198" spans="1:19" ht="15.75" customHeight="1">
      <c r="A198" s="8">
        <v>142828764</v>
      </c>
      <c r="B198" s="8" t="s">
        <v>7399</v>
      </c>
      <c r="C198" s="8" t="s">
        <v>8737</v>
      </c>
      <c r="D198" s="8" t="s">
        <v>1268</v>
      </c>
      <c r="E198" s="9" t="s">
        <v>1269</v>
      </c>
      <c r="F198" s="8"/>
      <c r="G198" s="9"/>
      <c r="H198" s="8" t="s">
        <v>8164</v>
      </c>
      <c r="I198" s="8" t="s">
        <v>8738</v>
      </c>
      <c r="J198" s="8" t="s">
        <v>8739</v>
      </c>
      <c r="K198" s="8"/>
      <c r="L198" s="8"/>
      <c r="M198" s="8"/>
      <c r="N198" s="8"/>
      <c r="O198" s="8"/>
      <c r="P198" s="8" t="s">
        <v>8171</v>
      </c>
      <c r="Q198" s="8" t="s">
        <v>8161</v>
      </c>
      <c r="R198" s="8"/>
      <c r="S198" s="8"/>
    </row>
    <row r="199" spans="1:19" ht="15.75" customHeight="1">
      <c r="A199" s="8">
        <v>142861454</v>
      </c>
      <c r="B199" s="8" t="s">
        <v>8740</v>
      </c>
      <c r="C199" s="8" t="s">
        <v>8197</v>
      </c>
      <c r="D199" s="8" t="s">
        <v>37</v>
      </c>
      <c r="E199" s="9" t="s">
        <v>38</v>
      </c>
      <c r="F199" s="8"/>
      <c r="G199" s="9"/>
      <c r="H199" s="8" t="s">
        <v>8164</v>
      </c>
      <c r="I199" s="8" t="s">
        <v>8165</v>
      </c>
      <c r="J199" s="8" t="s">
        <v>8741</v>
      </c>
      <c r="K199" s="8"/>
      <c r="L199" s="8"/>
      <c r="M199" s="8"/>
      <c r="N199" s="8" t="s">
        <v>8169</v>
      </c>
      <c r="O199" s="8"/>
      <c r="P199" s="8" t="s">
        <v>8171</v>
      </c>
      <c r="Q199" s="8" t="s">
        <v>8161</v>
      </c>
      <c r="R199" s="8"/>
      <c r="S199" s="8"/>
    </row>
    <row r="200" spans="1:19" ht="15.75" customHeight="1">
      <c r="A200" s="8">
        <v>143488034</v>
      </c>
      <c r="B200" s="8" t="s">
        <v>8742</v>
      </c>
      <c r="C200" s="8" t="s">
        <v>8743</v>
      </c>
      <c r="D200" s="8" t="s">
        <v>982</v>
      </c>
      <c r="E200" s="9" t="s">
        <v>983</v>
      </c>
      <c r="F200" s="8"/>
      <c r="G200" s="9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</row>
    <row r="201" spans="1:19" ht="15.75" customHeight="1">
      <c r="A201" s="8">
        <v>144419922</v>
      </c>
      <c r="B201" s="8" t="s">
        <v>8373</v>
      </c>
      <c r="C201" s="8" t="s">
        <v>8744</v>
      </c>
      <c r="D201" s="8" t="s">
        <v>1080</v>
      </c>
      <c r="E201" s="9" t="s">
        <v>1081</v>
      </c>
      <c r="F201" s="8"/>
      <c r="G201" s="9"/>
      <c r="H201" s="8" t="s">
        <v>8164</v>
      </c>
      <c r="I201" s="8" t="s">
        <v>8745</v>
      </c>
      <c r="J201" s="8" t="s">
        <v>8746</v>
      </c>
      <c r="K201" s="8"/>
      <c r="L201" s="8"/>
      <c r="M201" s="8"/>
      <c r="N201" s="8"/>
      <c r="O201" s="8"/>
      <c r="P201" s="8"/>
      <c r="Q201" s="8" t="s">
        <v>8161</v>
      </c>
      <c r="R201" s="8"/>
      <c r="S201" s="8"/>
    </row>
    <row r="202" spans="1:19" ht="15.75" customHeight="1">
      <c r="A202" s="8">
        <v>144629472</v>
      </c>
      <c r="B202" s="8" t="s">
        <v>8424</v>
      </c>
      <c r="C202" s="8" t="s">
        <v>8747</v>
      </c>
      <c r="D202" s="8" t="s">
        <v>975</v>
      </c>
      <c r="E202" s="9" t="s">
        <v>976</v>
      </c>
      <c r="F202" s="8"/>
      <c r="G202" s="9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</row>
    <row r="203" spans="1:19" ht="15.75" customHeight="1">
      <c r="A203" s="8">
        <v>144674411</v>
      </c>
      <c r="B203" s="8" t="s">
        <v>8748</v>
      </c>
      <c r="C203" s="8" t="s">
        <v>8749</v>
      </c>
      <c r="D203" s="8" t="s">
        <v>8750</v>
      </c>
      <c r="E203" s="9">
        <v>87059794927</v>
      </c>
      <c r="F203" s="8"/>
      <c r="G203" s="9"/>
      <c r="H203" s="8" t="s">
        <v>8241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</row>
    <row r="204" spans="1:19" ht="15.75" customHeight="1">
      <c r="A204" s="8">
        <v>145077800</v>
      </c>
      <c r="B204" s="8" t="s">
        <v>8398</v>
      </c>
      <c r="C204" s="8" t="s">
        <v>8751</v>
      </c>
      <c r="D204" s="8" t="s">
        <v>237</v>
      </c>
      <c r="E204" s="9" t="s">
        <v>238</v>
      </c>
      <c r="F204" s="8"/>
      <c r="G204" s="9"/>
      <c r="H204" s="8"/>
      <c r="I204" s="8"/>
      <c r="J204" s="8" t="s">
        <v>8752</v>
      </c>
      <c r="K204" s="8"/>
      <c r="L204" s="8"/>
      <c r="M204" s="8"/>
      <c r="N204" s="8" t="s">
        <v>8169</v>
      </c>
      <c r="O204" s="8"/>
      <c r="P204" s="8" t="s">
        <v>8171</v>
      </c>
      <c r="Q204" s="8" t="s">
        <v>8161</v>
      </c>
      <c r="R204" s="8"/>
      <c r="S204" s="8"/>
    </row>
    <row r="205" spans="1:19" ht="15.75" customHeight="1">
      <c r="A205" s="8">
        <v>145642081</v>
      </c>
      <c r="B205" s="8" t="s">
        <v>8753</v>
      </c>
      <c r="C205" s="8" t="s">
        <v>8754</v>
      </c>
      <c r="D205" s="8" t="s">
        <v>629</v>
      </c>
      <c r="E205" s="9" t="s">
        <v>630</v>
      </c>
      <c r="F205" s="8"/>
      <c r="G205" s="9"/>
      <c r="H205" s="8" t="s">
        <v>8463</v>
      </c>
      <c r="I205" s="8" t="s">
        <v>8464</v>
      </c>
      <c r="J205" s="8"/>
      <c r="K205" s="8"/>
      <c r="L205" s="8"/>
      <c r="M205" s="8"/>
      <c r="N205" s="8"/>
      <c r="O205" s="8"/>
      <c r="P205" s="8"/>
      <c r="Q205" s="8"/>
      <c r="R205" s="8"/>
      <c r="S205" s="8"/>
    </row>
    <row r="206" spans="1:19" ht="15.75" customHeight="1">
      <c r="A206" s="8">
        <v>146733643</v>
      </c>
      <c r="B206" s="8" t="s">
        <v>8755</v>
      </c>
      <c r="C206" s="8" t="s">
        <v>8756</v>
      </c>
      <c r="D206" s="8" t="s">
        <v>694</v>
      </c>
      <c r="E206" s="9" t="s">
        <v>695</v>
      </c>
      <c r="F206" s="8"/>
      <c r="G206" s="9"/>
      <c r="H206" s="8" t="s">
        <v>8164</v>
      </c>
      <c r="I206" s="8" t="s">
        <v>8165</v>
      </c>
      <c r="J206" s="8"/>
      <c r="K206" s="8"/>
      <c r="L206" s="8"/>
      <c r="M206" s="8"/>
      <c r="N206" s="8"/>
      <c r="O206" s="8"/>
      <c r="P206" s="8"/>
      <c r="Q206" s="8"/>
      <c r="R206" s="8"/>
      <c r="S206" s="8"/>
    </row>
    <row r="207" spans="1:19" ht="15.75" customHeight="1">
      <c r="A207" s="8">
        <v>146814109</v>
      </c>
      <c r="B207" s="8" t="s">
        <v>8206</v>
      </c>
      <c r="C207" s="8" t="s">
        <v>8757</v>
      </c>
      <c r="D207" s="8" t="s">
        <v>134</v>
      </c>
      <c r="E207" s="9" t="s">
        <v>135</v>
      </c>
      <c r="F207" s="8" t="s">
        <v>8758</v>
      </c>
      <c r="G207" s="9">
        <v>37</v>
      </c>
      <c r="H207" s="8" t="s">
        <v>8164</v>
      </c>
      <c r="I207" s="8" t="s">
        <v>8759</v>
      </c>
      <c r="J207" s="8"/>
      <c r="K207" s="8"/>
      <c r="L207" s="8"/>
      <c r="M207" s="8"/>
      <c r="N207" s="8"/>
      <c r="O207" s="8"/>
      <c r="P207" s="8"/>
      <c r="Q207" s="8"/>
      <c r="R207" s="8"/>
      <c r="S207" s="8"/>
    </row>
    <row r="208" spans="1:19" ht="15.75" customHeight="1">
      <c r="A208" s="8">
        <v>147034549</v>
      </c>
      <c r="B208" s="8" t="s">
        <v>8760</v>
      </c>
      <c r="C208" s="8" t="s">
        <v>8761</v>
      </c>
      <c r="D208" s="8" t="s">
        <v>8762</v>
      </c>
      <c r="E208" s="9">
        <v>375293559319</v>
      </c>
      <c r="F208" s="8"/>
      <c r="G208" s="9"/>
      <c r="H208" s="8" t="s">
        <v>8222</v>
      </c>
      <c r="I208" s="8" t="s">
        <v>8412</v>
      </c>
      <c r="J208" s="8" t="s">
        <v>8763</v>
      </c>
      <c r="K208" s="8"/>
      <c r="L208" s="8" t="s">
        <v>8167</v>
      </c>
      <c r="M208" s="8"/>
      <c r="N208" s="8" t="s">
        <v>8169</v>
      </c>
      <c r="O208" s="8" t="s">
        <v>8170</v>
      </c>
      <c r="P208" s="8"/>
      <c r="Q208" s="8" t="s">
        <v>8161</v>
      </c>
      <c r="R208" s="8"/>
      <c r="S208" s="8"/>
    </row>
    <row r="209" spans="1:19" ht="15.75" customHeight="1">
      <c r="A209" s="8">
        <v>147177911</v>
      </c>
      <c r="B209" s="8" t="s">
        <v>8764</v>
      </c>
      <c r="C209" s="8" t="s">
        <v>8765</v>
      </c>
      <c r="D209" s="8" t="s">
        <v>897</v>
      </c>
      <c r="E209" s="9" t="s">
        <v>898</v>
      </c>
      <c r="F209" s="8"/>
      <c r="G209" s="9"/>
      <c r="H209" s="8" t="s">
        <v>8558</v>
      </c>
      <c r="I209" s="8" t="s">
        <v>8766</v>
      </c>
      <c r="J209" s="8"/>
      <c r="K209" s="8"/>
      <c r="L209" s="8"/>
      <c r="M209" s="8"/>
      <c r="N209" s="8"/>
      <c r="O209" s="8"/>
      <c r="P209" s="8"/>
      <c r="Q209" s="8"/>
      <c r="R209" s="8"/>
      <c r="S209" s="8"/>
    </row>
    <row r="210" spans="1:19" ht="15.75" customHeight="1">
      <c r="A210" s="8">
        <v>147188293</v>
      </c>
      <c r="B210" s="8" t="s">
        <v>8604</v>
      </c>
      <c r="C210" s="8" t="s">
        <v>8767</v>
      </c>
      <c r="D210" s="8" t="s">
        <v>685</v>
      </c>
      <c r="E210" s="9" t="s">
        <v>686</v>
      </c>
      <c r="F210" s="8"/>
      <c r="G210" s="9"/>
      <c r="H210" s="8" t="s">
        <v>8179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</row>
    <row r="211" spans="1:19" ht="15.75" customHeight="1">
      <c r="A211" s="8">
        <v>147468618</v>
      </c>
      <c r="B211" s="8" t="s">
        <v>8304</v>
      </c>
      <c r="C211" s="8" t="s">
        <v>8768</v>
      </c>
      <c r="D211" s="8" t="s">
        <v>534</v>
      </c>
      <c r="E211" s="9" t="s">
        <v>535</v>
      </c>
      <c r="F211" s="8"/>
      <c r="G211" s="9"/>
      <c r="H211" s="8" t="s">
        <v>8179</v>
      </c>
      <c r="I211" s="8" t="s">
        <v>8180</v>
      </c>
      <c r="J211" s="8"/>
      <c r="K211" s="8"/>
      <c r="L211" s="8"/>
      <c r="M211" s="8"/>
      <c r="N211" s="8"/>
      <c r="O211" s="8"/>
      <c r="P211" s="8"/>
      <c r="Q211" s="8"/>
      <c r="R211" s="8"/>
      <c r="S211" s="8"/>
    </row>
    <row r="212" spans="1:19" ht="15.75" customHeight="1">
      <c r="A212" s="8">
        <v>147807369</v>
      </c>
      <c r="B212" s="8"/>
      <c r="C212" s="8"/>
      <c r="D212" s="8" t="s">
        <v>763</v>
      </c>
      <c r="E212" s="9"/>
      <c r="F212" s="8"/>
      <c r="G212" s="9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</row>
    <row r="213" spans="1:19" ht="15.75" customHeight="1">
      <c r="A213" s="8">
        <v>147814075</v>
      </c>
      <c r="B213" s="8" t="s">
        <v>8479</v>
      </c>
      <c r="C213" s="8" t="s">
        <v>8526</v>
      </c>
      <c r="D213" s="8" t="s">
        <v>468</v>
      </c>
      <c r="E213" s="9" t="s">
        <v>469</v>
      </c>
      <c r="F213" s="8" t="s">
        <v>8769</v>
      </c>
      <c r="G213" s="9">
        <v>47</v>
      </c>
      <c r="H213" s="8" t="s">
        <v>8222</v>
      </c>
      <c r="I213" s="8" t="s">
        <v>8412</v>
      </c>
      <c r="J213" s="8" t="s">
        <v>8770</v>
      </c>
      <c r="K213" s="8"/>
      <c r="L213" s="8"/>
      <c r="M213" s="8" t="s">
        <v>8176</v>
      </c>
      <c r="N213" s="8" t="s">
        <v>8169</v>
      </c>
      <c r="O213" s="8" t="s">
        <v>8170</v>
      </c>
      <c r="P213" s="8"/>
      <c r="Q213" s="8"/>
      <c r="R213" s="8"/>
      <c r="S213" s="8"/>
    </row>
    <row r="214" spans="1:19" ht="15.75" customHeight="1">
      <c r="A214" s="8">
        <v>148301586</v>
      </c>
      <c r="B214" s="8" t="s">
        <v>8771</v>
      </c>
      <c r="C214" s="8" t="s">
        <v>8772</v>
      </c>
      <c r="D214" s="8" t="s">
        <v>663</v>
      </c>
      <c r="E214" s="9">
        <v>79373308840</v>
      </c>
      <c r="F214" s="8"/>
      <c r="G214" s="9"/>
      <c r="H214" s="8" t="s">
        <v>8164</v>
      </c>
      <c r="I214" s="8" t="s">
        <v>8707</v>
      </c>
      <c r="J214" s="8"/>
      <c r="K214" s="8"/>
      <c r="L214" s="8"/>
      <c r="M214" s="8"/>
      <c r="N214" s="8"/>
      <c r="O214" s="8"/>
      <c r="P214" s="8"/>
      <c r="Q214" s="8"/>
      <c r="R214" s="8"/>
      <c r="S214" s="8"/>
    </row>
    <row r="215" spans="1:19" ht="15.75" customHeight="1">
      <c r="A215" s="8">
        <v>148477348</v>
      </c>
      <c r="B215" s="8" t="s">
        <v>8773</v>
      </c>
      <c r="C215" s="8" t="s">
        <v>8774</v>
      </c>
      <c r="D215" s="8" t="s">
        <v>972</v>
      </c>
      <c r="E215" s="9">
        <v>87054403988</v>
      </c>
      <c r="F215" s="8"/>
      <c r="G215" s="9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</row>
    <row r="216" spans="1:19" ht="15.75" customHeight="1">
      <c r="A216" s="8">
        <v>148885006</v>
      </c>
      <c r="B216" s="8"/>
      <c r="C216" s="8"/>
      <c r="D216" s="8" t="s">
        <v>8775</v>
      </c>
      <c r="E216" s="9"/>
      <c r="F216" s="8"/>
      <c r="G216" s="9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</row>
    <row r="217" spans="1:19" ht="15.75" customHeight="1">
      <c r="A217" s="8">
        <v>148944080</v>
      </c>
      <c r="B217" s="8" t="s">
        <v>8304</v>
      </c>
      <c r="C217" s="8" t="s">
        <v>8776</v>
      </c>
      <c r="D217" s="8" t="s">
        <v>1055</v>
      </c>
      <c r="E217" s="9">
        <v>87776380782</v>
      </c>
      <c r="F217" s="8"/>
      <c r="G217" s="9"/>
      <c r="H217" s="8" t="s">
        <v>8241</v>
      </c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</row>
    <row r="218" spans="1:19" ht="15.75" customHeight="1">
      <c r="A218" s="8">
        <v>148963430</v>
      </c>
      <c r="B218" s="8" t="s">
        <v>8777</v>
      </c>
      <c r="C218" s="8" t="s">
        <v>8778</v>
      </c>
      <c r="D218" s="8" t="s">
        <v>996</v>
      </c>
      <c r="E218" s="9">
        <v>87766007520</v>
      </c>
      <c r="F218" s="8"/>
      <c r="G218" s="9"/>
      <c r="H218" s="8" t="s">
        <v>8241</v>
      </c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</row>
    <row r="219" spans="1:19" ht="15.75" customHeight="1">
      <c r="A219" s="8">
        <v>149085056</v>
      </c>
      <c r="B219" s="8" t="s">
        <v>8365</v>
      </c>
      <c r="C219" s="8" t="s">
        <v>8779</v>
      </c>
      <c r="D219" s="8" t="s">
        <v>986</v>
      </c>
      <c r="E219" s="9">
        <v>87779540701</v>
      </c>
      <c r="F219" s="8"/>
      <c r="G219" s="9"/>
      <c r="H219" s="8" t="s">
        <v>8780</v>
      </c>
      <c r="I219" s="8" t="s">
        <v>8781</v>
      </c>
      <c r="J219" s="8"/>
      <c r="K219" s="8"/>
      <c r="L219" s="8"/>
      <c r="M219" s="8"/>
      <c r="N219" s="8"/>
      <c r="O219" s="8"/>
      <c r="P219" s="8"/>
      <c r="Q219" s="8"/>
      <c r="R219" s="8"/>
      <c r="S219" s="8"/>
    </row>
    <row r="220" spans="1:19" ht="15.75" customHeight="1">
      <c r="A220" s="8">
        <v>151371228</v>
      </c>
      <c r="B220" s="8" t="s">
        <v>8782</v>
      </c>
      <c r="C220" s="8" t="s">
        <v>8783</v>
      </c>
      <c r="D220" s="8" t="s">
        <v>1186</v>
      </c>
      <c r="E220" s="9" t="s">
        <v>1187</v>
      </c>
      <c r="F220" s="8"/>
      <c r="G220" s="9"/>
      <c r="H220" s="8" t="s">
        <v>8164</v>
      </c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</row>
    <row r="221" spans="1:19" ht="15.75" customHeight="1">
      <c r="A221" s="8">
        <v>151508607</v>
      </c>
      <c r="B221" s="8" t="s">
        <v>8784</v>
      </c>
      <c r="C221" s="8" t="s">
        <v>8785</v>
      </c>
      <c r="D221" s="8" t="s">
        <v>703</v>
      </c>
      <c r="E221" s="9">
        <v>79154962348</v>
      </c>
      <c r="F221" s="8"/>
      <c r="G221" s="9"/>
      <c r="H221" s="8" t="s">
        <v>8164</v>
      </c>
      <c r="I221" s="8" t="s">
        <v>8786</v>
      </c>
      <c r="J221" s="8"/>
      <c r="K221" s="8"/>
      <c r="L221" s="8"/>
      <c r="M221" s="8"/>
      <c r="N221" s="8"/>
      <c r="O221" s="8"/>
      <c r="P221" s="8"/>
      <c r="Q221" s="8"/>
      <c r="R221" s="8"/>
      <c r="S221" s="8"/>
    </row>
    <row r="222" spans="1:19" ht="15.75" customHeight="1">
      <c r="A222" s="8">
        <v>152730179</v>
      </c>
      <c r="B222" s="8" t="s">
        <v>8434</v>
      </c>
      <c r="C222" s="8" t="s">
        <v>8787</v>
      </c>
      <c r="D222" s="8" t="s">
        <v>737</v>
      </c>
      <c r="E222" s="9" t="s">
        <v>738</v>
      </c>
      <c r="F222" s="8" t="s">
        <v>8788</v>
      </c>
      <c r="G222" s="9">
        <v>45</v>
      </c>
      <c r="H222" s="8" t="s">
        <v>8789</v>
      </c>
      <c r="I222" s="8" t="s">
        <v>8790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</row>
    <row r="223" spans="1:19" ht="15.75" customHeight="1">
      <c r="A223" s="8">
        <v>154070083</v>
      </c>
      <c r="B223" s="8" t="s">
        <v>8234</v>
      </c>
      <c r="C223" s="8" t="s">
        <v>8791</v>
      </c>
      <c r="D223" s="8" t="s">
        <v>1110</v>
      </c>
      <c r="E223" s="9" t="s">
        <v>1111</v>
      </c>
      <c r="F223" s="8" t="s">
        <v>8792</v>
      </c>
      <c r="G223" s="9">
        <v>40</v>
      </c>
      <c r="H223" s="8" t="s">
        <v>8164</v>
      </c>
      <c r="I223" s="8" t="s">
        <v>8793</v>
      </c>
      <c r="J223" s="8"/>
      <c r="K223" s="8"/>
      <c r="L223" s="8"/>
      <c r="M223" s="8"/>
      <c r="N223" s="8"/>
      <c r="O223" s="8"/>
      <c r="P223" s="8"/>
      <c r="Q223" s="8"/>
      <c r="R223" s="8"/>
      <c r="S223" s="8"/>
    </row>
    <row r="224" spans="1:19" ht="15.75" customHeight="1">
      <c r="A224" s="8">
        <v>154800795</v>
      </c>
      <c r="B224" s="8" t="s">
        <v>8760</v>
      </c>
      <c r="C224" s="8" t="s">
        <v>8761</v>
      </c>
      <c r="D224" s="8" t="s">
        <v>8794</v>
      </c>
      <c r="E224" s="9">
        <v>293559319</v>
      </c>
      <c r="F224" s="8"/>
      <c r="G224" s="9"/>
      <c r="H224" s="8" t="s">
        <v>8222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</row>
    <row r="225" spans="1:19" ht="15.75" customHeight="1">
      <c r="A225" s="8">
        <v>155473142</v>
      </c>
      <c r="B225" s="8" t="s">
        <v>8279</v>
      </c>
      <c r="C225" s="8" t="s">
        <v>8795</v>
      </c>
      <c r="D225" s="8" t="s">
        <v>449</v>
      </c>
      <c r="E225" s="9" t="s">
        <v>450</v>
      </c>
      <c r="F225" s="8" t="s">
        <v>8796</v>
      </c>
      <c r="G225" s="9">
        <v>41</v>
      </c>
      <c r="H225" s="8" t="s">
        <v>8222</v>
      </c>
      <c r="I225" s="8" t="s">
        <v>8412</v>
      </c>
      <c r="J225" s="8"/>
      <c r="K225" s="8"/>
      <c r="L225" s="8"/>
      <c r="M225" s="8"/>
      <c r="N225" s="8"/>
      <c r="O225" s="8"/>
      <c r="P225" s="8"/>
      <c r="Q225" s="8"/>
      <c r="R225" s="8"/>
      <c r="S225" s="8"/>
    </row>
    <row r="226" spans="1:19" ht="15.75" customHeight="1">
      <c r="A226" s="8">
        <v>157340922</v>
      </c>
      <c r="B226" s="8" t="s">
        <v>8797</v>
      </c>
      <c r="C226" s="8" t="s">
        <v>8798</v>
      </c>
      <c r="D226" s="8" t="s">
        <v>256</v>
      </c>
      <c r="E226" s="9" t="s">
        <v>257</v>
      </c>
      <c r="F226" s="8"/>
      <c r="G226" s="9"/>
      <c r="H226" s="8" t="s">
        <v>8463</v>
      </c>
      <c r="I226" s="8" t="s">
        <v>8799</v>
      </c>
      <c r="J226" s="8"/>
      <c r="K226" s="8"/>
      <c r="L226" s="8"/>
      <c r="M226" s="8"/>
      <c r="N226" s="8"/>
      <c r="O226" s="8"/>
      <c r="P226" s="8"/>
      <c r="Q226" s="8"/>
      <c r="R226" s="8"/>
      <c r="S226" s="8"/>
    </row>
    <row r="227" spans="1:19" ht="15.75" customHeight="1">
      <c r="A227" s="8">
        <v>157826361</v>
      </c>
      <c r="B227" s="8" t="s">
        <v>8717</v>
      </c>
      <c r="C227" s="8" t="s">
        <v>8800</v>
      </c>
      <c r="D227" s="8" t="s">
        <v>713</v>
      </c>
      <c r="E227" s="9">
        <v>79250796033</v>
      </c>
      <c r="F227" s="8" t="s">
        <v>8801</v>
      </c>
      <c r="G227" s="9">
        <v>33</v>
      </c>
      <c r="H227" s="8" t="s">
        <v>8164</v>
      </c>
      <c r="I227" s="8" t="s">
        <v>8165</v>
      </c>
      <c r="J227" s="8"/>
      <c r="K227" s="8"/>
      <c r="L227" s="8"/>
      <c r="M227" s="8"/>
      <c r="N227" s="8"/>
      <c r="O227" s="8"/>
      <c r="P227" s="8"/>
      <c r="Q227" s="8"/>
      <c r="R227" s="8"/>
      <c r="S227" s="8"/>
    </row>
    <row r="228" spans="1:19" ht="15.75" customHeight="1">
      <c r="A228" s="8">
        <v>159443265</v>
      </c>
      <c r="B228" s="8" t="s">
        <v>8288</v>
      </c>
      <c r="C228" s="8" t="s">
        <v>8802</v>
      </c>
      <c r="D228" s="8" t="s">
        <v>579</v>
      </c>
      <c r="E228" s="9" t="s">
        <v>580</v>
      </c>
      <c r="F228" s="8" t="s">
        <v>8803</v>
      </c>
      <c r="G228" s="9">
        <v>50</v>
      </c>
      <c r="H228" s="8" t="s">
        <v>8164</v>
      </c>
      <c r="I228" s="8" t="s">
        <v>8707</v>
      </c>
      <c r="J228" s="8"/>
      <c r="K228" s="8"/>
      <c r="L228" s="8"/>
      <c r="M228" s="8"/>
      <c r="N228" s="8"/>
      <c r="O228" s="8"/>
      <c r="P228" s="8"/>
      <c r="Q228" s="8"/>
      <c r="R228" s="8"/>
      <c r="S228" s="8"/>
    </row>
    <row r="229" spans="1:19" ht="15.75" customHeight="1">
      <c r="A229" s="8">
        <v>159462872</v>
      </c>
      <c r="B229" s="8" t="s">
        <v>8407</v>
      </c>
      <c r="C229" s="8" t="s">
        <v>8804</v>
      </c>
      <c r="D229" s="8" t="s">
        <v>499</v>
      </c>
      <c r="E229" s="9" t="s">
        <v>500</v>
      </c>
      <c r="F229" s="8"/>
      <c r="G229" s="9"/>
      <c r="H229" s="8" t="s">
        <v>8267</v>
      </c>
      <c r="I229" s="8" t="s">
        <v>8805</v>
      </c>
      <c r="J229" s="8"/>
      <c r="K229" s="8"/>
      <c r="L229" s="8"/>
      <c r="M229" s="8"/>
      <c r="N229" s="8"/>
      <c r="O229" s="8"/>
      <c r="P229" s="8"/>
      <c r="Q229" s="8"/>
      <c r="R229" s="8"/>
      <c r="S229" s="8"/>
    </row>
    <row r="230" spans="1:19" ht="15.75" customHeight="1">
      <c r="A230" s="8">
        <v>159553374</v>
      </c>
      <c r="B230" s="8" t="s">
        <v>8365</v>
      </c>
      <c r="C230" s="8" t="s">
        <v>8806</v>
      </c>
      <c r="D230" s="8" t="s">
        <v>362</v>
      </c>
      <c r="E230" s="9" t="s">
        <v>363</v>
      </c>
      <c r="F230" s="8"/>
      <c r="G230" s="9"/>
      <c r="H230" s="8" t="s">
        <v>8164</v>
      </c>
      <c r="I230" s="8" t="s">
        <v>8414</v>
      </c>
      <c r="J230" s="8" t="s">
        <v>8807</v>
      </c>
      <c r="K230" s="8"/>
      <c r="L230" s="8"/>
      <c r="M230" s="8"/>
      <c r="N230" s="8"/>
      <c r="O230" s="8"/>
      <c r="P230" s="8"/>
      <c r="Q230" s="8"/>
      <c r="R230" s="8"/>
      <c r="S230" s="8"/>
    </row>
    <row r="231" spans="1:19" ht="15.75" customHeight="1">
      <c r="A231" s="8">
        <v>159739803</v>
      </c>
      <c r="B231" s="8" t="s">
        <v>8434</v>
      </c>
      <c r="C231" s="8" t="s">
        <v>8808</v>
      </c>
      <c r="D231" s="8" t="s">
        <v>1064</v>
      </c>
      <c r="E231" s="9" t="s">
        <v>1065</v>
      </c>
      <c r="F231" s="8" t="s">
        <v>8809</v>
      </c>
      <c r="G231" s="9">
        <v>54</v>
      </c>
      <c r="H231" s="8" t="s">
        <v>8810</v>
      </c>
      <c r="I231" s="8" t="s">
        <v>8811</v>
      </c>
      <c r="J231" s="8"/>
      <c r="K231" s="8"/>
      <c r="L231" s="8"/>
      <c r="M231" s="8"/>
      <c r="N231" s="8"/>
      <c r="O231" s="8"/>
      <c r="P231" s="8"/>
      <c r="Q231" s="8"/>
      <c r="R231" s="8"/>
      <c r="S231" s="8"/>
    </row>
    <row r="232" spans="1:19" ht="15.75" customHeight="1">
      <c r="A232" s="8">
        <v>160450708</v>
      </c>
      <c r="B232" s="8" t="s">
        <v>8252</v>
      </c>
      <c r="C232" s="8" t="s">
        <v>8812</v>
      </c>
      <c r="D232" s="8" t="s">
        <v>102</v>
      </c>
      <c r="E232" s="9" t="s">
        <v>103</v>
      </c>
      <c r="F232" s="8" t="s">
        <v>8813</v>
      </c>
      <c r="G232" s="9">
        <v>35</v>
      </c>
      <c r="H232" s="8" t="s">
        <v>8164</v>
      </c>
      <c r="I232" s="8" t="s">
        <v>8208</v>
      </c>
      <c r="J232" s="8"/>
      <c r="K232" s="8"/>
      <c r="L232" s="8"/>
      <c r="M232" s="8"/>
      <c r="N232" s="8"/>
      <c r="O232" s="8"/>
      <c r="P232" s="8"/>
      <c r="Q232" s="8"/>
      <c r="R232" s="8"/>
      <c r="S232" s="8"/>
    </row>
    <row r="233" spans="1:19" ht="15.75" customHeight="1">
      <c r="A233" s="8">
        <v>160455805</v>
      </c>
      <c r="B233" s="8" t="s">
        <v>8186</v>
      </c>
      <c r="C233" s="8" t="s">
        <v>8814</v>
      </c>
      <c r="D233" s="8" t="s">
        <v>190</v>
      </c>
      <c r="E233" s="9" t="s">
        <v>191</v>
      </c>
      <c r="F233" s="8" t="s">
        <v>8815</v>
      </c>
      <c r="G233" s="9">
        <v>56</v>
      </c>
      <c r="H233" s="8" t="s">
        <v>8816</v>
      </c>
      <c r="I233" s="8" t="s">
        <v>8817</v>
      </c>
      <c r="J233" s="8"/>
      <c r="K233" s="8"/>
      <c r="L233" s="8"/>
      <c r="M233" s="8"/>
      <c r="N233" s="8"/>
      <c r="O233" s="8"/>
      <c r="P233" s="8"/>
      <c r="Q233" s="8"/>
      <c r="R233" s="8"/>
      <c r="S233" s="8"/>
    </row>
    <row r="234" spans="1:19" ht="15.75" customHeight="1">
      <c r="A234" s="8">
        <v>160762403</v>
      </c>
      <c r="B234" s="8" t="s">
        <v>8818</v>
      </c>
      <c r="C234" s="8" t="s">
        <v>8819</v>
      </c>
      <c r="D234" s="8" t="s">
        <v>493</v>
      </c>
      <c r="E234" s="9" t="s">
        <v>494</v>
      </c>
      <c r="F234" s="8"/>
      <c r="G234" s="9"/>
      <c r="H234" s="8" t="s">
        <v>8164</v>
      </c>
      <c r="I234" s="8" t="s">
        <v>8441</v>
      </c>
      <c r="J234" s="8"/>
      <c r="K234" s="8"/>
      <c r="L234" s="8"/>
      <c r="M234" s="8"/>
      <c r="N234" s="8"/>
      <c r="O234" s="8"/>
      <c r="P234" s="8"/>
      <c r="Q234" s="8"/>
      <c r="R234" s="8"/>
      <c r="S234" s="8"/>
    </row>
    <row r="235" spans="1:19" ht="15.75" customHeight="1">
      <c r="A235" s="8">
        <v>161795029</v>
      </c>
      <c r="B235" s="8" t="s">
        <v>8820</v>
      </c>
      <c r="C235" s="8" t="s">
        <v>8821</v>
      </c>
      <c r="D235" s="8" t="s">
        <v>224</v>
      </c>
      <c r="E235" s="9" t="s">
        <v>225</v>
      </c>
      <c r="F235" s="8" t="s">
        <v>8822</v>
      </c>
      <c r="G235" s="9">
        <v>35</v>
      </c>
      <c r="H235" s="8" t="s">
        <v>8164</v>
      </c>
      <c r="I235" s="8" t="s">
        <v>8165</v>
      </c>
      <c r="J235" s="8" t="s">
        <v>8823</v>
      </c>
      <c r="K235" s="8"/>
      <c r="L235" s="8" t="s">
        <v>8167</v>
      </c>
      <c r="M235" s="8"/>
      <c r="N235" s="8" t="s">
        <v>8169</v>
      </c>
      <c r="O235" s="8" t="s">
        <v>8170</v>
      </c>
      <c r="P235" s="8" t="s">
        <v>8171</v>
      </c>
      <c r="Q235" s="8" t="s">
        <v>8161</v>
      </c>
      <c r="R235" s="8"/>
      <c r="S235" s="8"/>
    </row>
    <row r="236" spans="1:19" ht="15.75" customHeight="1">
      <c r="A236" s="8">
        <v>162133676</v>
      </c>
      <c r="B236" s="8" t="s">
        <v>8824</v>
      </c>
      <c r="C236" s="8" t="s">
        <v>8825</v>
      </c>
      <c r="D236" s="8" t="s">
        <v>290</v>
      </c>
      <c r="E236" s="9">
        <v>26402041</v>
      </c>
      <c r="F236" s="8" t="s">
        <v>8826</v>
      </c>
      <c r="G236" s="9">
        <v>56</v>
      </c>
      <c r="H236" s="8" t="s">
        <v>8827</v>
      </c>
      <c r="I236" s="8" t="s">
        <v>8828</v>
      </c>
      <c r="J236" s="8"/>
      <c r="K236" s="8"/>
      <c r="L236" s="8"/>
      <c r="M236" s="8"/>
      <c r="N236" s="8"/>
      <c r="O236" s="8"/>
      <c r="P236" s="8"/>
      <c r="Q236" s="8"/>
      <c r="R236" s="8"/>
      <c r="S236" s="8"/>
    </row>
    <row r="237" spans="1:19" ht="15.75" customHeight="1">
      <c r="A237" s="8">
        <v>162376459</v>
      </c>
      <c r="B237" s="8" t="s">
        <v>8829</v>
      </c>
      <c r="C237" s="8" t="s">
        <v>8830</v>
      </c>
      <c r="D237" s="8" t="s">
        <v>129</v>
      </c>
      <c r="E237" s="9" t="s">
        <v>130</v>
      </c>
      <c r="F237" s="8" t="s">
        <v>8831</v>
      </c>
      <c r="G237" s="9">
        <v>62</v>
      </c>
      <c r="H237" s="8" t="s">
        <v>8832</v>
      </c>
      <c r="I237" s="8" t="s">
        <v>8833</v>
      </c>
      <c r="J237" s="8"/>
      <c r="K237" s="8"/>
      <c r="L237" s="8"/>
      <c r="M237" s="8"/>
      <c r="N237" s="8"/>
      <c r="O237" s="8"/>
      <c r="P237" s="8"/>
      <c r="Q237" s="8"/>
      <c r="R237" s="8"/>
      <c r="S237" s="8"/>
    </row>
    <row r="238" spans="1:19" ht="15.75" customHeight="1">
      <c r="A238" s="8">
        <v>162748158</v>
      </c>
      <c r="B238" s="8" t="s">
        <v>8431</v>
      </c>
      <c r="C238" s="8" t="s">
        <v>8714</v>
      </c>
      <c r="D238" s="8" t="s">
        <v>993</v>
      </c>
      <c r="E238" s="9">
        <v>79517978177</v>
      </c>
      <c r="F238" s="8"/>
      <c r="G238" s="9"/>
      <c r="H238" s="8" t="s">
        <v>8164</v>
      </c>
      <c r="I238" s="8" t="s">
        <v>8834</v>
      </c>
      <c r="J238" s="8"/>
      <c r="K238" s="8"/>
      <c r="L238" s="8"/>
      <c r="M238" s="8"/>
      <c r="N238" s="8"/>
      <c r="O238" s="8"/>
      <c r="P238" s="8"/>
      <c r="Q238" s="8"/>
      <c r="R238" s="8"/>
      <c r="S238" s="8"/>
    </row>
    <row r="239" spans="1:19" ht="15.75" customHeight="1">
      <c r="A239" s="8">
        <v>163563056</v>
      </c>
      <c r="B239" s="8" t="s">
        <v>8304</v>
      </c>
      <c r="C239" s="8" t="s">
        <v>8835</v>
      </c>
      <c r="D239" s="8" t="s">
        <v>73</v>
      </c>
      <c r="E239" s="9" t="s">
        <v>74</v>
      </c>
      <c r="F239" s="8" t="s">
        <v>8836</v>
      </c>
      <c r="G239" s="9">
        <v>46</v>
      </c>
      <c r="H239" s="8" t="s">
        <v>8164</v>
      </c>
      <c r="I239" s="8" t="s">
        <v>8837</v>
      </c>
      <c r="J239" s="8"/>
      <c r="K239" s="8"/>
      <c r="L239" s="8"/>
      <c r="M239" s="8"/>
      <c r="N239" s="8"/>
      <c r="O239" s="8"/>
      <c r="P239" s="8"/>
      <c r="Q239" s="8"/>
      <c r="R239" s="8"/>
      <c r="S239" s="8"/>
    </row>
    <row r="240" spans="1:19" ht="15.75" customHeight="1">
      <c r="A240" s="8">
        <v>165060489</v>
      </c>
      <c r="B240" s="8" t="s">
        <v>8390</v>
      </c>
      <c r="C240" s="8" t="s">
        <v>8838</v>
      </c>
      <c r="D240" s="8" t="s">
        <v>557</v>
      </c>
      <c r="E240" s="9">
        <v>79012813970</v>
      </c>
      <c r="F240" s="8"/>
      <c r="G240" s="9"/>
      <c r="H240" s="8" t="s">
        <v>8164</v>
      </c>
      <c r="I240" s="8" t="s">
        <v>8165</v>
      </c>
      <c r="J240" s="8" t="s">
        <v>8839</v>
      </c>
      <c r="K240" s="8"/>
      <c r="L240" s="8"/>
      <c r="M240" s="8" t="s">
        <v>8168</v>
      </c>
      <c r="N240" s="8"/>
      <c r="O240" s="8"/>
      <c r="P240" s="8" t="s">
        <v>8171</v>
      </c>
      <c r="Q240" s="8"/>
      <c r="R240" s="8"/>
      <c r="S240" s="8"/>
    </row>
    <row r="241" spans="1:19" ht="15.75" customHeight="1">
      <c r="A241" s="8">
        <v>166158391</v>
      </c>
      <c r="B241" s="8" t="s">
        <v>7818</v>
      </c>
      <c r="C241" s="8" t="s">
        <v>8840</v>
      </c>
      <c r="D241" s="8" t="s">
        <v>330</v>
      </c>
      <c r="E241" s="9">
        <v>79965163991</v>
      </c>
      <c r="F241" s="8" t="s">
        <v>8841</v>
      </c>
      <c r="G241" s="9">
        <v>22</v>
      </c>
      <c r="H241" s="8" t="s">
        <v>8509</v>
      </c>
      <c r="I241" s="8" t="s">
        <v>8842</v>
      </c>
      <c r="J241" s="8"/>
      <c r="K241" s="8"/>
      <c r="L241" s="8"/>
      <c r="M241" s="8"/>
      <c r="N241" s="8"/>
      <c r="O241" s="8"/>
      <c r="P241" s="8"/>
      <c r="Q241" s="8"/>
      <c r="R241" s="8"/>
      <c r="S241" s="8"/>
    </row>
    <row r="242" spans="1:19" ht="15.75" customHeight="1">
      <c r="A242" s="8">
        <v>166301189</v>
      </c>
      <c r="B242" s="8" t="s">
        <v>8721</v>
      </c>
      <c r="C242" s="8" t="s">
        <v>8843</v>
      </c>
      <c r="D242" s="8" t="s">
        <v>1117</v>
      </c>
      <c r="E242" s="9" t="s">
        <v>1118</v>
      </c>
      <c r="F242" s="8"/>
      <c r="G242" s="9"/>
      <c r="H242" s="8" t="s">
        <v>8164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</row>
    <row r="243" spans="1:19" ht="15.75" customHeight="1">
      <c r="A243" s="8">
        <v>167097957</v>
      </c>
      <c r="B243" s="8" t="s">
        <v>8479</v>
      </c>
      <c r="C243" s="8" t="s">
        <v>8844</v>
      </c>
      <c r="D243" s="8" t="s">
        <v>2470</v>
      </c>
      <c r="E243" s="9" t="s">
        <v>2471</v>
      </c>
      <c r="F243" s="8"/>
      <c r="G243" s="9"/>
      <c r="H243" s="8" t="s">
        <v>8164</v>
      </c>
      <c r="I243" s="8" t="s">
        <v>8467</v>
      </c>
      <c r="J243" s="8"/>
      <c r="K243" s="8"/>
      <c r="L243" s="8"/>
      <c r="M243" s="8"/>
      <c r="N243" s="8"/>
      <c r="O243" s="8"/>
      <c r="P243" s="8"/>
      <c r="Q243" s="8"/>
      <c r="R243" s="8"/>
      <c r="S243" s="8"/>
    </row>
    <row r="244" spans="1:19" ht="15.75" customHeight="1">
      <c r="A244" s="8">
        <v>171156221</v>
      </c>
      <c r="B244" s="8" t="s">
        <v>8845</v>
      </c>
      <c r="C244" s="8" t="s">
        <v>8846</v>
      </c>
      <c r="D244" s="8" t="s">
        <v>2492</v>
      </c>
      <c r="E244" s="9" t="s">
        <v>2493</v>
      </c>
      <c r="F244" s="8" t="s">
        <v>8847</v>
      </c>
      <c r="G244" s="9">
        <v>20</v>
      </c>
      <c r="H244" s="8" t="s">
        <v>8179</v>
      </c>
      <c r="I244" s="8" t="s">
        <v>8624</v>
      </c>
      <c r="J244" s="8"/>
      <c r="K244" s="8"/>
      <c r="L244" s="8"/>
      <c r="M244" s="8"/>
      <c r="N244" s="8"/>
      <c r="O244" s="8"/>
      <c r="P244" s="8"/>
      <c r="Q244" s="8"/>
      <c r="R244" s="8"/>
      <c r="S244" s="8"/>
    </row>
    <row r="245" spans="1:19" ht="15.75" customHeight="1">
      <c r="A245" s="8">
        <v>174004830</v>
      </c>
      <c r="B245" s="8" t="s">
        <v>8479</v>
      </c>
      <c r="C245" s="8" t="s">
        <v>8848</v>
      </c>
      <c r="D245" s="8" t="s">
        <v>2522</v>
      </c>
      <c r="E245" s="9" t="s">
        <v>2523</v>
      </c>
      <c r="F245" s="8" t="s">
        <v>8849</v>
      </c>
      <c r="G245" s="9"/>
      <c r="H245" s="8" t="s">
        <v>8164</v>
      </c>
      <c r="I245" s="8" t="s">
        <v>8447</v>
      </c>
      <c r="J245" s="8" t="s">
        <v>8850</v>
      </c>
      <c r="K245" s="8"/>
      <c r="L245" s="8"/>
      <c r="M245" s="8" t="s">
        <v>8176</v>
      </c>
      <c r="N245" s="8"/>
      <c r="O245" s="8"/>
      <c r="P245" s="8"/>
      <c r="Q245" s="8"/>
      <c r="R245" s="8"/>
      <c r="S245" s="8"/>
    </row>
    <row r="246" spans="1:19" ht="15.75" customHeight="1">
      <c r="A246" s="8">
        <v>174845244</v>
      </c>
      <c r="B246" s="8" t="s">
        <v>8851</v>
      </c>
      <c r="C246" s="8" t="s">
        <v>8852</v>
      </c>
      <c r="D246" s="8" t="s">
        <v>2515</v>
      </c>
      <c r="E246" s="9" t="s">
        <v>2516</v>
      </c>
      <c r="F246" s="8" t="s">
        <v>8853</v>
      </c>
      <c r="G246" s="9">
        <v>1</v>
      </c>
      <c r="H246" s="8" t="s">
        <v>8463</v>
      </c>
      <c r="I246" s="8" t="s">
        <v>8464</v>
      </c>
      <c r="J246" s="8"/>
      <c r="K246" s="8"/>
      <c r="L246" s="8"/>
      <c r="M246" s="8"/>
      <c r="N246" s="8"/>
      <c r="O246" s="8"/>
      <c r="P246" s="8"/>
      <c r="Q246" s="8"/>
      <c r="R246" s="8"/>
      <c r="S246" s="8"/>
    </row>
    <row r="247" spans="1:19" ht="15.75" customHeight="1">
      <c r="A247" s="8">
        <v>175171016</v>
      </c>
      <c r="B247" s="8" t="s">
        <v>8854</v>
      </c>
      <c r="C247" s="8" t="s">
        <v>8855</v>
      </c>
      <c r="D247" s="8" t="s">
        <v>2537</v>
      </c>
      <c r="E247" s="9">
        <v>79637733373</v>
      </c>
      <c r="F247" s="8" t="s">
        <v>8856</v>
      </c>
      <c r="G247" s="9">
        <v>1</v>
      </c>
      <c r="H247" s="8" t="s">
        <v>8164</v>
      </c>
      <c r="I247" s="8" t="s">
        <v>8165</v>
      </c>
      <c r="J247" s="8"/>
      <c r="K247" s="8"/>
      <c r="L247" s="8"/>
      <c r="M247" s="8"/>
      <c r="N247" s="8"/>
      <c r="O247" s="8"/>
      <c r="P247" s="8"/>
      <c r="Q247" s="8"/>
      <c r="R247" s="8"/>
      <c r="S247" s="8"/>
    </row>
    <row r="248" spans="1:19" ht="15.75" customHeight="1">
      <c r="A248" s="8">
        <v>177703024</v>
      </c>
      <c r="B248" s="8" t="s">
        <v>8857</v>
      </c>
      <c r="C248" s="8" t="s">
        <v>8772</v>
      </c>
      <c r="D248" s="8" t="s">
        <v>1627</v>
      </c>
      <c r="E248" s="9" t="s">
        <v>1628</v>
      </c>
      <c r="F248" s="8" t="s">
        <v>8858</v>
      </c>
      <c r="G248" s="9">
        <v>50</v>
      </c>
      <c r="H248" s="8" t="s">
        <v>8267</v>
      </c>
      <c r="I248" s="8" t="s">
        <v>8859</v>
      </c>
      <c r="J248" s="8" t="s">
        <v>8860</v>
      </c>
      <c r="K248" s="8"/>
      <c r="L248" s="8" t="s">
        <v>8167</v>
      </c>
      <c r="M248" s="8"/>
      <c r="N248" s="8"/>
      <c r="O248" s="8"/>
      <c r="P248" s="8" t="s">
        <v>8171</v>
      </c>
      <c r="Q248" s="8" t="s">
        <v>8161</v>
      </c>
      <c r="R248" s="8"/>
      <c r="S248" s="8"/>
    </row>
    <row r="249" spans="1:19" ht="15.75" customHeight="1">
      <c r="A249" s="8">
        <v>179478947</v>
      </c>
      <c r="B249" s="8" t="s">
        <v>8365</v>
      </c>
      <c r="C249" s="8" t="s">
        <v>8861</v>
      </c>
      <c r="D249" s="8" t="s">
        <v>2616</v>
      </c>
      <c r="E249" s="9" t="s">
        <v>2617</v>
      </c>
      <c r="F249" s="8"/>
      <c r="G249" s="9"/>
      <c r="H249" s="8" t="s">
        <v>8509</v>
      </c>
      <c r="I249" s="8" t="s">
        <v>8165</v>
      </c>
      <c r="J249" s="8"/>
      <c r="K249" s="8"/>
      <c r="L249" s="8"/>
      <c r="M249" s="8"/>
      <c r="N249" s="8"/>
      <c r="O249" s="8"/>
      <c r="P249" s="8"/>
      <c r="Q249" s="8"/>
      <c r="R249" s="8"/>
      <c r="S249" s="8"/>
    </row>
    <row r="250" spans="1:19" ht="15.75" customHeight="1">
      <c r="A250" s="8">
        <v>179742240</v>
      </c>
      <c r="B250" s="8" t="s">
        <v>8619</v>
      </c>
      <c r="C250" s="8" t="s">
        <v>8619</v>
      </c>
      <c r="D250" s="8" t="s">
        <v>1765</v>
      </c>
      <c r="E250" s="9" t="s">
        <v>1766</v>
      </c>
      <c r="F250" s="8"/>
      <c r="G250" s="9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</row>
    <row r="251" spans="1:19" ht="15.75" customHeight="1">
      <c r="A251" s="8">
        <v>182551160</v>
      </c>
      <c r="B251" s="8" t="s">
        <v>8862</v>
      </c>
      <c r="C251" s="8" t="s">
        <v>8863</v>
      </c>
      <c r="D251" s="8" t="s">
        <v>1596</v>
      </c>
      <c r="E251" s="9" t="s">
        <v>1597</v>
      </c>
      <c r="F251" s="8"/>
      <c r="G251" s="9"/>
      <c r="H251" s="8" t="s">
        <v>8158</v>
      </c>
      <c r="I251" s="8" t="s">
        <v>8237</v>
      </c>
      <c r="J251" s="8" t="s">
        <v>8864</v>
      </c>
      <c r="K251" s="8" t="s">
        <v>8865</v>
      </c>
      <c r="L251" s="8" t="s">
        <v>8167</v>
      </c>
      <c r="M251" s="8" t="s">
        <v>8176</v>
      </c>
      <c r="N251" s="8"/>
      <c r="O251" s="8"/>
      <c r="P251" s="8" t="s">
        <v>8171</v>
      </c>
      <c r="Q251" s="8"/>
      <c r="R251" s="8"/>
      <c r="S251" s="8"/>
    </row>
    <row r="252" spans="1:19" ht="15.75" customHeight="1">
      <c r="A252" s="8">
        <v>183188282</v>
      </c>
      <c r="B252" s="8" t="s">
        <v>8866</v>
      </c>
      <c r="C252" s="8" t="s">
        <v>8867</v>
      </c>
      <c r="D252" s="8" t="s">
        <v>2368</v>
      </c>
      <c r="E252" s="9">
        <v>79823069197</v>
      </c>
      <c r="F252" s="8"/>
      <c r="G252" s="9"/>
      <c r="H252" s="8" t="s">
        <v>8164</v>
      </c>
      <c r="I252" s="8" t="s">
        <v>8868</v>
      </c>
      <c r="J252" s="8" t="s">
        <v>8869</v>
      </c>
      <c r="K252" s="8"/>
      <c r="L252" s="8"/>
      <c r="M252" s="8"/>
      <c r="N252" s="8"/>
      <c r="O252" s="8"/>
      <c r="P252" s="8" t="s">
        <v>8171</v>
      </c>
      <c r="Q252" s="8" t="s">
        <v>8161</v>
      </c>
      <c r="R252" s="8"/>
      <c r="S252" s="8"/>
    </row>
    <row r="253" spans="1:19" ht="15.75" customHeight="1">
      <c r="A253" s="8">
        <v>185492280</v>
      </c>
      <c r="B253" s="8" t="s">
        <v>8619</v>
      </c>
      <c r="C253" s="8" t="s">
        <v>8870</v>
      </c>
      <c r="D253" s="8" t="s">
        <v>1988</v>
      </c>
      <c r="E253" s="9" t="s">
        <v>1989</v>
      </c>
      <c r="F253" s="8"/>
      <c r="G253" s="9"/>
      <c r="H253" s="8" t="s">
        <v>8267</v>
      </c>
      <c r="I253" s="8"/>
      <c r="J253" s="8" t="s">
        <v>8871</v>
      </c>
      <c r="K253" s="8"/>
      <c r="L253" s="8" t="s">
        <v>8167</v>
      </c>
      <c r="M253" s="8"/>
      <c r="N253" s="8"/>
      <c r="O253" s="8"/>
      <c r="P253" s="8"/>
      <c r="Q253" s="8" t="s">
        <v>8161</v>
      </c>
      <c r="R253" s="8"/>
      <c r="S253" s="8"/>
    </row>
    <row r="254" spans="1:19" ht="15.75" customHeight="1">
      <c r="A254" s="8">
        <v>185902189</v>
      </c>
      <c r="B254" s="8" t="s">
        <v>8872</v>
      </c>
      <c r="C254" s="8" t="s">
        <v>8873</v>
      </c>
      <c r="D254" s="8" t="s">
        <v>1429</v>
      </c>
      <c r="E254" s="9" t="s">
        <v>1430</v>
      </c>
      <c r="F254" s="8"/>
      <c r="G254" s="9"/>
      <c r="H254" s="8" t="s">
        <v>8558</v>
      </c>
      <c r="I254" s="8" t="s">
        <v>8559</v>
      </c>
      <c r="J254" s="8"/>
      <c r="K254" s="8"/>
      <c r="L254" s="8"/>
      <c r="M254" s="8"/>
      <c r="N254" s="8"/>
      <c r="O254" s="8"/>
      <c r="P254" s="8"/>
      <c r="Q254" s="8"/>
      <c r="R254" s="8"/>
      <c r="S254" s="8"/>
    </row>
    <row r="255" spans="1:19" ht="15.75" customHeight="1">
      <c r="A255" s="8">
        <v>186667695</v>
      </c>
      <c r="B255" s="8" t="s">
        <v>8874</v>
      </c>
      <c r="C255" s="8" t="s">
        <v>8875</v>
      </c>
      <c r="D255" s="8" t="s">
        <v>2622</v>
      </c>
      <c r="E255" s="9" t="s">
        <v>2623</v>
      </c>
      <c r="F255" s="8"/>
      <c r="G255" s="9"/>
      <c r="H255" s="8" t="s">
        <v>8164</v>
      </c>
      <c r="I255" s="8" t="s">
        <v>8208</v>
      </c>
      <c r="J255" s="8"/>
      <c r="K255" s="8"/>
      <c r="L255" s="8"/>
      <c r="M255" s="8"/>
      <c r="N255" s="8"/>
      <c r="O255" s="8"/>
      <c r="P255" s="8"/>
      <c r="Q255" s="8"/>
      <c r="R255" s="8"/>
      <c r="S255" s="8"/>
    </row>
    <row r="256" spans="1:19" ht="15.75" customHeight="1">
      <c r="A256" s="8">
        <v>186824463</v>
      </c>
      <c r="B256" s="8" t="s">
        <v>8876</v>
      </c>
      <c r="C256" s="8" t="s">
        <v>8877</v>
      </c>
      <c r="D256" s="8" t="s">
        <v>2500</v>
      </c>
      <c r="E256" s="9" t="s">
        <v>2501</v>
      </c>
      <c r="F256" s="8" t="s">
        <v>8329</v>
      </c>
      <c r="G256" s="9">
        <v>48</v>
      </c>
      <c r="H256" s="8" t="s">
        <v>8878</v>
      </c>
      <c r="I256" s="8" t="s">
        <v>8523</v>
      </c>
      <c r="J256" s="8"/>
      <c r="K256" s="8"/>
      <c r="L256" s="8"/>
      <c r="M256" s="8"/>
      <c r="N256" s="8"/>
      <c r="O256" s="8"/>
      <c r="P256" s="8"/>
      <c r="Q256" s="8"/>
      <c r="R256" s="8"/>
      <c r="S256" s="8"/>
    </row>
    <row r="257" spans="1:19" ht="15.75" customHeight="1">
      <c r="A257" s="8">
        <v>186827458</v>
      </c>
      <c r="B257" s="8" t="s">
        <v>8635</v>
      </c>
      <c r="C257" s="8" t="s">
        <v>8879</v>
      </c>
      <c r="D257" s="8" t="s">
        <v>2583</v>
      </c>
      <c r="E257" s="9" t="s">
        <v>2584</v>
      </c>
      <c r="F257" s="8"/>
      <c r="G257" s="9"/>
      <c r="H257" s="8" t="s">
        <v>8164</v>
      </c>
      <c r="I257" s="8" t="s">
        <v>8208</v>
      </c>
      <c r="J257" s="8"/>
      <c r="K257" s="8"/>
      <c r="L257" s="8"/>
      <c r="M257" s="8"/>
      <c r="N257" s="8"/>
      <c r="O257" s="8"/>
      <c r="P257" s="8"/>
      <c r="Q257" s="8"/>
      <c r="R257" s="8"/>
      <c r="S257" s="8"/>
    </row>
    <row r="258" spans="1:19" ht="15.75" customHeight="1">
      <c r="A258" s="8">
        <v>187156845</v>
      </c>
      <c r="B258" s="8" t="s">
        <v>8365</v>
      </c>
      <c r="C258" s="8" t="s">
        <v>8880</v>
      </c>
      <c r="D258" s="8" t="s">
        <v>2383</v>
      </c>
      <c r="E258" s="9" t="s">
        <v>2384</v>
      </c>
      <c r="F258" s="8" t="s">
        <v>8881</v>
      </c>
      <c r="G258" s="9">
        <v>40</v>
      </c>
      <c r="H258" s="8" t="s">
        <v>8164</v>
      </c>
      <c r="I258" s="8" t="s">
        <v>8276</v>
      </c>
      <c r="J258" s="8"/>
      <c r="K258" s="8"/>
      <c r="L258" s="8"/>
      <c r="M258" s="8"/>
      <c r="N258" s="8"/>
      <c r="O258" s="8"/>
      <c r="P258" s="8"/>
      <c r="Q258" s="8"/>
      <c r="R258" s="8"/>
      <c r="S258" s="8"/>
    </row>
    <row r="259" spans="1:19" ht="15.75" customHeight="1">
      <c r="A259" s="8">
        <v>188907523</v>
      </c>
      <c r="B259" s="8" t="s">
        <v>8274</v>
      </c>
      <c r="C259" s="8" t="s">
        <v>8882</v>
      </c>
      <c r="D259" s="8" t="s">
        <v>2566</v>
      </c>
      <c r="E259" s="9" t="s">
        <v>2567</v>
      </c>
      <c r="F259" s="8"/>
      <c r="G259" s="9"/>
      <c r="H259" s="8" t="s">
        <v>8164</v>
      </c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</row>
    <row r="260" spans="1:19" ht="15.75" customHeight="1">
      <c r="A260" s="8">
        <v>191530974</v>
      </c>
      <c r="B260" s="8" t="s">
        <v>8883</v>
      </c>
      <c r="C260" s="8" t="s">
        <v>8884</v>
      </c>
      <c r="D260" s="8" t="s">
        <v>1810</v>
      </c>
      <c r="E260" s="9" t="s">
        <v>1811</v>
      </c>
      <c r="F260" s="8" t="s">
        <v>8885</v>
      </c>
      <c r="G260" s="9">
        <v>54</v>
      </c>
      <c r="H260" s="8" t="s">
        <v>8164</v>
      </c>
      <c r="I260" s="8" t="s">
        <v>8886</v>
      </c>
      <c r="J260" s="8" t="s">
        <v>8887</v>
      </c>
      <c r="K260" s="8"/>
      <c r="L260" s="8"/>
      <c r="M260" s="8"/>
      <c r="N260" s="8"/>
      <c r="O260" s="8"/>
      <c r="P260" s="8" t="s">
        <v>8171</v>
      </c>
      <c r="Q260" s="8"/>
      <c r="R260" s="8"/>
      <c r="S260" s="8"/>
    </row>
    <row r="261" spans="1:19" ht="15.75" customHeight="1">
      <c r="A261" s="8">
        <v>192075904</v>
      </c>
      <c r="B261" s="8" t="s">
        <v>8888</v>
      </c>
      <c r="C261" s="8" t="s">
        <v>8889</v>
      </c>
      <c r="D261" s="8" t="s">
        <v>1682</v>
      </c>
      <c r="E261" s="9" t="s">
        <v>1683</v>
      </c>
      <c r="F261" s="8" t="s">
        <v>8890</v>
      </c>
      <c r="G261" s="9">
        <v>45</v>
      </c>
      <c r="H261" s="8" t="s">
        <v>8262</v>
      </c>
      <c r="I261" s="8" t="s">
        <v>8263</v>
      </c>
      <c r="J261" s="8" t="s">
        <v>8891</v>
      </c>
      <c r="K261" s="8"/>
      <c r="L261" s="8"/>
      <c r="M261" s="8"/>
      <c r="N261" s="8"/>
      <c r="O261" s="8"/>
      <c r="P261" s="8"/>
      <c r="Q261" s="8"/>
      <c r="R261" s="8"/>
      <c r="S261" s="8"/>
    </row>
    <row r="262" spans="1:19" ht="15.75" customHeight="1">
      <c r="A262" s="8">
        <v>192324746</v>
      </c>
      <c r="B262" s="8" t="s">
        <v>2435</v>
      </c>
      <c r="C262" s="8"/>
      <c r="D262" s="8" t="s">
        <v>2436</v>
      </c>
      <c r="E262" s="9">
        <v>79241617858</v>
      </c>
      <c r="F262" s="8"/>
      <c r="G262" s="9"/>
      <c r="H262" s="8" t="s">
        <v>8164</v>
      </c>
      <c r="I262" s="8" t="s">
        <v>8892</v>
      </c>
      <c r="J262" s="8"/>
      <c r="K262" s="8"/>
      <c r="L262" s="8"/>
      <c r="M262" s="8"/>
      <c r="N262" s="8"/>
      <c r="O262" s="8"/>
      <c r="P262" s="8"/>
      <c r="Q262" s="8"/>
      <c r="R262" s="8"/>
      <c r="S262" s="8"/>
    </row>
    <row r="263" spans="1:19" ht="15.75" customHeight="1">
      <c r="A263" s="8">
        <v>192465153</v>
      </c>
      <c r="B263" s="8" t="s">
        <v>3971</v>
      </c>
      <c r="C263" s="8" t="s">
        <v>8893</v>
      </c>
      <c r="D263" s="8" t="s">
        <v>1574</v>
      </c>
      <c r="E263" s="9" t="s">
        <v>1575</v>
      </c>
      <c r="F263" s="8"/>
      <c r="G263" s="9"/>
      <c r="H263" s="8" t="s">
        <v>8183</v>
      </c>
      <c r="I263" s="8" t="s">
        <v>8894</v>
      </c>
      <c r="J263" s="8"/>
      <c r="K263" s="8"/>
      <c r="L263" s="8"/>
      <c r="M263" s="8"/>
      <c r="N263" s="8"/>
      <c r="O263" s="8"/>
      <c r="P263" s="8"/>
      <c r="Q263" s="8"/>
      <c r="R263" s="8"/>
      <c r="S263" s="8"/>
    </row>
    <row r="264" spans="1:19" ht="15.75" customHeight="1">
      <c r="A264" s="8">
        <v>192852843</v>
      </c>
      <c r="B264" s="8" t="s">
        <v>8895</v>
      </c>
      <c r="C264" s="8" t="s">
        <v>8896</v>
      </c>
      <c r="D264" s="8" t="s">
        <v>2599</v>
      </c>
      <c r="E264" s="9" t="s">
        <v>2600</v>
      </c>
      <c r="F264" s="8" t="s">
        <v>8897</v>
      </c>
      <c r="G264" s="9">
        <v>22</v>
      </c>
      <c r="H264" s="8" t="s">
        <v>8164</v>
      </c>
      <c r="I264" s="8" t="s">
        <v>8842</v>
      </c>
      <c r="J264" s="8"/>
      <c r="K264" s="8"/>
      <c r="L264" s="8"/>
      <c r="M264" s="8"/>
      <c r="N264" s="8"/>
      <c r="O264" s="8"/>
      <c r="P264" s="8"/>
      <c r="Q264" s="8"/>
      <c r="R264" s="8"/>
      <c r="S264" s="8"/>
    </row>
    <row r="265" spans="1:19" ht="15.75" customHeight="1">
      <c r="A265" s="8">
        <v>192941291</v>
      </c>
      <c r="B265" s="8" t="s">
        <v>8898</v>
      </c>
      <c r="C265" s="8" t="s">
        <v>8899</v>
      </c>
      <c r="D265" s="8" t="s">
        <v>2070</v>
      </c>
      <c r="E265" s="9" t="s">
        <v>2071</v>
      </c>
      <c r="F265" s="8"/>
      <c r="G265" s="9"/>
      <c r="H265" s="8" t="s">
        <v>8164</v>
      </c>
      <c r="I265" s="8" t="s">
        <v>8214</v>
      </c>
      <c r="J265" s="8"/>
      <c r="K265" s="8"/>
      <c r="L265" s="8"/>
      <c r="M265" s="8"/>
      <c r="N265" s="8"/>
      <c r="O265" s="8"/>
      <c r="P265" s="8"/>
      <c r="Q265" s="8"/>
      <c r="R265" s="8"/>
      <c r="S265" s="8"/>
    </row>
    <row r="266" spans="1:19" ht="15.75" customHeight="1">
      <c r="A266" s="8">
        <v>192960427</v>
      </c>
      <c r="B266" s="8" t="s">
        <v>8900</v>
      </c>
      <c r="C266" s="8" t="s">
        <v>8901</v>
      </c>
      <c r="D266" s="8" t="s">
        <v>8902</v>
      </c>
      <c r="E266" s="9">
        <v>79880115462</v>
      </c>
      <c r="F266" s="8"/>
      <c r="G266" s="9"/>
      <c r="H266" s="8" t="s">
        <v>8164</v>
      </c>
      <c r="I266" s="8" t="s">
        <v>8174</v>
      </c>
      <c r="J266" s="8"/>
      <c r="K266" s="8"/>
      <c r="L266" s="8"/>
      <c r="M266" s="8"/>
      <c r="N266" s="8"/>
      <c r="O266" s="8"/>
      <c r="P266" s="8"/>
      <c r="Q266" s="8"/>
      <c r="R266" s="8"/>
      <c r="S266" s="8"/>
    </row>
    <row r="267" spans="1:19" ht="15.75" customHeight="1">
      <c r="A267" s="8">
        <v>193608902</v>
      </c>
      <c r="B267" s="8" t="s">
        <v>8903</v>
      </c>
      <c r="C267" s="8" t="s">
        <v>8904</v>
      </c>
      <c r="D267" s="8" t="s">
        <v>2417</v>
      </c>
      <c r="E267" s="9" t="s">
        <v>2418</v>
      </c>
      <c r="F267" s="8"/>
      <c r="G267" s="9"/>
      <c r="H267" s="8" t="s">
        <v>8179</v>
      </c>
      <c r="I267" s="8" t="s">
        <v>8905</v>
      </c>
      <c r="J267" s="8"/>
      <c r="K267" s="8"/>
      <c r="L267" s="8"/>
      <c r="M267" s="8"/>
      <c r="N267" s="8"/>
      <c r="O267" s="8"/>
      <c r="P267" s="8"/>
      <c r="Q267" s="8"/>
      <c r="R267" s="8"/>
      <c r="S267" s="8"/>
    </row>
    <row r="268" spans="1:19" ht="15.75" customHeight="1">
      <c r="A268" s="8">
        <v>193968546</v>
      </c>
      <c r="B268" s="8" t="s">
        <v>8581</v>
      </c>
      <c r="C268" s="8" t="s">
        <v>8906</v>
      </c>
      <c r="D268" s="8" t="s">
        <v>2604</v>
      </c>
      <c r="E268" s="9" t="s">
        <v>2605</v>
      </c>
      <c r="F268" s="8" t="s">
        <v>8907</v>
      </c>
      <c r="G268" s="9">
        <v>37</v>
      </c>
      <c r="H268" s="8" t="s">
        <v>8164</v>
      </c>
      <c r="I268" s="8" t="s">
        <v>8165</v>
      </c>
      <c r="J268" s="8"/>
      <c r="K268" s="8"/>
      <c r="L268" s="8"/>
      <c r="M268" s="8"/>
      <c r="N268" s="8"/>
      <c r="O268" s="8"/>
      <c r="P268" s="8"/>
      <c r="Q268" s="8"/>
      <c r="R268" s="8"/>
      <c r="S268" s="8"/>
    </row>
    <row r="269" spans="1:19" ht="15.75" customHeight="1">
      <c r="A269" s="8">
        <v>194264653</v>
      </c>
      <c r="B269" s="8" t="s">
        <v>8479</v>
      </c>
      <c r="C269" s="8" t="s">
        <v>8908</v>
      </c>
      <c r="D269" s="8" t="s">
        <v>2349</v>
      </c>
      <c r="E269" s="9" t="s">
        <v>2350</v>
      </c>
      <c r="F269" s="8"/>
      <c r="G269" s="9"/>
      <c r="H269" s="8" t="s">
        <v>8164</v>
      </c>
      <c r="I269" s="8" t="s">
        <v>8165</v>
      </c>
      <c r="J269" s="8"/>
      <c r="K269" s="8"/>
      <c r="L269" s="8"/>
      <c r="M269" s="8"/>
      <c r="N269" s="8"/>
      <c r="O269" s="8"/>
      <c r="P269" s="8"/>
      <c r="Q269" s="8"/>
      <c r="R269" s="8"/>
      <c r="S269" s="8"/>
    </row>
    <row r="270" spans="1:19" ht="15.75" customHeight="1">
      <c r="A270" s="8">
        <v>194897303</v>
      </c>
      <c r="B270" s="8" t="s">
        <v>8304</v>
      </c>
      <c r="C270" s="8" t="s">
        <v>8909</v>
      </c>
      <c r="D270" s="8" t="s">
        <v>2497</v>
      </c>
      <c r="E270" s="9">
        <v>79636670528</v>
      </c>
      <c r="F270" s="8"/>
      <c r="G270" s="9"/>
      <c r="H270" s="8" t="s">
        <v>8164</v>
      </c>
      <c r="I270" s="8" t="s">
        <v>8165</v>
      </c>
      <c r="J270" s="8"/>
      <c r="K270" s="8"/>
      <c r="L270" s="8"/>
      <c r="M270" s="8"/>
      <c r="N270" s="8"/>
      <c r="O270" s="8"/>
      <c r="P270" s="8"/>
      <c r="Q270" s="8"/>
      <c r="R270" s="8"/>
      <c r="S270" s="8"/>
    </row>
    <row r="271" spans="1:19" ht="15.75" customHeight="1">
      <c r="A271" s="8">
        <v>195058945</v>
      </c>
      <c r="B271" s="8" t="s">
        <v>8910</v>
      </c>
      <c r="C271" s="8" t="s">
        <v>8911</v>
      </c>
      <c r="D271" s="8" t="s">
        <v>1803</v>
      </c>
      <c r="E271" s="9">
        <v>79853648884</v>
      </c>
      <c r="F271" s="8" t="s">
        <v>8912</v>
      </c>
      <c r="G271" s="9">
        <v>48</v>
      </c>
      <c r="H271" s="8" t="s">
        <v>8164</v>
      </c>
      <c r="I271" s="8" t="s">
        <v>8165</v>
      </c>
      <c r="J271" s="8"/>
      <c r="K271" s="8"/>
      <c r="L271" s="8"/>
      <c r="M271" s="8"/>
      <c r="N271" s="8"/>
      <c r="O271" s="8"/>
      <c r="P271" s="8"/>
      <c r="Q271" s="8"/>
      <c r="R271" s="8"/>
      <c r="S271" s="8"/>
    </row>
    <row r="272" spans="1:19" ht="15.75" customHeight="1">
      <c r="A272" s="8">
        <v>196957811</v>
      </c>
      <c r="B272" s="8" t="s">
        <v>7768</v>
      </c>
      <c r="C272" s="8" t="s">
        <v>8913</v>
      </c>
      <c r="D272" s="8" t="s">
        <v>2446</v>
      </c>
      <c r="E272" s="9">
        <v>79090951347</v>
      </c>
      <c r="F272" s="8"/>
      <c r="G272" s="9"/>
      <c r="H272" s="8" t="s">
        <v>8164</v>
      </c>
      <c r="I272" s="8" t="s">
        <v>8414</v>
      </c>
      <c r="J272" s="8"/>
      <c r="K272" s="8"/>
      <c r="L272" s="8"/>
      <c r="M272" s="8"/>
      <c r="N272" s="8"/>
      <c r="O272" s="8"/>
      <c r="P272" s="8"/>
      <c r="Q272" s="8"/>
      <c r="R272" s="8"/>
      <c r="S272" s="8"/>
    </row>
    <row r="273" spans="1:19" ht="15.75" customHeight="1">
      <c r="A273" s="8">
        <v>197195774</v>
      </c>
      <c r="B273" s="8" t="s">
        <v>8619</v>
      </c>
      <c r="C273" s="8" t="s">
        <v>8914</v>
      </c>
      <c r="D273" s="8" t="s">
        <v>2452</v>
      </c>
      <c r="E273" s="9" t="s">
        <v>2453</v>
      </c>
      <c r="F273" s="8"/>
      <c r="G273" s="9"/>
      <c r="H273" s="8" t="s">
        <v>8164</v>
      </c>
      <c r="I273" s="8" t="s">
        <v>8915</v>
      </c>
      <c r="J273" s="8"/>
      <c r="K273" s="8"/>
      <c r="L273" s="8"/>
      <c r="M273" s="8"/>
      <c r="N273" s="8"/>
      <c r="O273" s="8"/>
      <c r="P273" s="8"/>
      <c r="Q273" s="8"/>
      <c r="R273" s="8"/>
      <c r="S273" s="8"/>
    </row>
    <row r="274" spans="1:19" ht="15.75" customHeight="1">
      <c r="A274" s="8">
        <v>199119029</v>
      </c>
      <c r="B274" s="8" t="s">
        <v>8903</v>
      </c>
      <c r="C274" s="8" t="s">
        <v>8916</v>
      </c>
      <c r="D274" s="8" t="s">
        <v>1643</v>
      </c>
      <c r="E274" s="9">
        <v>79231088150</v>
      </c>
      <c r="F274" s="8" t="s">
        <v>8613</v>
      </c>
      <c r="G274" s="9">
        <v>56</v>
      </c>
      <c r="H274" s="8" t="s">
        <v>8164</v>
      </c>
      <c r="I274" s="8" t="s">
        <v>8214</v>
      </c>
      <c r="J274" s="8"/>
      <c r="K274" s="8"/>
      <c r="L274" s="8"/>
      <c r="M274" s="8"/>
      <c r="N274" s="8"/>
      <c r="O274" s="8"/>
      <c r="P274" s="8"/>
      <c r="Q274" s="8"/>
      <c r="R274" s="8"/>
      <c r="S274" s="8"/>
    </row>
    <row r="275" spans="1:19" ht="15.75" customHeight="1">
      <c r="A275" s="8">
        <v>199120569</v>
      </c>
      <c r="B275" s="8" t="s">
        <v>8917</v>
      </c>
      <c r="C275" s="8" t="s">
        <v>8918</v>
      </c>
      <c r="D275" s="8" t="s">
        <v>1379</v>
      </c>
      <c r="E275" s="9" t="s">
        <v>1380</v>
      </c>
      <c r="F275" s="8" t="s">
        <v>8919</v>
      </c>
      <c r="G275" s="9">
        <v>51</v>
      </c>
      <c r="H275" s="8" t="s">
        <v>8179</v>
      </c>
      <c r="I275" s="8" t="s">
        <v>8180</v>
      </c>
      <c r="J275" s="8"/>
      <c r="K275" s="8"/>
      <c r="L275" s="8"/>
      <c r="M275" s="8"/>
      <c r="N275" s="8"/>
      <c r="O275" s="8"/>
      <c r="P275" s="8"/>
      <c r="Q275" s="8"/>
      <c r="R275" s="8"/>
      <c r="S275" s="8"/>
    </row>
    <row r="276" spans="1:19" ht="15.75" customHeight="1">
      <c r="A276" s="8">
        <v>199308782</v>
      </c>
      <c r="B276" s="8" t="s">
        <v>8539</v>
      </c>
      <c r="C276" s="8" t="s">
        <v>8920</v>
      </c>
      <c r="D276" s="8" t="s">
        <v>2412</v>
      </c>
      <c r="E276" s="9" t="s">
        <v>2413</v>
      </c>
      <c r="F276" s="8"/>
      <c r="G276" s="9"/>
      <c r="H276" s="8" t="s">
        <v>8164</v>
      </c>
      <c r="I276" s="8" t="s">
        <v>8921</v>
      </c>
      <c r="J276" s="8"/>
      <c r="K276" s="8"/>
      <c r="L276" s="8"/>
      <c r="M276" s="8"/>
      <c r="N276" s="8"/>
      <c r="O276" s="8"/>
      <c r="P276" s="8"/>
      <c r="Q276" s="8"/>
      <c r="R276" s="8"/>
      <c r="S276" s="8"/>
    </row>
    <row r="277" spans="1:19" ht="15.75" customHeight="1">
      <c r="A277" s="8">
        <v>199377296</v>
      </c>
      <c r="B277" s="8" t="s">
        <v>8186</v>
      </c>
      <c r="C277" s="8" t="s">
        <v>8922</v>
      </c>
      <c r="D277" s="8" t="s">
        <v>1787</v>
      </c>
      <c r="E277" s="9" t="s">
        <v>1788</v>
      </c>
      <c r="F277" s="8" t="s">
        <v>8923</v>
      </c>
      <c r="G277" s="9">
        <v>37</v>
      </c>
      <c r="H277" s="8" t="s">
        <v>8924</v>
      </c>
      <c r="I277" s="8" t="s">
        <v>8925</v>
      </c>
      <c r="J277" s="8" t="s">
        <v>8926</v>
      </c>
      <c r="K277" s="8"/>
      <c r="L277" s="8"/>
      <c r="M277" s="8"/>
      <c r="N277" s="8"/>
      <c r="O277" s="8"/>
      <c r="P277" s="8"/>
      <c r="Q277" s="8"/>
      <c r="R277" s="8"/>
      <c r="S277" s="8"/>
    </row>
    <row r="278" spans="1:19" ht="15.75" customHeight="1">
      <c r="A278" s="8">
        <v>199539760</v>
      </c>
      <c r="B278" s="8" t="s">
        <v>8614</v>
      </c>
      <c r="C278" s="8" t="s">
        <v>8927</v>
      </c>
      <c r="D278" s="8" t="s">
        <v>1686</v>
      </c>
      <c r="E278" s="9" t="s">
        <v>1687</v>
      </c>
      <c r="F278" s="8"/>
      <c r="G278" s="9"/>
      <c r="H278" s="8" t="s">
        <v>8164</v>
      </c>
      <c r="I278" s="8" t="s">
        <v>8928</v>
      </c>
      <c r="J278" s="8" t="s">
        <v>8929</v>
      </c>
      <c r="K278" s="8"/>
      <c r="L278" s="8"/>
      <c r="M278" s="8" t="s">
        <v>8176</v>
      </c>
      <c r="N278" s="8"/>
      <c r="O278" s="8"/>
      <c r="P278" s="8" t="s">
        <v>8171</v>
      </c>
      <c r="Q278" s="8"/>
      <c r="R278" s="8"/>
      <c r="S278" s="8"/>
    </row>
    <row r="279" spans="1:19" ht="15.75" customHeight="1">
      <c r="A279" s="8">
        <v>199540857</v>
      </c>
      <c r="B279" s="8" t="s">
        <v>8930</v>
      </c>
      <c r="C279" s="8" t="s">
        <v>8931</v>
      </c>
      <c r="D279" s="8" t="s">
        <v>1586</v>
      </c>
      <c r="E279" s="9" t="s">
        <v>1587</v>
      </c>
      <c r="F279" s="8" t="s">
        <v>8932</v>
      </c>
      <c r="G279" s="9">
        <v>57</v>
      </c>
      <c r="H279" s="8" t="s">
        <v>8584</v>
      </c>
      <c r="I279" s="8" t="s">
        <v>8933</v>
      </c>
      <c r="J279" s="8" t="s">
        <v>8934</v>
      </c>
      <c r="K279" s="8"/>
      <c r="L279" s="8" t="s">
        <v>8167</v>
      </c>
      <c r="M279" s="8" t="s">
        <v>8176</v>
      </c>
      <c r="N279" s="8"/>
      <c r="O279" s="8"/>
      <c r="P279" s="8"/>
      <c r="Q279" s="8" t="s">
        <v>8161</v>
      </c>
      <c r="R279" s="8"/>
      <c r="S279" s="8"/>
    </row>
    <row r="280" spans="1:19" ht="15.75" customHeight="1">
      <c r="A280" s="8">
        <v>202555427</v>
      </c>
      <c r="B280" s="8" t="s">
        <v>8643</v>
      </c>
      <c r="C280" s="8" t="s">
        <v>8935</v>
      </c>
      <c r="D280" s="8" t="s">
        <v>2101</v>
      </c>
      <c r="E280" s="9" t="s">
        <v>2102</v>
      </c>
      <c r="F280" s="8" t="s">
        <v>8936</v>
      </c>
      <c r="G280" s="9">
        <v>28</v>
      </c>
      <c r="H280" s="8" t="s">
        <v>8164</v>
      </c>
      <c r="I280" s="8" t="s">
        <v>8208</v>
      </c>
      <c r="J280" s="8"/>
      <c r="K280" s="8"/>
      <c r="L280" s="8"/>
      <c r="M280" s="8"/>
      <c r="N280" s="8"/>
      <c r="O280" s="8"/>
      <c r="P280" s="8"/>
      <c r="Q280" s="8"/>
      <c r="R280" s="8"/>
      <c r="S280" s="8"/>
    </row>
    <row r="281" spans="1:19" ht="15.75" customHeight="1">
      <c r="A281" s="8">
        <v>202557120</v>
      </c>
      <c r="B281" s="8" t="s">
        <v>8581</v>
      </c>
      <c r="C281" s="8" t="s">
        <v>8937</v>
      </c>
      <c r="D281" s="8" t="s">
        <v>1729</v>
      </c>
      <c r="E281" s="9" t="s">
        <v>1730</v>
      </c>
      <c r="F281" s="8" t="s">
        <v>8938</v>
      </c>
      <c r="G281" s="9">
        <v>34</v>
      </c>
      <c r="H281" s="8" t="s">
        <v>8183</v>
      </c>
      <c r="I281" s="8" t="s">
        <v>8165</v>
      </c>
      <c r="J281" s="8"/>
      <c r="K281" s="8"/>
      <c r="L281" s="8"/>
      <c r="M281" s="8"/>
      <c r="N281" s="8"/>
      <c r="O281" s="8"/>
      <c r="P281" s="8"/>
      <c r="Q281" s="8"/>
      <c r="R281" s="8"/>
      <c r="S281" s="8"/>
    </row>
    <row r="282" spans="1:19" ht="15.75" customHeight="1">
      <c r="A282" s="8">
        <v>205044601</v>
      </c>
      <c r="B282" s="8" t="s">
        <v>8434</v>
      </c>
      <c r="C282" s="8" t="s">
        <v>8939</v>
      </c>
      <c r="D282" s="8" t="s">
        <v>1783</v>
      </c>
      <c r="E282" s="9" t="s">
        <v>1784</v>
      </c>
      <c r="F282" s="8" t="s">
        <v>8940</v>
      </c>
      <c r="G282" s="9">
        <v>38</v>
      </c>
      <c r="H282" s="8" t="s">
        <v>8164</v>
      </c>
      <c r="I282" s="8" t="s">
        <v>8941</v>
      </c>
      <c r="J282" s="8"/>
      <c r="K282" s="8"/>
      <c r="L282" s="8"/>
      <c r="M282" s="8"/>
      <c r="N282" s="8"/>
      <c r="O282" s="8"/>
      <c r="P282" s="8"/>
      <c r="Q282" s="8"/>
      <c r="R282" s="8"/>
      <c r="S282" s="8"/>
    </row>
    <row r="283" spans="1:19" ht="15.75" customHeight="1">
      <c r="A283" s="8">
        <v>205586828</v>
      </c>
      <c r="B283" s="8" t="s">
        <v>8942</v>
      </c>
      <c r="C283" s="8" t="s">
        <v>8774</v>
      </c>
      <c r="D283" s="8" t="s">
        <v>1631</v>
      </c>
      <c r="E283" s="9" t="s">
        <v>1632</v>
      </c>
      <c r="F283" s="8" t="s">
        <v>8943</v>
      </c>
      <c r="G283" s="9">
        <v>39</v>
      </c>
      <c r="H283" s="8" t="s">
        <v>8463</v>
      </c>
      <c r="I283" s="8" t="s">
        <v>8464</v>
      </c>
      <c r="J283" s="8"/>
      <c r="K283" s="8"/>
      <c r="L283" s="8"/>
      <c r="M283" s="8"/>
      <c r="N283" s="8"/>
      <c r="O283" s="8"/>
      <c r="P283" s="8"/>
      <c r="Q283" s="8"/>
      <c r="R283" s="8"/>
      <c r="S283" s="8"/>
    </row>
    <row r="284" spans="1:19" ht="15.75" customHeight="1">
      <c r="A284" s="8">
        <v>205870064</v>
      </c>
      <c r="B284" s="8" t="s">
        <v>8944</v>
      </c>
      <c r="C284" s="8" t="s">
        <v>8945</v>
      </c>
      <c r="D284" s="8" t="s">
        <v>1737</v>
      </c>
      <c r="E284" s="9" t="s">
        <v>1738</v>
      </c>
      <c r="F284" s="8" t="s">
        <v>8946</v>
      </c>
      <c r="G284" s="9">
        <v>34</v>
      </c>
      <c r="H284" s="8" t="s">
        <v>8164</v>
      </c>
      <c r="I284" s="8" t="s">
        <v>8165</v>
      </c>
      <c r="J284" s="8"/>
      <c r="K284" s="8"/>
      <c r="L284" s="8"/>
      <c r="M284" s="8"/>
      <c r="N284" s="8"/>
      <c r="O284" s="8"/>
      <c r="P284" s="8"/>
      <c r="Q284" s="8"/>
      <c r="R284" s="8"/>
      <c r="S284" s="8"/>
    </row>
    <row r="285" spans="1:19" ht="15.75" customHeight="1">
      <c r="A285" s="8">
        <v>205952229</v>
      </c>
      <c r="B285" s="8" t="s">
        <v>8206</v>
      </c>
      <c r="C285" s="8" t="s">
        <v>8947</v>
      </c>
      <c r="D285" s="8" t="s">
        <v>1663</v>
      </c>
      <c r="E285" s="9" t="s">
        <v>1664</v>
      </c>
      <c r="F285" s="8"/>
      <c r="G285" s="9"/>
      <c r="H285" s="8" t="s">
        <v>8164</v>
      </c>
      <c r="I285" s="8" t="s">
        <v>8165</v>
      </c>
      <c r="J285" s="8"/>
      <c r="K285" s="8"/>
      <c r="L285" s="8"/>
      <c r="M285" s="8"/>
      <c r="N285" s="8"/>
      <c r="O285" s="8"/>
      <c r="P285" s="8"/>
      <c r="Q285" s="8"/>
      <c r="R285" s="8"/>
      <c r="S285" s="8"/>
    </row>
    <row r="286" spans="1:19" ht="15.75" customHeight="1">
      <c r="A286" s="8">
        <v>206101163</v>
      </c>
      <c r="B286" s="8" t="s">
        <v>8586</v>
      </c>
      <c r="C286" s="8" t="s">
        <v>8587</v>
      </c>
      <c r="D286" s="8" t="s">
        <v>2545</v>
      </c>
      <c r="E286" s="9" t="s">
        <v>354</v>
      </c>
      <c r="F286" s="8" t="s">
        <v>8948</v>
      </c>
      <c r="G286" s="9">
        <v>48</v>
      </c>
      <c r="H286" s="8" t="s">
        <v>8183</v>
      </c>
      <c r="I286" s="8" t="s">
        <v>8188</v>
      </c>
      <c r="J286" s="8"/>
      <c r="K286" s="8"/>
      <c r="L286" s="8"/>
      <c r="M286" s="8"/>
      <c r="N286" s="8"/>
      <c r="O286" s="8"/>
      <c r="P286" s="8"/>
      <c r="Q286" s="8"/>
      <c r="R286" s="8"/>
      <c r="S286" s="8"/>
    </row>
    <row r="287" spans="1:19" ht="15.75" customHeight="1">
      <c r="A287" s="8">
        <v>206898786</v>
      </c>
      <c r="B287" s="8" t="s">
        <v>8279</v>
      </c>
      <c r="C287" s="8" t="s">
        <v>8949</v>
      </c>
      <c r="D287" s="8" t="s">
        <v>2570</v>
      </c>
      <c r="E287" s="9">
        <v>79994707986</v>
      </c>
      <c r="F287" s="8"/>
      <c r="G287" s="9"/>
      <c r="H287" s="8" t="s">
        <v>8164</v>
      </c>
      <c r="I287" s="8" t="s">
        <v>8191</v>
      </c>
      <c r="J287" s="8"/>
      <c r="K287" s="8"/>
      <c r="L287" s="8"/>
      <c r="M287" s="8"/>
      <c r="N287" s="8"/>
      <c r="O287" s="8"/>
      <c r="P287" s="8"/>
      <c r="Q287" s="8"/>
      <c r="R287" s="8"/>
      <c r="S287" s="8"/>
    </row>
    <row r="288" spans="1:19" ht="15.75" customHeight="1">
      <c r="A288" s="8">
        <v>207574983</v>
      </c>
      <c r="B288" s="8" t="s">
        <v>8581</v>
      </c>
      <c r="C288" s="8" t="s">
        <v>8950</v>
      </c>
      <c r="D288" s="8" t="s">
        <v>1799</v>
      </c>
      <c r="E288" s="9" t="s">
        <v>1800</v>
      </c>
      <c r="F288" s="8" t="s">
        <v>8951</v>
      </c>
      <c r="G288" s="9">
        <v>43</v>
      </c>
      <c r="H288" s="8" t="s">
        <v>8164</v>
      </c>
      <c r="I288" s="8" t="s">
        <v>8165</v>
      </c>
      <c r="J288" s="8"/>
      <c r="K288" s="8"/>
      <c r="L288" s="8"/>
      <c r="M288" s="8"/>
      <c r="N288" s="8"/>
      <c r="O288" s="8"/>
      <c r="P288" s="8"/>
      <c r="Q288" s="8"/>
      <c r="R288" s="8"/>
      <c r="S288" s="8"/>
    </row>
    <row r="289" spans="1:19" ht="15.75" customHeight="1">
      <c r="A289" s="8">
        <v>207965590</v>
      </c>
      <c r="B289" s="8" t="s">
        <v>8682</v>
      </c>
      <c r="C289" s="8" t="s">
        <v>8952</v>
      </c>
      <c r="D289" s="8" t="s">
        <v>1853</v>
      </c>
      <c r="E289" s="9" t="s">
        <v>1854</v>
      </c>
      <c r="F289" s="8"/>
      <c r="G289" s="9"/>
      <c r="H289" s="8" t="s">
        <v>8222</v>
      </c>
      <c r="I289" s="8" t="s">
        <v>8412</v>
      </c>
      <c r="J289" s="8"/>
      <c r="K289" s="8"/>
      <c r="L289" s="8"/>
      <c r="M289" s="8"/>
      <c r="N289" s="8"/>
      <c r="O289" s="8"/>
      <c r="P289" s="8"/>
      <c r="Q289" s="8"/>
      <c r="R289" s="8"/>
      <c r="S289" s="8"/>
    </row>
    <row r="290" spans="1:19" ht="15.75" customHeight="1">
      <c r="A290" s="8">
        <v>210371507</v>
      </c>
      <c r="B290" s="8" t="s">
        <v>8953</v>
      </c>
      <c r="C290" s="8" t="s">
        <v>8954</v>
      </c>
      <c r="D290" s="8" t="s">
        <v>1690</v>
      </c>
      <c r="E290" s="9">
        <v>28240780</v>
      </c>
      <c r="F290" s="8"/>
      <c r="G290" s="9"/>
      <c r="H290" s="8" t="s">
        <v>8558</v>
      </c>
      <c r="I290" s="8" t="s">
        <v>8559</v>
      </c>
      <c r="J290" s="8"/>
      <c r="K290" s="8"/>
      <c r="L290" s="8"/>
      <c r="M290" s="8"/>
      <c r="N290" s="8"/>
      <c r="O290" s="8"/>
      <c r="P290" s="8"/>
      <c r="Q290" s="8"/>
      <c r="R290" s="8"/>
      <c r="S290" s="8"/>
    </row>
    <row r="291" spans="1:19" ht="15.75" customHeight="1">
      <c r="A291" s="8">
        <v>210439195</v>
      </c>
      <c r="B291" s="8" t="s">
        <v>8955</v>
      </c>
      <c r="C291" s="8" t="s">
        <v>8956</v>
      </c>
      <c r="D291" s="8" t="s">
        <v>1507</v>
      </c>
      <c r="E291" s="9">
        <v>25488544</v>
      </c>
      <c r="F291" s="8" t="s">
        <v>8957</v>
      </c>
      <c r="G291" s="9">
        <v>37</v>
      </c>
      <c r="H291" s="8" t="s">
        <v>8558</v>
      </c>
      <c r="I291" s="8" t="s">
        <v>8559</v>
      </c>
      <c r="J291" s="8"/>
      <c r="K291" s="8"/>
      <c r="L291" s="8"/>
      <c r="M291" s="8"/>
      <c r="N291" s="8"/>
      <c r="O291" s="8"/>
      <c r="P291" s="8"/>
      <c r="Q291" s="8"/>
      <c r="R291" s="8"/>
      <c r="S291" s="8"/>
    </row>
    <row r="292" spans="1:19" ht="15.75" customHeight="1">
      <c r="A292" s="8">
        <v>210542313</v>
      </c>
      <c r="B292" s="8" t="s">
        <v>8824</v>
      </c>
      <c r="C292" s="8" t="s">
        <v>8958</v>
      </c>
      <c r="D292" s="8" t="s">
        <v>2148</v>
      </c>
      <c r="E292" s="9">
        <v>28231036</v>
      </c>
      <c r="F292" s="8"/>
      <c r="G292" s="9"/>
      <c r="H292" s="8" t="s">
        <v>8558</v>
      </c>
      <c r="I292" s="8" t="s">
        <v>8559</v>
      </c>
      <c r="J292" s="8"/>
      <c r="K292" s="8"/>
      <c r="L292" s="8"/>
      <c r="M292" s="8"/>
      <c r="N292" s="8"/>
      <c r="O292" s="8"/>
      <c r="P292" s="8"/>
      <c r="Q292" s="8"/>
      <c r="R292" s="8"/>
      <c r="S292" s="8"/>
    </row>
    <row r="293" spans="1:19" ht="15.75" customHeight="1">
      <c r="A293" s="8">
        <v>210637945</v>
      </c>
      <c r="B293" s="8" t="s">
        <v>8959</v>
      </c>
      <c r="C293" s="8" t="s">
        <v>8960</v>
      </c>
      <c r="D293" s="8" t="s">
        <v>2137</v>
      </c>
      <c r="E293" s="9" t="s">
        <v>2138</v>
      </c>
      <c r="F293" s="8" t="s">
        <v>8961</v>
      </c>
      <c r="G293" s="9">
        <v>37</v>
      </c>
      <c r="H293" s="8" t="s">
        <v>8558</v>
      </c>
      <c r="I293" s="8" t="s">
        <v>8962</v>
      </c>
      <c r="J293" s="8"/>
      <c r="K293" s="8"/>
      <c r="L293" s="8"/>
      <c r="M293" s="8"/>
      <c r="N293" s="8"/>
      <c r="O293" s="8"/>
      <c r="P293" s="8"/>
      <c r="Q293" s="8"/>
      <c r="R293" s="8"/>
      <c r="S293" s="8"/>
    </row>
    <row r="294" spans="1:19" ht="15.75" customHeight="1">
      <c r="A294" s="8">
        <v>210753316</v>
      </c>
      <c r="B294" s="8" t="s">
        <v>8963</v>
      </c>
      <c r="C294" s="8" t="s">
        <v>8964</v>
      </c>
      <c r="D294" s="8" t="s">
        <v>8965</v>
      </c>
      <c r="E294" s="9">
        <v>37122374680</v>
      </c>
      <c r="F294" s="8"/>
      <c r="G294" s="9"/>
      <c r="H294" s="8" t="s">
        <v>8558</v>
      </c>
      <c r="I294" s="8" t="s">
        <v>8559</v>
      </c>
      <c r="J294" s="8"/>
      <c r="K294" s="8"/>
      <c r="L294" s="8"/>
      <c r="M294" s="8"/>
      <c r="N294" s="8"/>
      <c r="O294" s="8"/>
      <c r="P294" s="8"/>
      <c r="Q294" s="8"/>
      <c r="R294" s="8"/>
      <c r="S294" s="8"/>
    </row>
    <row r="295" spans="1:19" ht="15.75" customHeight="1">
      <c r="A295" s="8">
        <v>210802772</v>
      </c>
      <c r="B295" s="8" t="s">
        <v>8966</v>
      </c>
      <c r="C295" s="8" t="s">
        <v>8967</v>
      </c>
      <c r="D295" s="8" t="s">
        <v>2555</v>
      </c>
      <c r="E295" s="9" t="s">
        <v>2556</v>
      </c>
      <c r="F295" s="8" t="s">
        <v>8968</v>
      </c>
      <c r="G295" s="9">
        <v>37</v>
      </c>
      <c r="H295" s="8" t="s">
        <v>8164</v>
      </c>
      <c r="I295" s="8" t="s">
        <v>8191</v>
      </c>
      <c r="J295" s="8"/>
      <c r="K295" s="8"/>
      <c r="L295" s="8"/>
      <c r="M295" s="8"/>
      <c r="N295" s="8"/>
      <c r="O295" s="8"/>
      <c r="P295" s="8"/>
      <c r="Q295" s="8"/>
      <c r="R295" s="8"/>
      <c r="S295" s="8"/>
    </row>
    <row r="296" spans="1:19" ht="15.75" customHeight="1">
      <c r="A296" s="8">
        <v>211493383</v>
      </c>
      <c r="B296" s="8" t="s">
        <v>8969</v>
      </c>
      <c r="C296" s="8" t="s">
        <v>8970</v>
      </c>
      <c r="D296" s="8" t="s">
        <v>1611</v>
      </c>
      <c r="E296" s="9" t="s">
        <v>1612</v>
      </c>
      <c r="F296" s="8" t="s">
        <v>8971</v>
      </c>
      <c r="G296" s="9">
        <v>69</v>
      </c>
      <c r="H296" s="8" t="s">
        <v>8267</v>
      </c>
      <c r="I296" s="8" t="s">
        <v>8972</v>
      </c>
      <c r="J296" s="8"/>
      <c r="K296" s="8"/>
      <c r="L296" s="8"/>
      <c r="M296" s="8"/>
      <c r="N296" s="8"/>
      <c r="O296" s="8"/>
      <c r="P296" s="8"/>
      <c r="Q296" s="8"/>
      <c r="R296" s="8"/>
      <c r="S296" s="8"/>
    </row>
    <row r="297" spans="1:19" ht="15.75" customHeight="1">
      <c r="A297" s="8">
        <v>211574954</v>
      </c>
      <c r="B297" s="8" t="s">
        <v>8862</v>
      </c>
      <c r="C297" s="8" t="s">
        <v>8973</v>
      </c>
      <c r="D297" s="8" t="s">
        <v>2429</v>
      </c>
      <c r="E297" s="9" t="s">
        <v>2430</v>
      </c>
      <c r="F297" s="8" t="s">
        <v>8974</v>
      </c>
      <c r="G297" s="9">
        <v>50</v>
      </c>
      <c r="H297" s="8" t="s">
        <v>8975</v>
      </c>
      <c r="I297" s="8" t="s">
        <v>8976</v>
      </c>
      <c r="J297" s="8"/>
      <c r="K297" s="8"/>
      <c r="L297" s="8"/>
      <c r="M297" s="8"/>
      <c r="N297" s="8"/>
      <c r="O297" s="8"/>
      <c r="P297" s="8"/>
      <c r="Q297" s="8"/>
      <c r="R297" s="8"/>
      <c r="S297" s="8"/>
    </row>
    <row r="298" spans="1:19" ht="15.75" customHeight="1">
      <c r="A298" s="8">
        <v>212073210</v>
      </c>
      <c r="B298" s="8" t="s">
        <v>8277</v>
      </c>
      <c r="C298" s="8" t="s">
        <v>8977</v>
      </c>
      <c r="D298" s="8" t="s">
        <v>2393</v>
      </c>
      <c r="E298" s="9">
        <v>79138211306</v>
      </c>
      <c r="F298" s="8" t="s">
        <v>8978</v>
      </c>
      <c r="G298" s="9">
        <v>37</v>
      </c>
      <c r="H298" s="8" t="s">
        <v>8164</v>
      </c>
      <c r="I298" s="8" t="s">
        <v>8979</v>
      </c>
      <c r="J298" s="8" t="s">
        <v>8980</v>
      </c>
      <c r="K298" s="8"/>
      <c r="L298" s="8"/>
      <c r="M298" s="8"/>
      <c r="N298" s="8"/>
      <c r="O298" s="8"/>
      <c r="P298" s="8"/>
      <c r="Q298" s="8"/>
      <c r="R298" s="8"/>
      <c r="S298" s="8"/>
    </row>
    <row r="299" spans="1:19" ht="15.75" customHeight="1">
      <c r="A299" s="8">
        <v>213701156</v>
      </c>
      <c r="B299" s="8" t="s">
        <v>8431</v>
      </c>
      <c r="C299" s="8" t="s">
        <v>8981</v>
      </c>
      <c r="D299" s="8" t="s">
        <v>2542</v>
      </c>
      <c r="E299" s="9" t="s">
        <v>2543</v>
      </c>
      <c r="F299" s="8"/>
      <c r="G299" s="9"/>
      <c r="H299" s="8" t="s">
        <v>8164</v>
      </c>
      <c r="I299" s="8" t="s">
        <v>8191</v>
      </c>
      <c r="J299" s="8"/>
      <c r="K299" s="8"/>
      <c r="L299" s="8"/>
      <c r="M299" s="8"/>
      <c r="N299" s="8"/>
      <c r="O299" s="8"/>
      <c r="P299" s="8"/>
      <c r="Q299" s="8"/>
      <c r="R299" s="8"/>
      <c r="S299" s="8"/>
    </row>
    <row r="300" spans="1:19" ht="15.75" customHeight="1">
      <c r="A300" s="8">
        <v>214424208</v>
      </c>
      <c r="B300" s="8" t="s">
        <v>8982</v>
      </c>
      <c r="C300" s="8" t="s">
        <v>8983</v>
      </c>
      <c r="D300" s="8" t="s">
        <v>1947</v>
      </c>
      <c r="E300" s="9" t="s">
        <v>1948</v>
      </c>
      <c r="F300" s="8" t="s">
        <v>8984</v>
      </c>
      <c r="G300" s="9">
        <v>28</v>
      </c>
      <c r="H300" s="8" t="s">
        <v>8164</v>
      </c>
      <c r="I300" s="8" t="s">
        <v>8985</v>
      </c>
      <c r="J300" s="8"/>
      <c r="K300" s="8"/>
      <c r="L300" s="8"/>
      <c r="M300" s="8"/>
      <c r="N300" s="8"/>
      <c r="O300" s="8"/>
      <c r="P300" s="8"/>
      <c r="Q300" s="8"/>
      <c r="R300" s="8"/>
      <c r="S300" s="8"/>
    </row>
    <row r="301" spans="1:19" ht="15.75" customHeight="1">
      <c r="A301" s="8">
        <v>214443677</v>
      </c>
      <c r="B301" s="8" t="s">
        <v>8581</v>
      </c>
      <c r="C301" s="8" t="s">
        <v>8986</v>
      </c>
      <c r="D301" s="8" t="s">
        <v>1679</v>
      </c>
      <c r="E301" s="9">
        <v>79151666161</v>
      </c>
      <c r="F301" s="8" t="s">
        <v>8987</v>
      </c>
      <c r="G301" s="9">
        <v>36</v>
      </c>
      <c r="H301" s="8" t="s">
        <v>8164</v>
      </c>
      <c r="I301" s="8" t="s">
        <v>8165</v>
      </c>
      <c r="J301" s="8"/>
      <c r="K301" s="8"/>
      <c r="L301" s="8"/>
      <c r="M301" s="8"/>
      <c r="N301" s="8"/>
      <c r="O301" s="8"/>
      <c r="P301" s="8"/>
      <c r="Q301" s="8"/>
      <c r="R301" s="8"/>
      <c r="S301" s="8"/>
    </row>
    <row r="302" spans="1:19" ht="15.75" customHeight="1">
      <c r="A302" s="8">
        <v>214451896</v>
      </c>
      <c r="B302" s="8" t="s">
        <v>8988</v>
      </c>
      <c r="C302" s="8" t="s">
        <v>8989</v>
      </c>
      <c r="D302" s="8" t="s">
        <v>2258</v>
      </c>
      <c r="E302" s="9" t="s">
        <v>2259</v>
      </c>
      <c r="F302" s="8" t="s">
        <v>8990</v>
      </c>
      <c r="G302" s="9">
        <v>38</v>
      </c>
      <c r="H302" s="8" t="s">
        <v>8179</v>
      </c>
      <c r="I302" s="8" t="s">
        <v>8180</v>
      </c>
      <c r="J302" s="8"/>
      <c r="K302" s="8"/>
      <c r="L302" s="8"/>
      <c r="M302" s="8"/>
      <c r="N302" s="8"/>
      <c r="O302" s="8"/>
      <c r="P302" s="8"/>
      <c r="Q302" s="8"/>
      <c r="R302" s="8"/>
      <c r="S302" s="8"/>
    </row>
    <row r="303" spans="1:19" ht="15.75" customHeight="1">
      <c r="A303" s="8">
        <v>214515849</v>
      </c>
      <c r="B303" s="8" t="s">
        <v>8991</v>
      </c>
      <c r="C303" s="8" t="s">
        <v>8992</v>
      </c>
      <c r="D303" s="8" t="s">
        <v>1955</v>
      </c>
      <c r="E303" s="9" t="s">
        <v>1956</v>
      </c>
      <c r="F303" s="8"/>
      <c r="G303" s="9"/>
      <c r="H303" s="8" t="s">
        <v>8164</v>
      </c>
      <c r="I303" s="8" t="s">
        <v>8165</v>
      </c>
      <c r="J303" s="8"/>
      <c r="K303" s="8"/>
      <c r="L303" s="8"/>
      <c r="M303" s="8"/>
      <c r="N303" s="8"/>
      <c r="O303" s="8"/>
      <c r="P303" s="8"/>
      <c r="Q303" s="8"/>
      <c r="R303" s="8"/>
      <c r="S303" s="8"/>
    </row>
    <row r="304" spans="1:19" ht="15.75" customHeight="1">
      <c r="A304" s="8">
        <v>214603233</v>
      </c>
      <c r="B304" s="8" t="s">
        <v>8993</v>
      </c>
      <c r="C304" s="8" t="s">
        <v>8994</v>
      </c>
      <c r="D304" s="8" t="s">
        <v>1709</v>
      </c>
      <c r="E304" s="9" t="s">
        <v>1710</v>
      </c>
      <c r="F304" s="8" t="s">
        <v>8995</v>
      </c>
      <c r="G304" s="9">
        <v>32</v>
      </c>
      <c r="H304" s="8" t="s">
        <v>8164</v>
      </c>
      <c r="I304" s="8" t="s">
        <v>8165</v>
      </c>
      <c r="J304" s="8" t="s">
        <v>8996</v>
      </c>
      <c r="K304" s="8"/>
      <c r="L304" s="8"/>
      <c r="M304" s="8"/>
      <c r="N304" s="8"/>
      <c r="O304" s="8"/>
      <c r="P304" s="8"/>
      <c r="Q304" s="8"/>
      <c r="R304" s="8"/>
      <c r="S304" s="8"/>
    </row>
    <row r="305" spans="1:19" ht="15.75" customHeight="1">
      <c r="A305" s="8">
        <v>214714351</v>
      </c>
      <c r="B305" s="8" t="s">
        <v>8206</v>
      </c>
      <c r="C305" s="8" t="s">
        <v>8997</v>
      </c>
      <c r="D305" s="8" t="s">
        <v>1639</v>
      </c>
      <c r="E305" s="9" t="s">
        <v>1640</v>
      </c>
      <c r="F305" s="8" t="s">
        <v>8998</v>
      </c>
      <c r="G305" s="9">
        <v>53</v>
      </c>
      <c r="H305" s="8" t="s">
        <v>8164</v>
      </c>
      <c r="I305" s="8" t="s">
        <v>8208</v>
      </c>
      <c r="J305" s="8"/>
      <c r="K305" s="8"/>
      <c r="L305" s="8"/>
      <c r="M305" s="8"/>
      <c r="N305" s="8"/>
      <c r="O305" s="8"/>
      <c r="P305" s="8"/>
      <c r="Q305" s="8"/>
      <c r="R305" s="8"/>
      <c r="S305" s="8"/>
    </row>
    <row r="306" spans="1:19" ht="15.75" customHeight="1">
      <c r="A306" s="8">
        <v>214892610</v>
      </c>
      <c r="B306" s="8" t="s">
        <v>8999</v>
      </c>
      <c r="C306" s="8" t="s">
        <v>9000</v>
      </c>
      <c r="D306" s="8" t="s">
        <v>9001</v>
      </c>
      <c r="E306" s="9" t="s">
        <v>9002</v>
      </c>
      <c r="F306" s="8"/>
      <c r="G306" s="9"/>
      <c r="H306" s="8" t="s">
        <v>8463</v>
      </c>
      <c r="I306" s="8" t="s">
        <v>8464</v>
      </c>
      <c r="J306" s="8"/>
      <c r="K306" s="8"/>
      <c r="L306" s="8"/>
      <c r="M306" s="8"/>
      <c r="N306" s="8"/>
      <c r="O306" s="8"/>
      <c r="P306" s="8"/>
      <c r="Q306" s="8"/>
      <c r="R306" s="8"/>
      <c r="S306" s="8"/>
    </row>
    <row r="307" spans="1:19" ht="15.75" customHeight="1">
      <c r="A307" s="8">
        <v>215576378</v>
      </c>
      <c r="B307" s="8" t="s">
        <v>9003</v>
      </c>
      <c r="C307" s="8" t="s">
        <v>9004</v>
      </c>
      <c r="D307" s="8" t="s">
        <v>1309</v>
      </c>
      <c r="E307" s="9">
        <v>43664511</v>
      </c>
      <c r="F307" s="8"/>
      <c r="G307" s="9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</row>
    <row r="308" spans="1:19" ht="15.75" customHeight="1">
      <c r="A308" s="8">
        <v>215596918</v>
      </c>
      <c r="B308" s="8" t="s">
        <v>9005</v>
      </c>
      <c r="C308" s="8" t="s">
        <v>9006</v>
      </c>
      <c r="D308" s="8" t="s">
        <v>1312</v>
      </c>
      <c r="E308" s="9">
        <v>79140365055</v>
      </c>
      <c r="F308" s="8" t="s">
        <v>9007</v>
      </c>
      <c r="G308" s="9">
        <v>44</v>
      </c>
      <c r="H308" s="8" t="s">
        <v>8164</v>
      </c>
      <c r="I308" s="8" t="s">
        <v>9008</v>
      </c>
      <c r="J308" s="8"/>
      <c r="K308" s="8"/>
      <c r="L308" s="8"/>
      <c r="M308" s="8"/>
      <c r="N308" s="8"/>
      <c r="O308" s="8"/>
      <c r="P308" s="8"/>
      <c r="Q308" s="8"/>
      <c r="R308" s="8"/>
      <c r="S308" s="8"/>
    </row>
    <row r="309" spans="1:19" ht="15.75" customHeight="1">
      <c r="A309" s="8">
        <v>215664147</v>
      </c>
      <c r="B309" s="8" t="s">
        <v>8438</v>
      </c>
      <c r="C309" s="8" t="s">
        <v>9009</v>
      </c>
      <c r="D309" s="8" t="s">
        <v>1315</v>
      </c>
      <c r="E309" s="9" t="s">
        <v>1316</v>
      </c>
      <c r="F309" s="8"/>
      <c r="G309" s="9"/>
      <c r="H309" s="8" t="s">
        <v>8267</v>
      </c>
      <c r="I309" s="8" t="s">
        <v>8272</v>
      </c>
      <c r="J309" s="8"/>
      <c r="K309" s="8"/>
      <c r="L309" s="8"/>
      <c r="M309" s="8"/>
      <c r="N309" s="8"/>
      <c r="O309" s="8"/>
      <c r="P309" s="8"/>
      <c r="Q309" s="8"/>
      <c r="R309" s="8"/>
      <c r="S309" s="8"/>
    </row>
    <row r="310" spans="1:19" ht="15.75" customHeight="1">
      <c r="A310" s="8">
        <v>215730342</v>
      </c>
      <c r="B310" s="8" t="s">
        <v>9010</v>
      </c>
      <c r="C310" s="8" t="s">
        <v>9011</v>
      </c>
      <c r="D310" s="8" t="s">
        <v>1319</v>
      </c>
      <c r="E310" s="9" t="s">
        <v>1320</v>
      </c>
      <c r="F310" s="8" t="s">
        <v>9012</v>
      </c>
      <c r="G310" s="9">
        <v>36</v>
      </c>
      <c r="H310" s="8" t="s">
        <v>8183</v>
      </c>
      <c r="I310" s="8" t="s">
        <v>9013</v>
      </c>
      <c r="J310" s="8"/>
      <c r="K310" s="8"/>
      <c r="L310" s="8"/>
      <c r="M310" s="8"/>
      <c r="N310" s="8"/>
      <c r="O310" s="8"/>
      <c r="P310" s="8"/>
      <c r="Q310" s="8"/>
      <c r="R310" s="8"/>
      <c r="S310" s="8"/>
    </row>
    <row r="311" spans="1:19" ht="15.75" customHeight="1">
      <c r="A311" s="8">
        <v>215783905</v>
      </c>
      <c r="B311" s="8" t="s">
        <v>8431</v>
      </c>
      <c r="C311" s="8" t="s">
        <v>9014</v>
      </c>
      <c r="D311" s="8" t="s">
        <v>1323</v>
      </c>
      <c r="E311" s="9">
        <v>79033992548</v>
      </c>
      <c r="F311" s="8" t="s">
        <v>9015</v>
      </c>
      <c r="G311" s="9">
        <v>50</v>
      </c>
      <c r="H311" s="8" t="s">
        <v>8164</v>
      </c>
      <c r="I311" s="8" t="s">
        <v>8483</v>
      </c>
      <c r="J311" s="8"/>
      <c r="K311" s="8"/>
      <c r="L311" s="8"/>
      <c r="M311" s="8"/>
      <c r="N311" s="8"/>
      <c r="O311" s="8"/>
      <c r="P311" s="8"/>
      <c r="Q311" s="8"/>
      <c r="R311" s="8"/>
      <c r="S311" s="8"/>
    </row>
    <row r="312" spans="1:19" ht="15.75" customHeight="1">
      <c r="A312" s="8">
        <v>215814882</v>
      </c>
      <c r="B312" s="8" t="s">
        <v>8479</v>
      </c>
      <c r="C312" s="8" t="s">
        <v>9016</v>
      </c>
      <c r="D312" s="8" t="s">
        <v>1326</v>
      </c>
      <c r="E312" s="9" t="s">
        <v>1327</v>
      </c>
      <c r="F312" s="8" t="s">
        <v>9017</v>
      </c>
      <c r="G312" s="9">
        <v>67</v>
      </c>
      <c r="H312" s="8" t="s">
        <v>8222</v>
      </c>
      <c r="I312" s="8" t="s">
        <v>9018</v>
      </c>
      <c r="J312" s="8"/>
      <c r="K312" s="8"/>
      <c r="L312" s="8"/>
      <c r="M312" s="8"/>
      <c r="N312" s="8"/>
      <c r="O312" s="8"/>
      <c r="P312" s="8"/>
      <c r="Q312" s="8"/>
      <c r="R312" s="8"/>
      <c r="S312" s="8"/>
    </row>
    <row r="313" spans="1:19" ht="15.75" customHeight="1">
      <c r="A313" s="8">
        <v>215840595</v>
      </c>
      <c r="B313" s="8" t="s">
        <v>8311</v>
      </c>
      <c r="C313" s="8" t="s">
        <v>9019</v>
      </c>
      <c r="D313" s="8" t="s">
        <v>1330</v>
      </c>
      <c r="E313" s="9">
        <v>79024730014</v>
      </c>
      <c r="F313" s="8"/>
      <c r="G313" s="9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</row>
    <row r="314" spans="1:19" ht="15.75" customHeight="1">
      <c r="A314" s="8">
        <v>215916039</v>
      </c>
      <c r="B314" s="8" t="s">
        <v>9020</v>
      </c>
      <c r="C314" s="8" t="s">
        <v>9021</v>
      </c>
      <c r="D314" s="8" t="s">
        <v>1333</v>
      </c>
      <c r="E314" s="9">
        <v>15788766734</v>
      </c>
      <c r="F314" s="8"/>
      <c r="G314" s="9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</row>
    <row r="315" spans="1:19" ht="15.75" customHeight="1">
      <c r="A315" s="8">
        <v>215949946</v>
      </c>
      <c r="B315" s="8" t="s">
        <v>9022</v>
      </c>
      <c r="C315" s="8" t="s">
        <v>9023</v>
      </c>
      <c r="D315" s="8" t="s">
        <v>1336</v>
      </c>
      <c r="E315" s="9" t="s">
        <v>1337</v>
      </c>
      <c r="F315" s="8"/>
      <c r="G315" s="9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</row>
    <row r="316" spans="1:19" ht="15.75" customHeight="1">
      <c r="A316" s="8">
        <v>215957997</v>
      </c>
      <c r="B316" s="8" t="s">
        <v>8883</v>
      </c>
      <c r="C316" s="8" t="s">
        <v>8884</v>
      </c>
      <c r="D316" s="8" t="s">
        <v>9024</v>
      </c>
      <c r="E316" s="9">
        <v>79287227997</v>
      </c>
      <c r="F316" s="8"/>
      <c r="G316" s="9"/>
      <c r="H316" s="8"/>
      <c r="I316" s="8"/>
      <c r="J316" s="8" t="s">
        <v>9025</v>
      </c>
      <c r="K316" s="8"/>
      <c r="L316" s="8"/>
      <c r="M316" s="8"/>
      <c r="N316" s="8"/>
      <c r="O316" s="8"/>
      <c r="P316" s="8" t="s">
        <v>8171</v>
      </c>
      <c r="Q316" s="8"/>
      <c r="R316" s="8"/>
      <c r="S316" s="8"/>
    </row>
    <row r="317" spans="1:19" ht="15.75" customHeight="1">
      <c r="A317" s="8">
        <v>216182473</v>
      </c>
      <c r="B317" s="8" t="s">
        <v>9026</v>
      </c>
      <c r="C317" s="8" t="s">
        <v>9027</v>
      </c>
      <c r="D317" s="8" t="s">
        <v>1340</v>
      </c>
      <c r="E317" s="9">
        <v>29577601</v>
      </c>
      <c r="F317" s="8" t="s">
        <v>9028</v>
      </c>
      <c r="G317" s="9">
        <v>31</v>
      </c>
      <c r="H317" s="8" t="s">
        <v>9029</v>
      </c>
      <c r="I317" s="8" t="s">
        <v>9030</v>
      </c>
      <c r="J317" s="8"/>
      <c r="K317" s="8"/>
      <c r="L317" s="8"/>
      <c r="M317" s="8"/>
      <c r="N317" s="8"/>
      <c r="O317" s="8"/>
      <c r="P317" s="8"/>
      <c r="Q317" s="8"/>
      <c r="R317" s="8"/>
      <c r="S317" s="8"/>
    </row>
    <row r="318" spans="1:19" ht="15.75" customHeight="1">
      <c r="A318" s="8">
        <v>216211589</v>
      </c>
      <c r="B318" s="8" t="s">
        <v>8431</v>
      </c>
      <c r="C318" s="8" t="s">
        <v>9031</v>
      </c>
      <c r="D318" s="8" t="s">
        <v>9032</v>
      </c>
      <c r="E318" s="9" t="s">
        <v>9033</v>
      </c>
      <c r="F318" s="8"/>
      <c r="G318" s="9"/>
      <c r="H318" s="8" t="s">
        <v>8183</v>
      </c>
      <c r="I318" s="8" t="s">
        <v>8184</v>
      </c>
      <c r="J318" s="8"/>
      <c r="K318" s="8"/>
      <c r="L318" s="8"/>
      <c r="M318" s="8"/>
      <c r="N318" s="8"/>
      <c r="O318" s="8"/>
      <c r="P318" s="8"/>
      <c r="Q318" s="8"/>
      <c r="R318" s="8"/>
      <c r="S318" s="8"/>
    </row>
    <row r="319" spans="1:19" ht="15.75" customHeight="1">
      <c r="A319" s="8">
        <v>216396853</v>
      </c>
      <c r="B319" s="8" t="s">
        <v>9034</v>
      </c>
      <c r="C319" s="8" t="s">
        <v>9035</v>
      </c>
      <c r="D319" s="8" t="s">
        <v>1343</v>
      </c>
      <c r="E319" s="9">
        <v>79384402025</v>
      </c>
      <c r="F319" s="8"/>
      <c r="G319" s="9"/>
      <c r="H319" s="8" t="s">
        <v>8164</v>
      </c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</row>
    <row r="320" spans="1:19" ht="15.75" customHeight="1">
      <c r="A320" s="8">
        <v>216415878</v>
      </c>
      <c r="B320" s="8" t="s">
        <v>8431</v>
      </c>
      <c r="C320" s="8" t="s">
        <v>9036</v>
      </c>
      <c r="D320" s="8" t="s">
        <v>1348</v>
      </c>
      <c r="E320" s="9" t="s">
        <v>1349</v>
      </c>
      <c r="F320" s="8"/>
      <c r="G320" s="9"/>
      <c r="H320" s="8" t="s">
        <v>8164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</row>
    <row r="321" spans="1:19" ht="15.75" customHeight="1">
      <c r="A321" s="8">
        <v>216440763</v>
      </c>
      <c r="B321" s="8" t="s">
        <v>9037</v>
      </c>
      <c r="C321" s="8" t="s">
        <v>9038</v>
      </c>
      <c r="D321" s="8" t="s">
        <v>1352</v>
      </c>
      <c r="E321" s="9">
        <v>299458464</v>
      </c>
      <c r="F321" s="8"/>
      <c r="G321" s="9"/>
      <c r="H321" s="8" t="s">
        <v>8222</v>
      </c>
      <c r="I321" s="8" t="s">
        <v>8412</v>
      </c>
      <c r="J321" s="8"/>
      <c r="K321" s="8"/>
      <c r="L321" s="8"/>
      <c r="M321" s="8"/>
      <c r="N321" s="8"/>
      <c r="O321" s="8"/>
      <c r="P321" s="8"/>
      <c r="Q321" s="8"/>
      <c r="R321" s="8"/>
      <c r="S321" s="8"/>
    </row>
    <row r="322" spans="1:19" ht="15.75" customHeight="1">
      <c r="A322" s="8">
        <v>216441762</v>
      </c>
      <c r="B322" s="8" t="s">
        <v>9039</v>
      </c>
      <c r="C322" s="8" t="s">
        <v>9040</v>
      </c>
      <c r="D322" s="8" t="s">
        <v>1355</v>
      </c>
      <c r="E322" s="9" t="s">
        <v>1356</v>
      </c>
      <c r="F322" s="8"/>
      <c r="G322" s="9"/>
      <c r="H322" s="8" t="s">
        <v>8222</v>
      </c>
      <c r="I322" s="8" t="s">
        <v>8412</v>
      </c>
      <c r="J322" s="8"/>
      <c r="K322" s="8"/>
      <c r="L322" s="8"/>
      <c r="M322" s="8"/>
      <c r="N322" s="8"/>
      <c r="O322" s="8"/>
      <c r="P322" s="8"/>
      <c r="Q322" s="8"/>
      <c r="R322" s="8"/>
      <c r="S322" s="8"/>
    </row>
    <row r="323" spans="1:19" ht="15.75" customHeight="1">
      <c r="A323" s="8">
        <v>216454180</v>
      </c>
      <c r="B323" s="8" t="s">
        <v>8643</v>
      </c>
      <c r="C323" s="8" t="s">
        <v>9041</v>
      </c>
      <c r="D323" s="8" t="s">
        <v>1359</v>
      </c>
      <c r="E323" s="9">
        <v>79217907548</v>
      </c>
      <c r="F323" s="8"/>
      <c r="G323" s="9"/>
      <c r="H323" s="8" t="s">
        <v>8164</v>
      </c>
      <c r="I323" s="8" t="s">
        <v>8208</v>
      </c>
      <c r="J323" s="8"/>
      <c r="K323" s="8"/>
      <c r="L323" s="8"/>
      <c r="M323" s="8"/>
      <c r="N323" s="8"/>
      <c r="O323" s="8"/>
      <c r="P323" s="8"/>
      <c r="Q323" s="8"/>
      <c r="R323" s="8"/>
      <c r="S323" s="8"/>
    </row>
    <row r="324" spans="1:19" ht="15.75" customHeight="1">
      <c r="A324" s="8">
        <v>216471996</v>
      </c>
      <c r="B324" s="8" t="s">
        <v>8694</v>
      </c>
      <c r="C324" s="8" t="s">
        <v>9042</v>
      </c>
      <c r="D324" s="8" t="s">
        <v>1362</v>
      </c>
      <c r="E324" s="9" t="s">
        <v>1363</v>
      </c>
      <c r="F324" s="8" t="s">
        <v>9043</v>
      </c>
      <c r="G324" s="9">
        <v>24</v>
      </c>
      <c r="H324" s="8" t="s">
        <v>8222</v>
      </c>
      <c r="I324" s="8" t="s">
        <v>8412</v>
      </c>
      <c r="J324" s="8"/>
      <c r="K324" s="8"/>
      <c r="L324" s="8"/>
      <c r="M324" s="8"/>
      <c r="N324" s="8"/>
      <c r="O324" s="8"/>
      <c r="P324" s="8"/>
      <c r="Q324" s="8"/>
      <c r="R324" s="8"/>
      <c r="S324" s="8"/>
    </row>
    <row r="325" spans="1:19" ht="15.75" customHeight="1">
      <c r="A325" s="8">
        <v>216499692</v>
      </c>
      <c r="B325" s="8" t="s">
        <v>9044</v>
      </c>
      <c r="C325" s="8" t="s">
        <v>9045</v>
      </c>
      <c r="D325" s="8" t="s">
        <v>1366</v>
      </c>
      <c r="E325" s="9">
        <v>292706562</v>
      </c>
      <c r="F325" s="8"/>
      <c r="G325" s="9"/>
      <c r="H325" s="8" t="s">
        <v>8158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</row>
    <row r="326" spans="1:19" ht="15.75" customHeight="1">
      <c r="A326" s="8">
        <v>216549205</v>
      </c>
      <c r="B326" s="8" t="s">
        <v>9046</v>
      </c>
      <c r="C326" s="8" t="s">
        <v>9047</v>
      </c>
      <c r="D326" s="8" t="s">
        <v>1369</v>
      </c>
      <c r="E326" s="9" t="s">
        <v>1370</v>
      </c>
      <c r="F326" s="8"/>
      <c r="G326" s="9"/>
      <c r="H326" s="8" t="s">
        <v>8222</v>
      </c>
      <c r="I326" s="8" t="s">
        <v>8412</v>
      </c>
      <c r="J326" s="8"/>
      <c r="K326" s="8"/>
      <c r="L326" s="8"/>
      <c r="M326" s="8"/>
      <c r="N326" s="8"/>
      <c r="O326" s="8"/>
      <c r="P326" s="8"/>
      <c r="Q326" s="8"/>
      <c r="R326" s="8"/>
      <c r="S326" s="8"/>
    </row>
    <row r="327" spans="1:19" ht="15.75" customHeight="1">
      <c r="A327" s="8">
        <v>216568984</v>
      </c>
      <c r="B327" s="8" t="s">
        <v>7399</v>
      </c>
      <c r="C327" s="8" t="s">
        <v>9048</v>
      </c>
      <c r="D327" s="8" t="s">
        <v>1373</v>
      </c>
      <c r="E327" s="9">
        <v>79276257175</v>
      </c>
      <c r="F327" s="8"/>
      <c r="G327" s="9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</row>
    <row r="328" spans="1:19" ht="15.75" customHeight="1">
      <c r="A328" s="8">
        <v>216694007</v>
      </c>
      <c r="B328" s="8" t="s">
        <v>8206</v>
      </c>
      <c r="C328" s="8" t="s">
        <v>9049</v>
      </c>
      <c r="D328" s="8" t="s">
        <v>1376</v>
      </c>
      <c r="E328" s="9">
        <v>79615949053</v>
      </c>
      <c r="F328" s="8"/>
      <c r="G328" s="9"/>
      <c r="H328" s="8" t="s">
        <v>8164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</row>
    <row r="329" spans="1:19" ht="15.75" customHeight="1">
      <c r="A329" s="8">
        <v>216848604</v>
      </c>
      <c r="B329" s="8" t="s">
        <v>9050</v>
      </c>
      <c r="C329" s="8" t="s">
        <v>9051</v>
      </c>
      <c r="D329" s="8" t="s">
        <v>1384</v>
      </c>
      <c r="E329" s="9" t="s">
        <v>1385</v>
      </c>
      <c r="F329" s="8" t="s">
        <v>9052</v>
      </c>
      <c r="G329" s="9">
        <v>19</v>
      </c>
      <c r="H329" s="8" t="s">
        <v>8222</v>
      </c>
      <c r="I329" s="8" t="s">
        <v>8412</v>
      </c>
      <c r="J329" s="8"/>
      <c r="K329" s="8"/>
      <c r="L329" s="8"/>
      <c r="M329" s="8"/>
      <c r="N329" s="8"/>
      <c r="O329" s="8"/>
      <c r="P329" s="8"/>
      <c r="Q329" s="8"/>
      <c r="R329" s="8"/>
      <c r="S329" s="8"/>
    </row>
    <row r="330" spans="1:19" ht="15.75" customHeight="1">
      <c r="A330" s="8">
        <v>216875546</v>
      </c>
      <c r="B330" s="8" t="s">
        <v>9053</v>
      </c>
      <c r="C330" s="8" t="s">
        <v>9054</v>
      </c>
      <c r="D330" s="8" t="s">
        <v>1388</v>
      </c>
      <c r="E330" s="9"/>
      <c r="F330" s="8"/>
      <c r="G330" s="9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</row>
    <row r="331" spans="1:19" ht="15.75" customHeight="1">
      <c r="A331" s="8">
        <v>216935399</v>
      </c>
      <c r="B331" s="8" t="s">
        <v>9055</v>
      </c>
      <c r="C331" s="8" t="s">
        <v>9056</v>
      </c>
      <c r="D331" s="8" t="s">
        <v>1393</v>
      </c>
      <c r="E331" s="9"/>
      <c r="F331" s="8"/>
      <c r="G331" s="9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</row>
    <row r="332" spans="1:19" ht="15.75" customHeight="1">
      <c r="A332" s="8">
        <v>216968393</v>
      </c>
      <c r="B332" s="8" t="s">
        <v>9057</v>
      </c>
      <c r="C332" s="8" t="s">
        <v>9057</v>
      </c>
      <c r="D332" s="8" t="s">
        <v>1396</v>
      </c>
      <c r="E332" s="9" t="s">
        <v>1397</v>
      </c>
      <c r="F332" s="8"/>
      <c r="G332" s="9"/>
      <c r="H332" s="8" t="s">
        <v>8164</v>
      </c>
      <c r="I332" s="8" t="s">
        <v>8191</v>
      </c>
      <c r="J332" s="8"/>
      <c r="K332" s="8"/>
      <c r="L332" s="8"/>
      <c r="M332" s="8"/>
      <c r="N332" s="8"/>
      <c r="O332" s="8"/>
      <c r="P332" s="8"/>
      <c r="Q332" s="8"/>
      <c r="R332" s="8"/>
      <c r="S332" s="8"/>
    </row>
    <row r="333" spans="1:19" ht="15.75" customHeight="1">
      <c r="A333" s="8">
        <v>216999311</v>
      </c>
      <c r="B333" s="8" t="s">
        <v>9058</v>
      </c>
      <c r="C333" s="8" t="s">
        <v>9059</v>
      </c>
      <c r="D333" s="8" t="s">
        <v>1400</v>
      </c>
      <c r="E333" s="9"/>
      <c r="F333" s="8"/>
      <c r="G333" s="9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</row>
    <row r="334" spans="1:19" ht="15.75" customHeight="1">
      <c r="A334" s="8">
        <v>217012806</v>
      </c>
      <c r="B334" s="8" t="s">
        <v>9060</v>
      </c>
      <c r="C334" s="8" t="s">
        <v>9061</v>
      </c>
      <c r="D334" s="8" t="s">
        <v>1403</v>
      </c>
      <c r="E334" s="9"/>
      <c r="F334" s="8"/>
      <c r="G334" s="9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</row>
    <row r="335" spans="1:19" ht="15.75" customHeight="1">
      <c r="A335" s="8">
        <v>217038047</v>
      </c>
      <c r="B335" s="8" t="s">
        <v>9062</v>
      </c>
      <c r="C335" s="8" t="s">
        <v>9063</v>
      </c>
      <c r="D335" s="8" t="s">
        <v>1406</v>
      </c>
      <c r="E335" s="9"/>
      <c r="F335" s="8"/>
      <c r="G335" s="9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</row>
    <row r="336" spans="1:19" ht="15.75" customHeight="1">
      <c r="A336" s="8">
        <v>217052243</v>
      </c>
      <c r="B336" s="8" t="s">
        <v>9064</v>
      </c>
      <c r="C336" s="8" t="s">
        <v>9064</v>
      </c>
      <c r="D336" s="8" t="s">
        <v>1409</v>
      </c>
      <c r="E336" s="9"/>
      <c r="F336" s="8"/>
      <c r="G336" s="9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</row>
    <row r="337" spans="1:19" ht="15.75" customHeight="1">
      <c r="A337" s="8">
        <v>217059396</v>
      </c>
      <c r="B337" s="8" t="s">
        <v>9060</v>
      </c>
      <c r="C337" s="8" t="s">
        <v>9065</v>
      </c>
      <c r="D337" s="8" t="s">
        <v>1414</v>
      </c>
      <c r="E337" s="9"/>
      <c r="F337" s="8"/>
      <c r="G337" s="9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</row>
    <row r="338" spans="1:19" ht="15.75" customHeight="1">
      <c r="A338" s="8">
        <v>217081030</v>
      </c>
      <c r="B338" s="8" t="s">
        <v>9066</v>
      </c>
      <c r="C338" s="8" t="s">
        <v>9067</v>
      </c>
      <c r="D338" s="8" t="s">
        <v>1418</v>
      </c>
      <c r="E338" s="9"/>
      <c r="F338" s="8"/>
      <c r="G338" s="9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</row>
    <row r="339" spans="1:19" ht="15.75" customHeight="1">
      <c r="A339" s="8">
        <v>217111703</v>
      </c>
      <c r="B339" s="8" t="s">
        <v>9068</v>
      </c>
      <c r="C339" s="8" t="s">
        <v>9069</v>
      </c>
      <c r="D339" s="8" t="s">
        <v>1422</v>
      </c>
      <c r="E339" s="9"/>
      <c r="F339" s="8"/>
      <c r="G339" s="9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</row>
    <row r="340" spans="1:19" ht="15.75" customHeight="1">
      <c r="A340" s="8">
        <v>217129356</v>
      </c>
      <c r="B340" s="8" t="s">
        <v>9070</v>
      </c>
      <c r="C340" s="8" t="s">
        <v>9071</v>
      </c>
      <c r="D340" s="8" t="s">
        <v>1425</v>
      </c>
      <c r="E340" s="9"/>
      <c r="F340" s="8"/>
      <c r="G340" s="9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</row>
    <row r="341" spans="1:19" ht="15.75" customHeight="1">
      <c r="A341" s="8">
        <v>217141177</v>
      </c>
      <c r="B341" s="8" t="s">
        <v>9072</v>
      </c>
      <c r="C341" s="8" t="s">
        <v>9073</v>
      </c>
      <c r="D341" s="8" t="s">
        <v>1433</v>
      </c>
      <c r="E341" s="9">
        <v>26479727</v>
      </c>
      <c r="F341" s="8"/>
      <c r="G341" s="9"/>
      <c r="H341" s="8" t="s">
        <v>8558</v>
      </c>
      <c r="I341" s="8" t="s">
        <v>8559</v>
      </c>
      <c r="J341" s="8"/>
      <c r="K341" s="8"/>
      <c r="L341" s="8"/>
      <c r="M341" s="8"/>
      <c r="N341" s="8"/>
      <c r="O341" s="8"/>
      <c r="P341" s="8"/>
      <c r="Q341" s="8"/>
      <c r="R341" s="8"/>
      <c r="S341" s="8"/>
    </row>
    <row r="342" spans="1:19" ht="15.75" customHeight="1">
      <c r="A342" s="8">
        <v>217152486</v>
      </c>
      <c r="B342" s="8" t="s">
        <v>9074</v>
      </c>
      <c r="C342" s="8" t="s">
        <v>9075</v>
      </c>
      <c r="D342" s="8" t="s">
        <v>1436</v>
      </c>
      <c r="E342" s="9" t="s">
        <v>1437</v>
      </c>
      <c r="F342" s="8"/>
      <c r="G342" s="9"/>
      <c r="H342" s="8" t="s">
        <v>8558</v>
      </c>
      <c r="I342" s="8" t="s">
        <v>8559</v>
      </c>
      <c r="J342" s="8"/>
      <c r="K342" s="8"/>
      <c r="L342" s="8"/>
      <c r="M342" s="8"/>
      <c r="N342" s="8"/>
      <c r="O342" s="8"/>
      <c r="P342" s="8"/>
      <c r="Q342" s="8"/>
      <c r="R342" s="8"/>
      <c r="S342" s="8"/>
    </row>
    <row r="343" spans="1:19" ht="15.75" customHeight="1">
      <c r="A343" s="8">
        <v>217155602</v>
      </c>
      <c r="B343" s="8" t="s">
        <v>9076</v>
      </c>
      <c r="C343" s="8" t="s">
        <v>9077</v>
      </c>
      <c r="D343" s="8" t="s">
        <v>1440</v>
      </c>
      <c r="E343" s="9" t="s">
        <v>1441</v>
      </c>
      <c r="F343" s="8"/>
      <c r="G343" s="9"/>
      <c r="H343" s="8" t="s">
        <v>8558</v>
      </c>
      <c r="I343" s="8" t="s">
        <v>8559</v>
      </c>
      <c r="J343" s="8"/>
      <c r="K343" s="8"/>
      <c r="L343" s="8"/>
      <c r="M343" s="8"/>
      <c r="N343" s="8"/>
      <c r="O343" s="8"/>
      <c r="P343" s="8"/>
      <c r="Q343" s="8"/>
      <c r="R343" s="8"/>
      <c r="S343" s="8"/>
    </row>
    <row r="344" spans="1:19" ht="15.75" customHeight="1">
      <c r="A344" s="8">
        <v>217160440</v>
      </c>
      <c r="B344" s="8" t="s">
        <v>9078</v>
      </c>
      <c r="C344" s="8" t="s">
        <v>9079</v>
      </c>
      <c r="D344" s="8" t="s">
        <v>1444</v>
      </c>
      <c r="E344" s="9">
        <v>28380732</v>
      </c>
      <c r="F344" s="8"/>
      <c r="G344" s="9"/>
      <c r="H344" s="8" t="s">
        <v>8558</v>
      </c>
      <c r="I344" s="8" t="s">
        <v>8559</v>
      </c>
      <c r="J344" s="8"/>
      <c r="K344" s="8"/>
      <c r="L344" s="8"/>
      <c r="M344" s="8"/>
      <c r="N344" s="8"/>
      <c r="O344" s="8"/>
      <c r="P344" s="8"/>
      <c r="Q344" s="8"/>
      <c r="R344" s="8"/>
      <c r="S344" s="8"/>
    </row>
    <row r="345" spans="1:19" ht="15.75" customHeight="1">
      <c r="A345" s="8">
        <v>217160782</v>
      </c>
      <c r="B345" s="8" t="s">
        <v>9080</v>
      </c>
      <c r="C345" s="8" t="s">
        <v>9081</v>
      </c>
      <c r="D345" s="8" t="s">
        <v>1447</v>
      </c>
      <c r="E345" s="9"/>
      <c r="F345" s="8"/>
      <c r="G345" s="9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</row>
    <row r="346" spans="1:19" ht="15.75" customHeight="1">
      <c r="A346" s="8">
        <v>217166904</v>
      </c>
      <c r="B346" s="8" t="s">
        <v>9082</v>
      </c>
      <c r="C346" s="8" t="s">
        <v>9083</v>
      </c>
      <c r="D346" s="8" t="s">
        <v>1451</v>
      </c>
      <c r="E346" s="9">
        <v>26526081</v>
      </c>
      <c r="F346" s="8"/>
      <c r="G346" s="9"/>
      <c r="H346" s="8" t="s">
        <v>8558</v>
      </c>
      <c r="I346" s="8" t="s">
        <v>8559</v>
      </c>
      <c r="J346" s="8"/>
      <c r="K346" s="8"/>
      <c r="L346" s="8"/>
      <c r="M346" s="8"/>
      <c r="N346" s="8"/>
      <c r="O346" s="8"/>
      <c r="P346" s="8"/>
      <c r="Q346" s="8"/>
      <c r="R346" s="8"/>
      <c r="S346" s="8"/>
    </row>
    <row r="347" spans="1:19" ht="15.75" customHeight="1">
      <c r="A347" s="8">
        <v>217172131</v>
      </c>
      <c r="B347" s="8" t="s">
        <v>8162</v>
      </c>
      <c r="C347" s="8" t="s">
        <v>9084</v>
      </c>
      <c r="D347" s="8" t="s">
        <v>1454</v>
      </c>
      <c r="E347" s="9" t="s">
        <v>1455</v>
      </c>
      <c r="F347" s="8"/>
      <c r="G347" s="9"/>
      <c r="H347" s="8" t="s">
        <v>9085</v>
      </c>
      <c r="I347" s="8" t="s">
        <v>9086</v>
      </c>
      <c r="J347" s="8"/>
      <c r="K347" s="8"/>
      <c r="L347" s="8"/>
      <c r="M347" s="8"/>
      <c r="N347" s="8"/>
      <c r="O347" s="8"/>
      <c r="P347" s="8"/>
      <c r="Q347" s="8"/>
      <c r="R347" s="8"/>
      <c r="S347" s="8"/>
    </row>
    <row r="348" spans="1:19" ht="15.75" customHeight="1">
      <c r="A348" s="8">
        <v>217176012</v>
      </c>
      <c r="B348" s="8" t="s">
        <v>9087</v>
      </c>
      <c r="C348" s="8" t="s">
        <v>9088</v>
      </c>
      <c r="D348" s="8" t="s">
        <v>1458</v>
      </c>
      <c r="E348" s="9"/>
      <c r="F348" s="8"/>
      <c r="G348" s="9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</row>
    <row r="349" spans="1:19" ht="15.75" customHeight="1">
      <c r="A349" s="8">
        <v>217187784</v>
      </c>
      <c r="B349" s="8" t="s">
        <v>7768</v>
      </c>
      <c r="C349" s="8" t="s">
        <v>9089</v>
      </c>
      <c r="D349" s="8" t="s">
        <v>1461</v>
      </c>
      <c r="E349" s="9" t="s">
        <v>1462</v>
      </c>
      <c r="F349" s="8"/>
      <c r="G349" s="9"/>
      <c r="H349" s="8" t="s">
        <v>8164</v>
      </c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</row>
    <row r="350" spans="1:19" ht="15.75" customHeight="1">
      <c r="A350" s="8">
        <v>217217333</v>
      </c>
      <c r="B350" s="8" t="s">
        <v>9090</v>
      </c>
      <c r="C350" s="8" t="s">
        <v>9091</v>
      </c>
      <c r="D350" s="8" t="s">
        <v>1466</v>
      </c>
      <c r="E350" s="9">
        <v>25531969</v>
      </c>
      <c r="F350" s="8"/>
      <c r="G350" s="9"/>
      <c r="H350" s="8" t="s">
        <v>8558</v>
      </c>
      <c r="I350" s="8" t="s">
        <v>8559</v>
      </c>
      <c r="J350" s="8"/>
      <c r="K350" s="8"/>
      <c r="L350" s="8"/>
      <c r="M350" s="8"/>
      <c r="N350" s="8"/>
      <c r="O350" s="8"/>
      <c r="P350" s="8"/>
      <c r="Q350" s="8"/>
      <c r="R350" s="8"/>
      <c r="S350" s="8"/>
    </row>
    <row r="351" spans="1:19" ht="15.75" customHeight="1">
      <c r="A351" s="8">
        <v>217230023</v>
      </c>
      <c r="B351" s="8" t="s">
        <v>8304</v>
      </c>
      <c r="C351" s="8" t="s">
        <v>9092</v>
      </c>
      <c r="D351" s="8" t="s">
        <v>1469</v>
      </c>
      <c r="E351" s="9" t="s">
        <v>1470</v>
      </c>
      <c r="F351" s="8" t="s">
        <v>9093</v>
      </c>
      <c r="G351" s="9">
        <v>51</v>
      </c>
      <c r="H351" s="8" t="s">
        <v>8222</v>
      </c>
      <c r="I351" s="8" t="s">
        <v>8412</v>
      </c>
      <c r="J351" s="8" t="s">
        <v>9094</v>
      </c>
      <c r="K351" s="8"/>
      <c r="L351" s="8"/>
      <c r="M351" s="8" t="s">
        <v>8176</v>
      </c>
      <c r="N351" s="8" t="s">
        <v>8169</v>
      </c>
      <c r="O351" s="8"/>
      <c r="P351" s="8"/>
      <c r="Q351" s="8"/>
      <c r="R351" s="8"/>
      <c r="S351" s="8"/>
    </row>
    <row r="352" spans="1:19" ht="15.75" customHeight="1">
      <c r="A352" s="8">
        <v>217241364</v>
      </c>
      <c r="B352" s="8" t="s">
        <v>9095</v>
      </c>
      <c r="C352" s="8" t="s">
        <v>9096</v>
      </c>
      <c r="D352" s="8" t="s">
        <v>1473</v>
      </c>
      <c r="E352" s="9" t="s">
        <v>1474</v>
      </c>
      <c r="F352" s="8"/>
      <c r="G352" s="9"/>
      <c r="H352" s="8" t="s">
        <v>8558</v>
      </c>
      <c r="I352" s="8" t="s">
        <v>9097</v>
      </c>
      <c r="J352" s="8"/>
      <c r="K352" s="8"/>
      <c r="L352" s="8"/>
      <c r="M352" s="8"/>
      <c r="N352" s="8"/>
      <c r="O352" s="8"/>
      <c r="P352" s="8"/>
      <c r="Q352" s="8"/>
      <c r="R352" s="8"/>
      <c r="S352" s="8"/>
    </row>
    <row r="353" spans="1:19" ht="15.75" customHeight="1">
      <c r="A353" s="8">
        <v>217251899</v>
      </c>
      <c r="B353" s="8" t="s">
        <v>9098</v>
      </c>
      <c r="C353" s="8" t="s">
        <v>9099</v>
      </c>
      <c r="D353" s="8" t="s">
        <v>1477</v>
      </c>
      <c r="E353" s="9" t="s">
        <v>1478</v>
      </c>
      <c r="F353" s="8"/>
      <c r="G353" s="9"/>
      <c r="H353" s="8" t="s">
        <v>8558</v>
      </c>
      <c r="I353" s="8" t="s">
        <v>8559</v>
      </c>
      <c r="J353" s="8"/>
      <c r="K353" s="8"/>
      <c r="L353" s="8"/>
      <c r="M353" s="8"/>
      <c r="N353" s="8"/>
      <c r="O353" s="8"/>
      <c r="P353" s="8"/>
      <c r="Q353" s="8"/>
      <c r="R353" s="8"/>
      <c r="S353" s="8"/>
    </row>
    <row r="354" spans="1:19" ht="15.75" customHeight="1">
      <c r="A354" s="8">
        <v>217254519</v>
      </c>
      <c r="B354" s="8" t="s">
        <v>8206</v>
      </c>
      <c r="C354" s="8" t="s">
        <v>9100</v>
      </c>
      <c r="D354" s="8" t="s">
        <v>1481</v>
      </c>
      <c r="E354" s="9" t="s">
        <v>1482</v>
      </c>
      <c r="F354" s="8"/>
      <c r="G354" s="9"/>
      <c r="H354" s="8" t="s">
        <v>8164</v>
      </c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</row>
    <row r="355" spans="1:19" ht="15.75" customHeight="1">
      <c r="A355" s="8">
        <v>217264447</v>
      </c>
      <c r="B355" s="8" t="s">
        <v>9101</v>
      </c>
      <c r="C355" s="8" t="s">
        <v>9102</v>
      </c>
      <c r="D355" s="8" t="s">
        <v>1487</v>
      </c>
      <c r="E355" s="9" t="s">
        <v>1488</v>
      </c>
      <c r="F355" s="8" t="s">
        <v>9103</v>
      </c>
      <c r="G355" s="9">
        <v>1</v>
      </c>
      <c r="H355" s="8" t="s">
        <v>8558</v>
      </c>
      <c r="I355" s="8" t="s">
        <v>8559</v>
      </c>
      <c r="J355" s="8"/>
      <c r="K355" s="8"/>
      <c r="L355" s="8"/>
      <c r="M355" s="8"/>
      <c r="N355" s="8"/>
      <c r="O355" s="8"/>
      <c r="P355" s="8"/>
      <c r="Q355" s="8"/>
      <c r="R355" s="8"/>
      <c r="S355" s="8"/>
    </row>
    <row r="356" spans="1:19" ht="15.75" customHeight="1">
      <c r="A356" s="8">
        <v>217270853</v>
      </c>
      <c r="B356" s="8" t="s">
        <v>9104</v>
      </c>
      <c r="C356" s="8" t="s">
        <v>3971</v>
      </c>
      <c r="D356" s="8" t="s">
        <v>1491</v>
      </c>
      <c r="E356" s="9"/>
      <c r="F356" s="8"/>
      <c r="G356" s="9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</row>
    <row r="357" spans="1:19" ht="15.75" customHeight="1">
      <c r="A357" s="8">
        <v>217272682</v>
      </c>
      <c r="B357" s="8" t="s">
        <v>9105</v>
      </c>
      <c r="C357" s="8" t="s">
        <v>9106</v>
      </c>
      <c r="D357" s="8" t="s">
        <v>1494</v>
      </c>
      <c r="E357" s="9"/>
      <c r="F357" s="8"/>
      <c r="G357" s="9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</row>
    <row r="358" spans="1:19" ht="15.75" customHeight="1">
      <c r="A358" s="8">
        <v>217278712</v>
      </c>
      <c r="B358" s="8" t="s">
        <v>9107</v>
      </c>
      <c r="C358" s="8" t="s">
        <v>9108</v>
      </c>
      <c r="D358" s="8" t="s">
        <v>1497</v>
      </c>
      <c r="E358" s="9" t="s">
        <v>1498</v>
      </c>
      <c r="F358" s="8" t="s">
        <v>9109</v>
      </c>
      <c r="G358" s="9">
        <v>60</v>
      </c>
      <c r="H358" s="8" t="s">
        <v>8558</v>
      </c>
      <c r="I358" s="8" t="s">
        <v>9110</v>
      </c>
      <c r="J358" s="8"/>
      <c r="K358" s="8"/>
      <c r="L358" s="8"/>
      <c r="M358" s="8"/>
      <c r="N358" s="8"/>
      <c r="O358" s="8"/>
      <c r="P358" s="8"/>
      <c r="Q358" s="8"/>
      <c r="R358" s="8"/>
      <c r="S358" s="8"/>
    </row>
    <row r="359" spans="1:19" ht="15.75" customHeight="1">
      <c r="A359" s="8">
        <v>217353664</v>
      </c>
      <c r="B359" s="8" t="s">
        <v>9111</v>
      </c>
      <c r="C359" s="8" t="s">
        <v>9111</v>
      </c>
      <c r="D359" s="8" t="s">
        <v>1501</v>
      </c>
      <c r="E359" s="9" t="s">
        <v>1397</v>
      </c>
      <c r="F359" s="8"/>
      <c r="G359" s="9"/>
      <c r="H359" s="8" t="s">
        <v>8164</v>
      </c>
      <c r="I359" s="8" t="s">
        <v>8191</v>
      </c>
      <c r="J359" s="8"/>
      <c r="K359" s="8"/>
      <c r="L359" s="8"/>
      <c r="M359" s="8"/>
      <c r="N359" s="8"/>
      <c r="O359" s="8"/>
      <c r="P359" s="8"/>
      <c r="Q359" s="8"/>
      <c r="R359" s="8"/>
      <c r="S359" s="8"/>
    </row>
    <row r="360" spans="1:19" ht="15.75" customHeight="1">
      <c r="A360" s="8">
        <v>217363339</v>
      </c>
      <c r="B360" s="8" t="s">
        <v>9112</v>
      </c>
      <c r="C360" s="8" t="s">
        <v>9113</v>
      </c>
      <c r="D360" s="8" t="s">
        <v>1504</v>
      </c>
      <c r="E360" s="9"/>
      <c r="F360" s="8"/>
      <c r="G360" s="9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</row>
    <row r="361" spans="1:19" ht="15.75" customHeight="1">
      <c r="A361" s="8">
        <v>217381482</v>
      </c>
      <c r="B361" s="8" t="s">
        <v>8341</v>
      </c>
      <c r="C361" s="8" t="s">
        <v>9114</v>
      </c>
      <c r="D361" s="8" t="s">
        <v>1510</v>
      </c>
      <c r="E361" s="9" t="s">
        <v>1511</v>
      </c>
      <c r="F361" s="8"/>
      <c r="G361" s="9"/>
      <c r="H361" s="8" t="s">
        <v>8222</v>
      </c>
      <c r="I361" s="8" t="s">
        <v>8412</v>
      </c>
      <c r="J361" s="8"/>
      <c r="K361" s="8"/>
      <c r="L361" s="8"/>
      <c r="M361" s="8"/>
      <c r="N361" s="8"/>
      <c r="O361" s="8"/>
      <c r="P361" s="8"/>
      <c r="Q361" s="8"/>
      <c r="R361" s="8"/>
      <c r="S361" s="8"/>
    </row>
    <row r="362" spans="1:19" ht="15.75" customHeight="1">
      <c r="A362" s="8">
        <v>217384529</v>
      </c>
      <c r="B362" s="8" t="s">
        <v>9115</v>
      </c>
      <c r="C362" s="8" t="s">
        <v>9116</v>
      </c>
      <c r="D362" s="8" t="s">
        <v>1514</v>
      </c>
      <c r="E362" s="9" t="s">
        <v>1515</v>
      </c>
      <c r="F362" s="8"/>
      <c r="G362" s="9"/>
      <c r="H362" s="8" t="s">
        <v>8164</v>
      </c>
      <c r="I362" s="8" t="s">
        <v>8208</v>
      </c>
      <c r="J362" s="8"/>
      <c r="K362" s="8"/>
      <c r="L362" s="8"/>
      <c r="M362" s="8"/>
      <c r="N362" s="8"/>
      <c r="O362" s="8"/>
      <c r="P362" s="8"/>
      <c r="Q362" s="8"/>
      <c r="R362" s="8"/>
      <c r="S362" s="8"/>
    </row>
    <row r="363" spans="1:19" ht="15.75" customHeight="1">
      <c r="A363" s="8">
        <v>217410464</v>
      </c>
      <c r="B363" s="8" t="s">
        <v>8857</v>
      </c>
      <c r="C363" s="8" t="s">
        <v>9117</v>
      </c>
      <c r="D363" s="8" t="s">
        <v>1518</v>
      </c>
      <c r="E363" s="9" t="s">
        <v>1519</v>
      </c>
      <c r="F363" s="8"/>
      <c r="G363" s="9"/>
      <c r="H363" s="8" t="s">
        <v>8222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</row>
    <row r="364" spans="1:19" ht="15.75" customHeight="1">
      <c r="A364" s="8">
        <v>217425070</v>
      </c>
      <c r="B364" s="8" t="s">
        <v>9118</v>
      </c>
      <c r="C364" s="8" t="s">
        <v>9119</v>
      </c>
      <c r="D364" s="8" t="s">
        <v>1522</v>
      </c>
      <c r="E364" s="9"/>
      <c r="F364" s="8"/>
      <c r="G364" s="9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</row>
    <row r="365" spans="1:19" ht="15.75" customHeight="1">
      <c r="A365" s="8">
        <v>217431832</v>
      </c>
      <c r="B365" s="8" t="s">
        <v>9120</v>
      </c>
      <c r="C365" s="8" t="s">
        <v>9121</v>
      </c>
      <c r="D365" s="8" t="s">
        <v>1525</v>
      </c>
      <c r="E365" s="9">
        <v>28371414</v>
      </c>
      <c r="F365" s="8"/>
      <c r="G365" s="9"/>
      <c r="H365" s="8" t="s">
        <v>8558</v>
      </c>
      <c r="I365" s="8" t="s">
        <v>8559</v>
      </c>
      <c r="J365" s="8"/>
      <c r="K365" s="8"/>
      <c r="L365" s="8"/>
      <c r="M365" s="8"/>
      <c r="N365" s="8"/>
      <c r="O365" s="8"/>
      <c r="P365" s="8"/>
      <c r="Q365" s="8"/>
      <c r="R365" s="8"/>
      <c r="S365" s="8"/>
    </row>
    <row r="366" spans="1:19" ht="15.75" customHeight="1">
      <c r="A366" s="8">
        <v>217436551</v>
      </c>
      <c r="B366" s="8" t="s">
        <v>9122</v>
      </c>
      <c r="C366" s="8" t="s">
        <v>9123</v>
      </c>
      <c r="D366" s="8" t="s">
        <v>1528</v>
      </c>
      <c r="E366" s="9"/>
      <c r="F366" s="8"/>
      <c r="G366" s="9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</row>
    <row r="367" spans="1:19" ht="15.75" customHeight="1">
      <c r="A367" s="8">
        <v>217464099</v>
      </c>
      <c r="B367" s="8" t="s">
        <v>9124</v>
      </c>
      <c r="C367" s="8" t="s">
        <v>9125</v>
      </c>
      <c r="D367" s="8" t="s">
        <v>1531</v>
      </c>
      <c r="E367" s="9"/>
      <c r="F367" s="8"/>
      <c r="G367" s="9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</row>
    <row r="368" spans="1:19" ht="15.75" customHeight="1">
      <c r="A368" s="8">
        <v>217499229</v>
      </c>
      <c r="B368" s="8" t="s">
        <v>9126</v>
      </c>
      <c r="C368" s="8" t="s">
        <v>9127</v>
      </c>
      <c r="D368" s="8" t="s">
        <v>1535</v>
      </c>
      <c r="E368" s="9"/>
      <c r="F368" s="8"/>
      <c r="G368" s="9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</row>
    <row r="369" spans="1:19" ht="15.75" customHeight="1">
      <c r="A369" s="8">
        <v>217513029</v>
      </c>
      <c r="B369" s="8" t="s">
        <v>9128</v>
      </c>
      <c r="C369" s="8" t="s">
        <v>9129</v>
      </c>
      <c r="D369" s="8" t="s">
        <v>1539</v>
      </c>
      <c r="E369" s="9"/>
      <c r="F369" s="8"/>
      <c r="G369" s="9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</row>
    <row r="370" spans="1:19" ht="15.75" customHeight="1">
      <c r="A370" s="8">
        <v>217604034</v>
      </c>
      <c r="B370" s="8" t="s">
        <v>9130</v>
      </c>
      <c r="C370" s="8" t="s">
        <v>9131</v>
      </c>
      <c r="D370" s="8" t="s">
        <v>1543</v>
      </c>
      <c r="E370" s="9" t="s">
        <v>1544</v>
      </c>
      <c r="F370" s="8" t="s">
        <v>9132</v>
      </c>
      <c r="G370" s="9">
        <v>52</v>
      </c>
      <c r="H370" s="8" t="s">
        <v>8558</v>
      </c>
      <c r="I370" s="8" t="s">
        <v>8559</v>
      </c>
      <c r="J370" s="8"/>
      <c r="K370" s="8"/>
      <c r="L370" s="8"/>
      <c r="M370" s="8"/>
      <c r="N370" s="8"/>
      <c r="O370" s="8"/>
      <c r="P370" s="8"/>
      <c r="Q370" s="8"/>
      <c r="R370" s="8"/>
      <c r="S370" s="8"/>
    </row>
    <row r="371" spans="1:19" ht="15.75" customHeight="1">
      <c r="A371" s="8">
        <v>217642618</v>
      </c>
      <c r="B371" s="8" t="s">
        <v>9133</v>
      </c>
      <c r="C371" s="8" t="s">
        <v>9134</v>
      </c>
      <c r="D371" s="8" t="s">
        <v>1547</v>
      </c>
      <c r="E371" s="9">
        <v>29255202</v>
      </c>
      <c r="F371" s="8" t="s">
        <v>9135</v>
      </c>
      <c r="G371" s="9">
        <v>49</v>
      </c>
      <c r="H371" s="8" t="s">
        <v>8558</v>
      </c>
      <c r="I371" s="8" t="s">
        <v>8559</v>
      </c>
      <c r="J371" s="8"/>
      <c r="K371" s="8"/>
      <c r="L371" s="8"/>
      <c r="M371" s="8"/>
      <c r="N371" s="8"/>
      <c r="O371" s="8"/>
      <c r="P371" s="8"/>
      <c r="Q371" s="8"/>
      <c r="R371" s="8"/>
      <c r="S371" s="8"/>
    </row>
    <row r="372" spans="1:19" ht="15.75" customHeight="1">
      <c r="A372" s="8">
        <v>217664608</v>
      </c>
      <c r="B372" s="8" t="s">
        <v>9136</v>
      </c>
      <c r="C372" s="8" t="s">
        <v>9137</v>
      </c>
      <c r="D372" s="8" t="s">
        <v>1550</v>
      </c>
      <c r="E372" s="9" t="s">
        <v>1551</v>
      </c>
      <c r="F372" s="8"/>
      <c r="G372" s="9"/>
      <c r="H372" s="8" t="s">
        <v>8183</v>
      </c>
      <c r="I372" s="8" t="s">
        <v>9138</v>
      </c>
      <c r="J372" s="8"/>
      <c r="K372" s="8"/>
      <c r="L372" s="8"/>
      <c r="M372" s="8"/>
      <c r="N372" s="8"/>
      <c r="O372" s="8"/>
      <c r="P372" s="8"/>
      <c r="Q372" s="8"/>
      <c r="R372" s="8"/>
      <c r="S372" s="8"/>
    </row>
    <row r="373" spans="1:19" ht="15.75" customHeight="1">
      <c r="A373" s="8">
        <v>217681993</v>
      </c>
      <c r="B373" s="8" t="s">
        <v>9139</v>
      </c>
      <c r="C373" s="8" t="s">
        <v>9140</v>
      </c>
      <c r="D373" s="8" t="s">
        <v>1554</v>
      </c>
      <c r="E373" s="9" t="s">
        <v>1555</v>
      </c>
      <c r="F373" s="8"/>
      <c r="G373" s="9"/>
      <c r="H373" s="8" t="s">
        <v>8222</v>
      </c>
      <c r="I373" s="8" t="s">
        <v>8412</v>
      </c>
      <c r="J373" s="8"/>
      <c r="K373" s="8"/>
      <c r="L373" s="8"/>
      <c r="M373" s="8"/>
      <c r="N373" s="8"/>
      <c r="O373" s="8"/>
      <c r="P373" s="8"/>
      <c r="Q373" s="8"/>
      <c r="R373" s="8"/>
      <c r="S373" s="8"/>
    </row>
    <row r="374" spans="1:19" ht="15.75" customHeight="1">
      <c r="A374" s="8">
        <v>217732578</v>
      </c>
      <c r="B374" s="8" t="s">
        <v>8197</v>
      </c>
      <c r="C374" s="8" t="s">
        <v>9141</v>
      </c>
      <c r="D374" s="8" t="s">
        <v>1558</v>
      </c>
      <c r="E374" s="9" t="s">
        <v>1559</v>
      </c>
      <c r="F374" s="8"/>
      <c r="G374" s="9"/>
      <c r="H374" s="8" t="s">
        <v>8222</v>
      </c>
      <c r="I374" s="8" t="s">
        <v>8412</v>
      </c>
      <c r="J374" s="8"/>
      <c r="K374" s="8"/>
      <c r="L374" s="8"/>
      <c r="M374" s="8"/>
      <c r="N374" s="8"/>
      <c r="O374" s="8"/>
      <c r="P374" s="8"/>
      <c r="Q374" s="8"/>
      <c r="R374" s="8"/>
      <c r="S374" s="8"/>
    </row>
    <row r="375" spans="1:19" ht="15.75" customHeight="1">
      <c r="A375" s="8">
        <v>217732612</v>
      </c>
      <c r="B375" s="8" t="s">
        <v>7818</v>
      </c>
      <c r="C375" s="8" t="s">
        <v>9142</v>
      </c>
      <c r="D375" s="8" t="s">
        <v>1562</v>
      </c>
      <c r="E375" s="9" t="s">
        <v>1563</v>
      </c>
      <c r="F375" s="8" t="s">
        <v>9143</v>
      </c>
      <c r="G375" s="9">
        <v>33</v>
      </c>
      <c r="H375" s="8" t="s">
        <v>8164</v>
      </c>
      <c r="I375" s="8" t="s">
        <v>9144</v>
      </c>
      <c r="J375" s="8"/>
      <c r="K375" s="8"/>
      <c r="L375" s="8"/>
      <c r="M375" s="8"/>
      <c r="N375" s="8"/>
      <c r="O375" s="8"/>
      <c r="P375" s="8"/>
      <c r="Q375" s="8"/>
      <c r="R375" s="8"/>
      <c r="S375" s="8"/>
    </row>
    <row r="376" spans="1:19" ht="15.75" customHeight="1">
      <c r="A376" s="8">
        <v>217733358</v>
      </c>
      <c r="B376" s="8" t="s">
        <v>9145</v>
      </c>
      <c r="C376" s="8" t="s">
        <v>9146</v>
      </c>
      <c r="D376" s="8" t="s">
        <v>1566</v>
      </c>
      <c r="E376" s="9" t="s">
        <v>1567</v>
      </c>
      <c r="F376" s="8" t="s">
        <v>9147</v>
      </c>
      <c r="G376" s="9">
        <v>29</v>
      </c>
      <c r="H376" s="8" t="s">
        <v>8222</v>
      </c>
      <c r="I376" s="8" t="s">
        <v>8412</v>
      </c>
      <c r="J376" s="8"/>
      <c r="K376" s="8"/>
      <c r="L376" s="8"/>
      <c r="M376" s="8"/>
      <c r="N376" s="8"/>
      <c r="O376" s="8"/>
      <c r="P376" s="8"/>
      <c r="Q376" s="8"/>
      <c r="R376" s="8"/>
      <c r="S376" s="8"/>
    </row>
    <row r="377" spans="1:19" ht="15.75" customHeight="1">
      <c r="A377" s="8">
        <v>217735366</v>
      </c>
      <c r="B377" s="8" t="s">
        <v>9148</v>
      </c>
      <c r="C377" s="8" t="s">
        <v>9149</v>
      </c>
      <c r="D377" s="8" t="s">
        <v>1570</v>
      </c>
      <c r="E377" s="9" t="s">
        <v>1571</v>
      </c>
      <c r="F377" s="8" t="s">
        <v>9150</v>
      </c>
      <c r="G377" s="9">
        <v>30</v>
      </c>
      <c r="H377" s="8" t="s">
        <v>8222</v>
      </c>
      <c r="I377" s="8" t="s">
        <v>8412</v>
      </c>
      <c r="J377" s="8"/>
      <c r="K377" s="8"/>
      <c r="L377" s="8"/>
      <c r="M377" s="8"/>
      <c r="N377" s="8"/>
      <c r="O377" s="8"/>
      <c r="P377" s="8"/>
      <c r="Q377" s="8"/>
      <c r="R377" s="8"/>
      <c r="S377" s="8"/>
    </row>
    <row r="378" spans="1:19" ht="15.75" customHeight="1">
      <c r="A378" s="8">
        <v>218141767</v>
      </c>
      <c r="B378" s="8" t="s">
        <v>9151</v>
      </c>
      <c r="C378" s="8" t="s">
        <v>9152</v>
      </c>
      <c r="D378" s="8" t="s">
        <v>1578</v>
      </c>
      <c r="E378" s="9" t="s">
        <v>1579</v>
      </c>
      <c r="F378" s="8"/>
      <c r="G378" s="9"/>
      <c r="H378" s="8" t="s">
        <v>9153</v>
      </c>
      <c r="I378" s="8" t="s">
        <v>9154</v>
      </c>
      <c r="J378" s="8"/>
      <c r="K378" s="8"/>
      <c r="L378" s="8"/>
      <c r="M378" s="8"/>
      <c r="N378" s="8"/>
      <c r="O378" s="8"/>
      <c r="P378" s="8"/>
      <c r="Q378" s="8"/>
      <c r="R378" s="8"/>
      <c r="S378" s="8"/>
    </row>
    <row r="379" spans="1:19" ht="15.75" customHeight="1">
      <c r="A379" s="8">
        <v>218154264</v>
      </c>
      <c r="B379" s="8" t="s">
        <v>9155</v>
      </c>
      <c r="C379" s="8" t="s">
        <v>9156</v>
      </c>
      <c r="D379" s="8" t="s">
        <v>1583</v>
      </c>
      <c r="E379" s="9">
        <v>79776974080</v>
      </c>
      <c r="F379" s="8"/>
      <c r="G379" s="9"/>
      <c r="H379" s="8" t="s">
        <v>8158</v>
      </c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</row>
    <row r="380" spans="1:19" ht="15.75" customHeight="1">
      <c r="A380" s="8">
        <v>218171468</v>
      </c>
      <c r="B380" s="8" t="s">
        <v>9157</v>
      </c>
      <c r="C380" s="8" t="s">
        <v>9158</v>
      </c>
      <c r="D380" s="8" t="s">
        <v>1590</v>
      </c>
      <c r="E380" s="9" t="s">
        <v>1591</v>
      </c>
      <c r="F380" s="8"/>
      <c r="G380" s="9"/>
      <c r="H380" s="8" t="s">
        <v>8222</v>
      </c>
      <c r="I380" s="8" t="s">
        <v>8412</v>
      </c>
      <c r="J380" s="8"/>
      <c r="K380" s="8"/>
      <c r="L380" s="8"/>
      <c r="M380" s="8"/>
      <c r="N380" s="8"/>
      <c r="O380" s="8"/>
      <c r="P380" s="8"/>
      <c r="Q380" s="8"/>
      <c r="R380" s="8"/>
      <c r="S380" s="8"/>
    </row>
    <row r="381" spans="1:19" ht="15.75" customHeight="1">
      <c r="A381" s="8">
        <v>218202941</v>
      </c>
      <c r="B381" s="8" t="s">
        <v>8234</v>
      </c>
      <c r="C381" s="8" t="s">
        <v>9159</v>
      </c>
      <c r="D381" s="8" t="s">
        <v>9160</v>
      </c>
      <c r="E381" s="9">
        <v>79303573772</v>
      </c>
      <c r="F381" s="8"/>
      <c r="G381" s="9"/>
      <c r="H381" s="8" t="s">
        <v>8164</v>
      </c>
      <c r="I381" s="8" t="s">
        <v>9161</v>
      </c>
      <c r="J381" s="8"/>
      <c r="K381" s="8"/>
      <c r="L381" s="8"/>
      <c r="M381" s="8"/>
      <c r="N381" s="8"/>
      <c r="O381" s="8"/>
      <c r="P381" s="8"/>
      <c r="Q381" s="8"/>
      <c r="R381" s="8"/>
      <c r="S381" s="8"/>
    </row>
    <row r="382" spans="1:19" ht="15.75" customHeight="1">
      <c r="A382" s="8">
        <v>218217182</v>
      </c>
      <c r="B382" s="8" t="s">
        <v>8581</v>
      </c>
      <c r="C382" s="8" t="s">
        <v>9162</v>
      </c>
      <c r="D382" s="8" t="s">
        <v>1601</v>
      </c>
      <c r="E382" s="9">
        <v>79852097040</v>
      </c>
      <c r="F382" s="8"/>
      <c r="G382" s="9"/>
      <c r="H382" s="8" t="s">
        <v>8164</v>
      </c>
      <c r="I382" s="8" t="s">
        <v>8165</v>
      </c>
      <c r="J382" s="8"/>
      <c r="K382" s="8"/>
      <c r="L382" s="8"/>
      <c r="M382" s="8"/>
      <c r="N382" s="8"/>
      <c r="O382" s="8"/>
      <c r="P382" s="8"/>
      <c r="Q382" s="8"/>
      <c r="R382" s="8"/>
      <c r="S382" s="8"/>
    </row>
    <row r="383" spans="1:19" ht="15.75" customHeight="1">
      <c r="A383" s="8">
        <v>218217279</v>
      </c>
      <c r="B383" s="8" t="s">
        <v>9163</v>
      </c>
      <c r="C383" s="8" t="s">
        <v>9164</v>
      </c>
      <c r="D383" s="8" t="s">
        <v>9165</v>
      </c>
      <c r="E383" s="9">
        <v>375447455540</v>
      </c>
      <c r="F383" s="8"/>
      <c r="G383" s="9"/>
      <c r="H383" s="8" t="s">
        <v>8222</v>
      </c>
      <c r="I383" s="8" t="s">
        <v>8412</v>
      </c>
      <c r="J383" s="8"/>
      <c r="K383" s="8"/>
      <c r="L383" s="8"/>
      <c r="M383" s="8"/>
      <c r="N383" s="8"/>
      <c r="O383" s="8"/>
      <c r="P383" s="8"/>
      <c r="Q383" s="8"/>
      <c r="R383" s="8"/>
      <c r="S383" s="8"/>
    </row>
    <row r="384" spans="1:19" ht="15.75" customHeight="1">
      <c r="A384" s="8">
        <v>218280460</v>
      </c>
      <c r="B384" s="8" t="s">
        <v>8186</v>
      </c>
      <c r="C384" s="8" t="s">
        <v>9166</v>
      </c>
      <c r="D384" s="8" t="s">
        <v>9167</v>
      </c>
      <c r="E384" s="9" t="s">
        <v>9168</v>
      </c>
      <c r="F384" s="8"/>
      <c r="G384" s="9"/>
      <c r="H384" s="8" t="s">
        <v>8164</v>
      </c>
      <c r="I384" s="8" t="s">
        <v>9169</v>
      </c>
      <c r="J384" s="8"/>
      <c r="K384" s="8"/>
      <c r="L384" s="8"/>
      <c r="M384" s="8"/>
      <c r="N384" s="8"/>
      <c r="O384" s="8"/>
      <c r="P384" s="8"/>
      <c r="Q384" s="8"/>
      <c r="R384" s="8"/>
      <c r="S384" s="8"/>
    </row>
    <row r="385" spans="1:19" ht="15.75" customHeight="1">
      <c r="A385" s="8">
        <v>218298567</v>
      </c>
      <c r="B385" s="8" t="s">
        <v>8304</v>
      </c>
      <c r="C385" s="8" t="s">
        <v>9170</v>
      </c>
      <c r="D385" s="8" t="s">
        <v>1604</v>
      </c>
      <c r="E385" s="9">
        <v>79869205039</v>
      </c>
      <c r="F385" s="8" t="s">
        <v>9171</v>
      </c>
      <c r="G385" s="9">
        <v>70</v>
      </c>
      <c r="H385" s="8" t="s">
        <v>8164</v>
      </c>
      <c r="I385" s="8" t="s">
        <v>9172</v>
      </c>
      <c r="J385" s="8"/>
      <c r="K385" s="8"/>
      <c r="L385" s="8"/>
      <c r="M385" s="8"/>
      <c r="N385" s="8"/>
      <c r="O385" s="8"/>
      <c r="P385" s="8"/>
      <c r="Q385" s="8"/>
      <c r="R385" s="8"/>
      <c r="S385" s="8"/>
    </row>
    <row r="386" spans="1:19" ht="15.75" customHeight="1">
      <c r="A386" s="8">
        <v>218335023</v>
      </c>
      <c r="B386" s="8" t="s">
        <v>9173</v>
      </c>
      <c r="C386" s="8" t="s">
        <v>9174</v>
      </c>
      <c r="D386" s="8" t="s">
        <v>1607</v>
      </c>
      <c r="E386" s="9" t="s">
        <v>1608</v>
      </c>
      <c r="F386" s="8" t="s">
        <v>9175</v>
      </c>
      <c r="G386" s="9">
        <v>47</v>
      </c>
      <c r="H386" s="8" t="s">
        <v>8183</v>
      </c>
      <c r="I386" s="8" t="s">
        <v>9176</v>
      </c>
      <c r="J386" s="8"/>
      <c r="K386" s="8"/>
      <c r="L386" s="8"/>
      <c r="M386" s="8"/>
      <c r="N386" s="8"/>
      <c r="O386" s="8"/>
      <c r="P386" s="8"/>
      <c r="Q386" s="8"/>
      <c r="R386" s="8"/>
      <c r="S386" s="8"/>
    </row>
    <row r="387" spans="1:19" ht="15.75" customHeight="1">
      <c r="A387" s="8">
        <v>218411070</v>
      </c>
      <c r="B387" s="8" t="s">
        <v>7818</v>
      </c>
      <c r="C387" s="8" t="s">
        <v>9177</v>
      </c>
      <c r="D387" s="8" t="s">
        <v>1615</v>
      </c>
      <c r="E387" s="9" t="s">
        <v>1616</v>
      </c>
      <c r="F387" s="8"/>
      <c r="G387" s="9"/>
      <c r="H387" s="8" t="s">
        <v>8164</v>
      </c>
      <c r="I387" s="8" t="s">
        <v>8165</v>
      </c>
      <c r="J387" s="8" t="s">
        <v>9178</v>
      </c>
      <c r="K387" s="8" t="s">
        <v>8865</v>
      </c>
      <c r="L387" s="8"/>
      <c r="M387" s="8" t="s">
        <v>8176</v>
      </c>
      <c r="N387" s="8"/>
      <c r="O387" s="8"/>
      <c r="P387" s="8"/>
      <c r="Q387" s="8"/>
      <c r="R387" s="8"/>
      <c r="S387" s="8"/>
    </row>
    <row r="388" spans="1:19" ht="15.75" customHeight="1">
      <c r="A388" s="8">
        <v>218445507</v>
      </c>
      <c r="B388" s="8" t="s">
        <v>9179</v>
      </c>
      <c r="C388" s="8" t="s">
        <v>9180</v>
      </c>
      <c r="D388" s="8" t="s">
        <v>1619</v>
      </c>
      <c r="E388" s="9">
        <v>22040670</v>
      </c>
      <c r="F388" s="8"/>
      <c r="G388" s="9"/>
      <c r="H388" s="8" t="s">
        <v>8558</v>
      </c>
      <c r="I388" s="8" t="s">
        <v>8559</v>
      </c>
      <c r="J388" s="8"/>
      <c r="K388" s="8"/>
      <c r="L388" s="8"/>
      <c r="M388" s="8"/>
      <c r="N388" s="8"/>
      <c r="O388" s="8"/>
      <c r="P388" s="8"/>
      <c r="Q388" s="8"/>
      <c r="R388" s="8"/>
      <c r="S388" s="8"/>
    </row>
    <row r="389" spans="1:19" ht="15.75" customHeight="1">
      <c r="A389" s="8">
        <v>218481211</v>
      </c>
      <c r="B389" s="8" t="s">
        <v>8596</v>
      </c>
      <c r="C389" s="8" t="s">
        <v>8275</v>
      </c>
      <c r="D389" s="8" t="s">
        <v>1622</v>
      </c>
      <c r="E389" s="9" t="s">
        <v>1623</v>
      </c>
      <c r="F389" s="8" t="s">
        <v>9181</v>
      </c>
      <c r="G389" s="9">
        <v>19</v>
      </c>
      <c r="H389" s="8" t="s">
        <v>8164</v>
      </c>
      <c r="I389" s="8" t="s">
        <v>8165</v>
      </c>
      <c r="J389" s="8"/>
      <c r="K389" s="8"/>
      <c r="L389" s="8"/>
      <c r="M389" s="8"/>
      <c r="N389" s="8"/>
      <c r="O389" s="8"/>
      <c r="P389" s="8"/>
      <c r="Q389" s="8"/>
      <c r="R389" s="8"/>
      <c r="S389" s="8"/>
    </row>
    <row r="390" spans="1:19" ht="15.75" customHeight="1">
      <c r="A390" s="8">
        <v>218496817</v>
      </c>
      <c r="B390" s="8" t="s">
        <v>9182</v>
      </c>
      <c r="C390" s="8" t="s">
        <v>9183</v>
      </c>
      <c r="D390" s="8" t="s">
        <v>9184</v>
      </c>
      <c r="E390" s="9" t="s">
        <v>9185</v>
      </c>
      <c r="F390" s="8"/>
      <c r="G390" s="9"/>
      <c r="H390" s="8" t="s">
        <v>8164</v>
      </c>
      <c r="I390" s="8" t="s">
        <v>8214</v>
      </c>
      <c r="J390" s="8"/>
      <c r="K390" s="8"/>
      <c r="L390" s="8"/>
      <c r="M390" s="8"/>
      <c r="N390" s="8"/>
      <c r="O390" s="8"/>
      <c r="P390" s="8"/>
      <c r="Q390" s="8"/>
      <c r="R390" s="8"/>
      <c r="S390" s="8"/>
    </row>
    <row r="391" spans="1:19" ht="15.75" customHeight="1">
      <c r="A391" s="8">
        <v>218892215</v>
      </c>
      <c r="B391" s="8" t="s">
        <v>8325</v>
      </c>
      <c r="C391" s="8" t="s">
        <v>9186</v>
      </c>
      <c r="D391" s="8" t="s">
        <v>9187</v>
      </c>
      <c r="E391" s="9" t="s">
        <v>2516</v>
      </c>
      <c r="F391" s="8"/>
      <c r="G391" s="9"/>
      <c r="H391" s="8" t="s">
        <v>8463</v>
      </c>
      <c r="I391" s="8" t="s">
        <v>8464</v>
      </c>
      <c r="J391" s="8"/>
      <c r="K391" s="8"/>
      <c r="L391" s="8"/>
      <c r="M391" s="8"/>
      <c r="N391" s="8"/>
      <c r="O391" s="8"/>
      <c r="P391" s="8"/>
      <c r="Q391" s="8"/>
      <c r="R391" s="8"/>
      <c r="S391" s="8"/>
    </row>
    <row r="392" spans="1:19" ht="15.75" customHeight="1">
      <c r="A392" s="8">
        <v>218908530</v>
      </c>
      <c r="B392" s="8" t="s">
        <v>9188</v>
      </c>
      <c r="C392" s="8" t="s">
        <v>9189</v>
      </c>
      <c r="D392" s="8" t="s">
        <v>1635</v>
      </c>
      <c r="E392" s="9" t="s">
        <v>1636</v>
      </c>
      <c r="F392" s="8" t="s">
        <v>9190</v>
      </c>
      <c r="G392" s="9">
        <v>43</v>
      </c>
      <c r="H392" s="8" t="s">
        <v>8267</v>
      </c>
      <c r="I392" s="8" t="s">
        <v>8972</v>
      </c>
      <c r="J392" s="8"/>
      <c r="K392" s="8"/>
      <c r="L392" s="8"/>
      <c r="M392" s="8"/>
      <c r="N392" s="8"/>
      <c r="O392" s="8"/>
      <c r="P392" s="8"/>
      <c r="Q392" s="8"/>
      <c r="R392" s="8"/>
      <c r="S392" s="8"/>
    </row>
    <row r="393" spans="1:19" ht="15.75" customHeight="1">
      <c r="A393" s="8">
        <v>219244569</v>
      </c>
      <c r="B393" s="8" t="s">
        <v>8279</v>
      </c>
      <c r="C393" s="8" t="s">
        <v>9191</v>
      </c>
      <c r="D393" s="8" t="s">
        <v>1646</v>
      </c>
      <c r="E393" s="9">
        <v>79871909929</v>
      </c>
      <c r="F393" s="8"/>
      <c r="G393" s="9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</row>
    <row r="394" spans="1:19" ht="15.75" customHeight="1">
      <c r="A394" s="8">
        <v>219249419</v>
      </c>
      <c r="B394" s="8" t="s">
        <v>8410</v>
      </c>
      <c r="C394" s="8" t="s">
        <v>9192</v>
      </c>
      <c r="D394" s="8" t="s">
        <v>1649</v>
      </c>
      <c r="E394" s="9" t="s">
        <v>1650</v>
      </c>
      <c r="F394" s="8" t="s">
        <v>9193</v>
      </c>
      <c r="G394" s="9">
        <v>19</v>
      </c>
      <c r="H394" s="8" t="s">
        <v>8164</v>
      </c>
      <c r="I394" s="8" t="s">
        <v>8165</v>
      </c>
      <c r="J394" s="8"/>
      <c r="K394" s="8"/>
      <c r="L394" s="8"/>
      <c r="M394" s="8"/>
      <c r="N394" s="8"/>
      <c r="O394" s="8"/>
      <c r="P394" s="8"/>
      <c r="Q394" s="8"/>
      <c r="R394" s="8"/>
      <c r="S394" s="8"/>
    </row>
    <row r="395" spans="1:19" ht="15.75" customHeight="1">
      <c r="A395" s="8">
        <v>219257468</v>
      </c>
      <c r="B395" s="8" t="s">
        <v>9194</v>
      </c>
      <c r="C395" s="8" t="s">
        <v>9195</v>
      </c>
      <c r="D395" s="8" t="s">
        <v>1653</v>
      </c>
      <c r="E395" s="9" t="s">
        <v>1654</v>
      </c>
      <c r="F395" s="8" t="s">
        <v>9196</v>
      </c>
      <c r="G395" s="9">
        <v>1</v>
      </c>
      <c r="H395" s="8" t="s">
        <v>8164</v>
      </c>
      <c r="I395" s="8" t="s">
        <v>8759</v>
      </c>
      <c r="J395" s="8"/>
      <c r="K395" s="8"/>
      <c r="L395" s="8"/>
      <c r="M395" s="8"/>
      <c r="N395" s="8"/>
      <c r="O395" s="8"/>
      <c r="P395" s="8"/>
      <c r="Q395" s="8"/>
      <c r="R395" s="8"/>
      <c r="S395" s="8"/>
    </row>
    <row r="396" spans="1:19" ht="15.75" customHeight="1">
      <c r="A396" s="8">
        <v>219278047</v>
      </c>
      <c r="B396" s="8" t="s">
        <v>9197</v>
      </c>
      <c r="C396" s="8" t="s">
        <v>9198</v>
      </c>
      <c r="D396" s="8" t="s">
        <v>1657</v>
      </c>
      <c r="E396" s="9">
        <v>79042934896</v>
      </c>
      <c r="F396" s="8" t="s">
        <v>9199</v>
      </c>
      <c r="G396" s="9">
        <v>24</v>
      </c>
      <c r="H396" s="8" t="s">
        <v>8164</v>
      </c>
      <c r="I396" s="8" t="s">
        <v>8165</v>
      </c>
      <c r="J396" s="8"/>
      <c r="K396" s="8"/>
      <c r="L396" s="8"/>
      <c r="M396" s="8"/>
      <c r="N396" s="8"/>
      <c r="O396" s="8"/>
      <c r="P396" s="8"/>
      <c r="Q396" s="8"/>
      <c r="R396" s="8"/>
      <c r="S396" s="8"/>
    </row>
    <row r="397" spans="1:19" ht="15.75" customHeight="1">
      <c r="A397" s="8">
        <v>219305959</v>
      </c>
      <c r="B397" s="8" t="s">
        <v>9145</v>
      </c>
      <c r="C397" s="8" t="s">
        <v>9200</v>
      </c>
      <c r="D397" s="8" t="s">
        <v>1660</v>
      </c>
      <c r="E397" s="9">
        <v>79961775916</v>
      </c>
      <c r="F397" s="8" t="s">
        <v>9201</v>
      </c>
      <c r="G397" s="9">
        <v>32</v>
      </c>
      <c r="H397" s="8" t="s">
        <v>8164</v>
      </c>
      <c r="I397" s="8" t="s">
        <v>9202</v>
      </c>
      <c r="J397" s="8"/>
      <c r="K397" s="8"/>
      <c r="L397" s="8"/>
      <c r="M397" s="8"/>
      <c r="N397" s="8"/>
      <c r="O397" s="8"/>
      <c r="P397" s="8"/>
      <c r="Q397" s="8"/>
      <c r="R397" s="8"/>
      <c r="S397" s="8"/>
    </row>
    <row r="398" spans="1:19" ht="15.75" customHeight="1">
      <c r="A398" s="8">
        <v>219373378</v>
      </c>
      <c r="B398" s="8" t="s">
        <v>9203</v>
      </c>
      <c r="C398" s="8" t="s">
        <v>9204</v>
      </c>
      <c r="D398" s="8" t="s">
        <v>1667</v>
      </c>
      <c r="E398" s="9" t="s">
        <v>1668</v>
      </c>
      <c r="F398" s="8" t="s">
        <v>9205</v>
      </c>
      <c r="G398" s="9">
        <v>31</v>
      </c>
      <c r="H398" s="8" t="s">
        <v>8314</v>
      </c>
      <c r="I398" s="8" t="s">
        <v>9206</v>
      </c>
      <c r="J398" s="8"/>
      <c r="K398" s="8"/>
      <c r="L398" s="8"/>
      <c r="M398" s="8"/>
      <c r="N398" s="8"/>
      <c r="O398" s="8"/>
      <c r="P398" s="8"/>
      <c r="Q398" s="8"/>
      <c r="R398" s="8"/>
      <c r="S398" s="8"/>
    </row>
    <row r="399" spans="1:19" ht="15.75" customHeight="1">
      <c r="A399" s="8">
        <v>219398184</v>
      </c>
      <c r="B399" s="8" t="s">
        <v>8304</v>
      </c>
      <c r="C399" s="8" t="s">
        <v>8981</v>
      </c>
      <c r="D399" s="8" t="s">
        <v>1671</v>
      </c>
      <c r="E399" s="9" t="s">
        <v>1672</v>
      </c>
      <c r="F399" s="8"/>
      <c r="G399" s="9"/>
      <c r="H399" s="8" t="s">
        <v>8164</v>
      </c>
      <c r="I399" s="8" t="s">
        <v>8165</v>
      </c>
      <c r="J399" s="8"/>
      <c r="K399" s="8"/>
      <c r="L399" s="8"/>
      <c r="M399" s="8"/>
      <c r="N399" s="8"/>
      <c r="O399" s="8"/>
      <c r="P399" s="8"/>
      <c r="Q399" s="8"/>
      <c r="R399" s="8"/>
      <c r="S399" s="8"/>
    </row>
    <row r="400" spans="1:19" ht="15.75" customHeight="1">
      <c r="A400" s="8">
        <v>219479156</v>
      </c>
      <c r="B400" s="8" t="s">
        <v>8172</v>
      </c>
      <c r="C400" s="8" t="s">
        <v>9207</v>
      </c>
      <c r="D400" s="8" t="s">
        <v>1675</v>
      </c>
      <c r="E400" s="9" t="s">
        <v>1676</v>
      </c>
      <c r="F400" s="8"/>
      <c r="G400" s="9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</row>
    <row r="401" spans="1:19" ht="15.75" customHeight="1">
      <c r="A401" s="8">
        <v>219719026</v>
      </c>
      <c r="B401" s="8" t="s">
        <v>8277</v>
      </c>
      <c r="C401" s="8" t="s">
        <v>9208</v>
      </c>
      <c r="D401" s="8" t="s">
        <v>1693</v>
      </c>
      <c r="E401" s="9" t="s">
        <v>1694</v>
      </c>
      <c r="F401" s="8"/>
      <c r="G401" s="9"/>
      <c r="H401" s="8" t="s">
        <v>8222</v>
      </c>
      <c r="I401" s="8" t="s">
        <v>8412</v>
      </c>
      <c r="J401" s="8"/>
      <c r="K401" s="8"/>
      <c r="L401" s="8"/>
      <c r="M401" s="8"/>
      <c r="N401" s="8"/>
      <c r="O401" s="8"/>
      <c r="P401" s="8"/>
      <c r="Q401" s="8"/>
      <c r="R401" s="8"/>
      <c r="S401" s="8"/>
    </row>
    <row r="402" spans="1:19" ht="15.75" customHeight="1">
      <c r="A402" s="8">
        <v>219843457</v>
      </c>
      <c r="B402" s="8" t="s">
        <v>7399</v>
      </c>
      <c r="C402" s="8" t="s">
        <v>9209</v>
      </c>
      <c r="D402" s="8" t="s">
        <v>1697</v>
      </c>
      <c r="E402" s="9" t="s">
        <v>1698</v>
      </c>
      <c r="F402" s="8"/>
      <c r="G402" s="9"/>
      <c r="H402" s="8" t="s">
        <v>8222</v>
      </c>
      <c r="I402" s="8" t="s">
        <v>8412</v>
      </c>
      <c r="J402" s="8"/>
      <c r="K402" s="8"/>
      <c r="L402" s="8"/>
      <c r="M402" s="8"/>
      <c r="N402" s="8"/>
      <c r="O402" s="8"/>
      <c r="P402" s="8"/>
      <c r="Q402" s="8"/>
      <c r="R402" s="8"/>
      <c r="S402" s="8"/>
    </row>
    <row r="403" spans="1:19" ht="15.75" customHeight="1">
      <c r="A403" s="8">
        <v>219844153</v>
      </c>
      <c r="B403" s="8" t="s">
        <v>9210</v>
      </c>
      <c r="C403" s="8" t="s">
        <v>9211</v>
      </c>
      <c r="D403" s="8" t="s">
        <v>1701</v>
      </c>
      <c r="E403" s="9" t="s">
        <v>1702</v>
      </c>
      <c r="F403" s="8"/>
      <c r="G403" s="9"/>
      <c r="H403" s="8" t="s">
        <v>9212</v>
      </c>
      <c r="I403" s="8" t="s">
        <v>8412</v>
      </c>
      <c r="J403" s="8"/>
      <c r="K403" s="8"/>
      <c r="L403" s="8"/>
      <c r="M403" s="8"/>
      <c r="N403" s="8"/>
      <c r="O403" s="8"/>
      <c r="P403" s="8"/>
      <c r="Q403" s="8"/>
      <c r="R403" s="8"/>
      <c r="S403" s="8"/>
    </row>
    <row r="404" spans="1:19" ht="15.75" customHeight="1">
      <c r="A404" s="8">
        <v>219956439</v>
      </c>
      <c r="B404" s="8" t="s">
        <v>9213</v>
      </c>
      <c r="C404" s="8" t="s">
        <v>9214</v>
      </c>
      <c r="D404" s="8" t="s">
        <v>1705</v>
      </c>
      <c r="E404" s="9" t="s">
        <v>1706</v>
      </c>
      <c r="F404" s="8"/>
      <c r="G404" s="9"/>
      <c r="H404" s="8" t="s">
        <v>8158</v>
      </c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</row>
    <row r="405" spans="1:19" ht="15.75" customHeight="1">
      <c r="A405" s="8">
        <v>220552937</v>
      </c>
      <c r="B405" s="8" t="s">
        <v>8448</v>
      </c>
      <c r="C405" s="8" t="s">
        <v>9215</v>
      </c>
      <c r="D405" s="8" t="s">
        <v>9216</v>
      </c>
      <c r="E405" s="9" t="s">
        <v>9217</v>
      </c>
      <c r="F405" s="8"/>
      <c r="G405" s="9"/>
      <c r="H405" s="8" t="s">
        <v>8164</v>
      </c>
      <c r="I405" s="8" t="s">
        <v>8165</v>
      </c>
      <c r="J405" s="8" t="s">
        <v>9218</v>
      </c>
      <c r="K405" s="8"/>
      <c r="L405" s="8"/>
      <c r="M405" s="8"/>
      <c r="N405" s="8"/>
      <c r="O405" s="8"/>
      <c r="P405" s="8"/>
      <c r="Q405" s="8"/>
      <c r="R405" s="8"/>
      <c r="S405" s="8"/>
    </row>
    <row r="406" spans="1:19" ht="15.75" customHeight="1">
      <c r="A406" s="8">
        <v>220680909</v>
      </c>
      <c r="B406" s="8" t="s">
        <v>8438</v>
      </c>
      <c r="C406" s="8" t="s">
        <v>9219</v>
      </c>
      <c r="D406" s="8" t="s">
        <v>1718</v>
      </c>
      <c r="E406" s="9">
        <v>79282945028</v>
      </c>
      <c r="F406" s="8"/>
      <c r="G406" s="9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</row>
    <row r="407" spans="1:19" ht="15.75" customHeight="1">
      <c r="A407" s="8">
        <v>220713279</v>
      </c>
      <c r="B407" s="8" t="s">
        <v>8930</v>
      </c>
      <c r="C407" s="8" t="s">
        <v>9220</v>
      </c>
      <c r="D407" s="8" t="s">
        <v>1721</v>
      </c>
      <c r="E407" s="9" t="s">
        <v>1722</v>
      </c>
      <c r="F407" s="8"/>
      <c r="G407" s="9"/>
      <c r="H407" s="8" t="s">
        <v>8164</v>
      </c>
      <c r="I407" s="8" t="s">
        <v>8191</v>
      </c>
      <c r="J407" s="8"/>
      <c r="K407" s="8"/>
      <c r="L407" s="8"/>
      <c r="M407" s="8"/>
      <c r="N407" s="8"/>
      <c r="O407" s="8"/>
      <c r="P407" s="8"/>
      <c r="Q407" s="8"/>
      <c r="R407" s="8"/>
      <c r="S407" s="8"/>
    </row>
    <row r="408" spans="1:19" ht="15.75" customHeight="1">
      <c r="A408" s="8">
        <v>220755168</v>
      </c>
      <c r="B408" s="8" t="s">
        <v>7875</v>
      </c>
      <c r="C408" s="8" t="s">
        <v>9221</v>
      </c>
      <c r="D408" s="8" t="s">
        <v>1733</v>
      </c>
      <c r="E408" s="9" t="s">
        <v>1734</v>
      </c>
      <c r="F408" s="8"/>
      <c r="G408" s="9"/>
      <c r="H408" s="8" t="s">
        <v>8164</v>
      </c>
      <c r="I408" s="8" t="s">
        <v>9222</v>
      </c>
      <c r="J408" s="8" t="s">
        <v>9223</v>
      </c>
      <c r="K408" s="8"/>
      <c r="L408" s="8"/>
      <c r="M408" s="8"/>
      <c r="N408" s="8"/>
      <c r="O408" s="8"/>
      <c r="P408" s="8"/>
      <c r="Q408" s="8"/>
      <c r="R408" s="8"/>
      <c r="S408" s="8"/>
    </row>
    <row r="409" spans="1:19" ht="15.75" customHeight="1">
      <c r="A409" s="8">
        <v>220858807</v>
      </c>
      <c r="B409" s="8" t="s">
        <v>8206</v>
      </c>
      <c r="C409" s="8" t="s">
        <v>9224</v>
      </c>
      <c r="D409" s="8" t="s">
        <v>1742</v>
      </c>
      <c r="E409" s="9" t="s">
        <v>1743</v>
      </c>
      <c r="F409" s="8"/>
      <c r="G409" s="9"/>
      <c r="H409" s="8" t="s">
        <v>8164</v>
      </c>
      <c r="I409" s="8" t="s">
        <v>8174</v>
      </c>
      <c r="J409" s="8"/>
      <c r="K409" s="8"/>
      <c r="L409" s="8"/>
      <c r="M409" s="8"/>
      <c r="N409" s="8"/>
      <c r="O409" s="8"/>
      <c r="P409" s="8"/>
      <c r="Q409" s="8"/>
      <c r="R409" s="8"/>
      <c r="S409" s="8"/>
    </row>
    <row r="410" spans="1:19" ht="15.75" customHeight="1">
      <c r="A410" s="8">
        <v>220974906</v>
      </c>
      <c r="B410" s="8" t="s">
        <v>8338</v>
      </c>
      <c r="C410" s="8" t="s">
        <v>9225</v>
      </c>
      <c r="D410" s="8" t="s">
        <v>1746</v>
      </c>
      <c r="E410" s="9" t="s">
        <v>1747</v>
      </c>
      <c r="F410" s="8"/>
      <c r="G410" s="9"/>
      <c r="H410" s="8" t="s">
        <v>9226</v>
      </c>
      <c r="I410" s="8" t="s">
        <v>9227</v>
      </c>
      <c r="J410" s="8"/>
      <c r="K410" s="8"/>
      <c r="L410" s="8"/>
      <c r="M410" s="8"/>
      <c r="N410" s="8"/>
      <c r="O410" s="8"/>
      <c r="P410" s="8"/>
      <c r="Q410" s="8"/>
      <c r="R410" s="8"/>
      <c r="S410" s="8"/>
    </row>
    <row r="411" spans="1:19" ht="15.75" customHeight="1">
      <c r="A411" s="8">
        <v>221150290</v>
      </c>
      <c r="B411" s="8" t="s">
        <v>8619</v>
      </c>
      <c r="C411" s="8" t="s">
        <v>9228</v>
      </c>
      <c r="D411" s="8" t="s">
        <v>1755</v>
      </c>
      <c r="E411" s="9">
        <v>79180163243</v>
      </c>
      <c r="F411" s="8" t="s">
        <v>9229</v>
      </c>
      <c r="G411" s="9">
        <v>33</v>
      </c>
      <c r="H411" s="8" t="s">
        <v>8164</v>
      </c>
      <c r="I411" s="8" t="s">
        <v>8214</v>
      </c>
      <c r="J411" s="8"/>
      <c r="K411" s="8"/>
      <c r="L411" s="8"/>
      <c r="M411" s="8"/>
      <c r="N411" s="8"/>
      <c r="O411" s="8"/>
      <c r="P411" s="8"/>
      <c r="Q411" s="8"/>
      <c r="R411" s="8"/>
      <c r="S411" s="8"/>
    </row>
    <row r="412" spans="1:19" ht="15.75" customHeight="1">
      <c r="A412" s="8">
        <v>221297475</v>
      </c>
      <c r="B412" s="8" t="s">
        <v>8434</v>
      </c>
      <c r="C412" s="8" t="s">
        <v>8787</v>
      </c>
      <c r="D412" s="8" t="s">
        <v>1757</v>
      </c>
      <c r="E412" s="9" t="s">
        <v>738</v>
      </c>
      <c r="F412" s="8" t="s">
        <v>8788</v>
      </c>
      <c r="G412" s="9">
        <v>45</v>
      </c>
      <c r="H412" s="8" t="s">
        <v>8164</v>
      </c>
      <c r="I412" s="8" t="s">
        <v>8191</v>
      </c>
      <c r="J412" s="8"/>
      <c r="K412" s="8"/>
      <c r="L412" s="8"/>
      <c r="M412" s="8"/>
      <c r="N412" s="8"/>
      <c r="O412" s="8"/>
      <c r="P412" s="8"/>
      <c r="Q412" s="8"/>
      <c r="R412" s="8"/>
      <c r="S412" s="8"/>
    </row>
    <row r="413" spans="1:19" ht="15.75" customHeight="1">
      <c r="A413" s="8">
        <v>221348509</v>
      </c>
      <c r="B413" s="8" t="s">
        <v>7399</v>
      </c>
      <c r="C413" s="8" t="s">
        <v>9230</v>
      </c>
      <c r="D413" s="8" t="s">
        <v>1760</v>
      </c>
      <c r="E413" s="9">
        <v>79645438902</v>
      </c>
      <c r="F413" s="8"/>
      <c r="G413" s="9"/>
      <c r="H413" s="8" t="s">
        <v>8164</v>
      </c>
      <c r="I413" s="8" t="s">
        <v>8208</v>
      </c>
      <c r="J413" s="8"/>
      <c r="K413" s="8"/>
      <c r="L413" s="8"/>
      <c r="M413" s="8"/>
      <c r="N413" s="8"/>
      <c r="O413" s="8"/>
      <c r="P413" s="8"/>
      <c r="Q413" s="8"/>
      <c r="R413" s="8"/>
      <c r="S413" s="8"/>
    </row>
    <row r="414" spans="1:19" ht="15.75" customHeight="1">
      <c r="A414" s="8">
        <v>221608365</v>
      </c>
      <c r="B414" s="8" t="s">
        <v>9076</v>
      </c>
      <c r="C414" s="8" t="s">
        <v>9231</v>
      </c>
      <c r="D414" s="8" t="s">
        <v>1769</v>
      </c>
      <c r="E414" s="9" t="s">
        <v>1770</v>
      </c>
      <c r="F414" s="8" t="s">
        <v>9232</v>
      </c>
      <c r="G414" s="9">
        <v>32</v>
      </c>
      <c r="H414" s="8" t="s">
        <v>8827</v>
      </c>
      <c r="I414" s="8" t="s">
        <v>9233</v>
      </c>
      <c r="J414" s="8"/>
      <c r="K414" s="8"/>
      <c r="L414" s="8"/>
      <c r="M414" s="8"/>
      <c r="N414" s="8"/>
      <c r="O414" s="8"/>
      <c r="P414" s="8"/>
      <c r="Q414" s="8"/>
      <c r="R414" s="8"/>
      <c r="S414" s="8"/>
    </row>
    <row r="415" spans="1:19" ht="15.75" customHeight="1">
      <c r="A415" s="8">
        <v>221624331</v>
      </c>
      <c r="B415" s="8" t="s">
        <v>9234</v>
      </c>
      <c r="C415" s="8" t="s">
        <v>8821</v>
      </c>
      <c r="D415" s="8" t="s">
        <v>1773</v>
      </c>
      <c r="E415" s="9" t="s">
        <v>1774</v>
      </c>
      <c r="F415" s="8"/>
      <c r="G415" s="9"/>
      <c r="H415" s="8" t="s">
        <v>8183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</row>
    <row r="416" spans="1:19" ht="15.75" customHeight="1">
      <c r="A416" s="8">
        <v>221624970</v>
      </c>
      <c r="B416" s="8" t="s">
        <v>9235</v>
      </c>
      <c r="C416" s="8" t="s">
        <v>8322</v>
      </c>
      <c r="D416" s="8" t="s">
        <v>1777</v>
      </c>
      <c r="E416" s="9" t="s">
        <v>1778</v>
      </c>
      <c r="F416" s="8"/>
      <c r="G416" s="9"/>
      <c r="H416" s="8" t="s">
        <v>8183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</row>
    <row r="417" spans="1:19" ht="15.75" customHeight="1">
      <c r="A417" s="8">
        <v>221729502</v>
      </c>
      <c r="B417" s="8" t="s">
        <v>8206</v>
      </c>
      <c r="C417" s="8" t="s">
        <v>9236</v>
      </c>
      <c r="D417" s="8" t="s">
        <v>1792</v>
      </c>
      <c r="E417" s="9">
        <v>79184852208</v>
      </c>
      <c r="F417" s="8"/>
      <c r="G417" s="9"/>
      <c r="H417" s="8" t="s">
        <v>8164</v>
      </c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</row>
    <row r="418" spans="1:19" ht="15.75" customHeight="1">
      <c r="A418" s="8">
        <v>221789809</v>
      </c>
      <c r="B418" s="8" t="s">
        <v>8434</v>
      </c>
      <c r="C418" s="8" t="s">
        <v>9237</v>
      </c>
      <c r="D418" s="8" t="s">
        <v>1795</v>
      </c>
      <c r="E418" s="9" t="s">
        <v>1796</v>
      </c>
      <c r="F418" s="8"/>
      <c r="G418" s="9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</row>
    <row r="419" spans="1:19" ht="15.75" customHeight="1">
      <c r="A419" s="8">
        <v>221854940</v>
      </c>
      <c r="B419" s="8" t="s">
        <v>8390</v>
      </c>
      <c r="C419" s="8" t="s">
        <v>9238</v>
      </c>
      <c r="D419" s="8" t="s">
        <v>1806</v>
      </c>
      <c r="E419" s="9" t="s">
        <v>1807</v>
      </c>
      <c r="F419" s="8"/>
      <c r="G419" s="9"/>
      <c r="H419" s="8" t="s">
        <v>8164</v>
      </c>
      <c r="I419" s="8" t="s">
        <v>8208</v>
      </c>
      <c r="J419" s="8"/>
      <c r="K419" s="8"/>
      <c r="L419" s="8"/>
      <c r="M419" s="8"/>
      <c r="N419" s="8"/>
      <c r="O419" s="8"/>
      <c r="P419" s="8"/>
      <c r="Q419" s="8"/>
      <c r="R419" s="8"/>
      <c r="S419" s="8"/>
    </row>
    <row r="420" spans="1:19" ht="15.75" customHeight="1">
      <c r="A420" s="8">
        <v>222154657</v>
      </c>
      <c r="B420" s="8" t="s">
        <v>8277</v>
      </c>
      <c r="C420" s="8" t="s">
        <v>9239</v>
      </c>
      <c r="D420" s="8" t="s">
        <v>1814</v>
      </c>
      <c r="E420" s="9">
        <v>79166725212</v>
      </c>
      <c r="F420" s="8"/>
      <c r="G420" s="9"/>
      <c r="H420" s="8" t="s">
        <v>8164</v>
      </c>
      <c r="I420" s="8" t="s">
        <v>9240</v>
      </c>
      <c r="J420" s="8"/>
      <c r="K420" s="8"/>
      <c r="L420" s="8"/>
      <c r="M420" s="8"/>
      <c r="N420" s="8"/>
      <c r="O420" s="8"/>
      <c r="P420" s="8"/>
      <c r="Q420" s="8"/>
      <c r="R420" s="8"/>
      <c r="S420" s="8"/>
    </row>
    <row r="421" spans="1:19" ht="15.75" customHeight="1">
      <c r="A421" s="8">
        <v>222207044</v>
      </c>
      <c r="B421" s="8" t="s">
        <v>8579</v>
      </c>
      <c r="C421" s="8" t="s">
        <v>9241</v>
      </c>
      <c r="D421" s="8" t="s">
        <v>1817</v>
      </c>
      <c r="E421" s="9">
        <v>447516389</v>
      </c>
      <c r="F421" s="8"/>
      <c r="G421" s="9"/>
      <c r="H421" s="8" t="s">
        <v>8222</v>
      </c>
      <c r="I421" s="8" t="s">
        <v>8412</v>
      </c>
      <c r="J421" s="8"/>
      <c r="K421" s="8"/>
      <c r="L421" s="8"/>
      <c r="M421" s="8"/>
      <c r="N421" s="8"/>
      <c r="O421" s="8"/>
      <c r="P421" s="8"/>
      <c r="Q421" s="8"/>
      <c r="R421" s="8"/>
      <c r="S421" s="8"/>
    </row>
    <row r="422" spans="1:19" ht="15.75" customHeight="1">
      <c r="A422" s="8">
        <v>222214630</v>
      </c>
      <c r="B422" s="8" t="s">
        <v>8465</v>
      </c>
      <c r="C422" s="8" t="s">
        <v>9242</v>
      </c>
      <c r="D422" s="8" t="s">
        <v>9243</v>
      </c>
      <c r="E422" s="9">
        <v>375447263309</v>
      </c>
      <c r="F422" s="8"/>
      <c r="G422" s="9"/>
      <c r="H422" s="8" t="s">
        <v>8222</v>
      </c>
      <c r="I422" s="8" t="s">
        <v>8412</v>
      </c>
      <c r="J422" s="8"/>
      <c r="K422" s="8"/>
      <c r="L422" s="8"/>
      <c r="M422" s="8"/>
      <c r="N422" s="8"/>
      <c r="O422" s="8"/>
      <c r="P422" s="8"/>
      <c r="Q422" s="8"/>
      <c r="R422" s="8"/>
      <c r="S422" s="8"/>
    </row>
    <row r="423" spans="1:19" ht="15.75" customHeight="1">
      <c r="A423" s="8">
        <v>222229466</v>
      </c>
      <c r="B423" s="8" t="s">
        <v>9244</v>
      </c>
      <c r="C423" s="8" t="s">
        <v>9245</v>
      </c>
      <c r="D423" s="8" t="s">
        <v>1822</v>
      </c>
      <c r="E423" s="9" t="s">
        <v>1823</v>
      </c>
      <c r="F423" s="8"/>
      <c r="G423" s="9"/>
      <c r="H423" s="8" t="s">
        <v>8222</v>
      </c>
      <c r="I423" s="8" t="s">
        <v>8412</v>
      </c>
      <c r="J423" s="8"/>
      <c r="K423" s="8"/>
      <c r="L423" s="8"/>
      <c r="M423" s="8"/>
      <c r="N423" s="8"/>
      <c r="O423" s="8"/>
      <c r="P423" s="8"/>
      <c r="Q423" s="8"/>
      <c r="R423" s="8"/>
      <c r="S423" s="8"/>
    </row>
    <row r="424" spans="1:19" ht="15.75" customHeight="1">
      <c r="A424" s="8">
        <v>222244824</v>
      </c>
      <c r="B424" s="8" t="s">
        <v>9246</v>
      </c>
      <c r="C424" s="8" t="s">
        <v>9247</v>
      </c>
      <c r="D424" s="8" t="s">
        <v>1826</v>
      </c>
      <c r="E424" s="9" t="s">
        <v>1827</v>
      </c>
      <c r="F424" s="8"/>
      <c r="G424" s="9"/>
      <c r="H424" s="8" t="s">
        <v>8222</v>
      </c>
      <c r="I424" s="8" t="s">
        <v>8412</v>
      </c>
      <c r="J424" s="8"/>
      <c r="K424" s="8"/>
      <c r="L424" s="8"/>
      <c r="M424" s="8"/>
      <c r="N424" s="8"/>
      <c r="O424" s="8"/>
      <c r="P424" s="8"/>
      <c r="Q424" s="8"/>
      <c r="R424" s="8"/>
      <c r="S424" s="8"/>
    </row>
    <row r="425" spans="1:19" ht="15.75" customHeight="1">
      <c r="A425" s="8">
        <v>222313066</v>
      </c>
      <c r="B425" s="8" t="s">
        <v>9248</v>
      </c>
      <c r="C425" s="8" t="s">
        <v>9249</v>
      </c>
      <c r="D425" s="8" t="s">
        <v>1830</v>
      </c>
      <c r="E425" s="9" t="s">
        <v>1831</v>
      </c>
      <c r="F425" s="8"/>
      <c r="G425" s="9"/>
      <c r="H425" s="8" t="s">
        <v>8222</v>
      </c>
      <c r="I425" s="8" t="s">
        <v>8412</v>
      </c>
      <c r="J425" s="8"/>
      <c r="K425" s="8"/>
      <c r="L425" s="8"/>
      <c r="M425" s="8"/>
      <c r="N425" s="8"/>
      <c r="O425" s="8"/>
      <c r="P425" s="8"/>
      <c r="Q425" s="8"/>
      <c r="R425" s="8"/>
      <c r="S425" s="8"/>
    </row>
    <row r="426" spans="1:19" ht="15.75" customHeight="1">
      <c r="A426" s="8">
        <v>222316580</v>
      </c>
      <c r="B426" s="8" t="s">
        <v>7768</v>
      </c>
      <c r="C426" s="8" t="s">
        <v>9250</v>
      </c>
      <c r="D426" s="8" t="s">
        <v>9251</v>
      </c>
      <c r="E426" s="9">
        <v>79034165115</v>
      </c>
      <c r="F426" s="8"/>
      <c r="G426" s="9"/>
      <c r="H426" s="8" t="s">
        <v>8158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</row>
    <row r="427" spans="1:19" ht="15.75" customHeight="1">
      <c r="A427" s="8">
        <v>222329716</v>
      </c>
      <c r="B427" s="8" t="s">
        <v>9155</v>
      </c>
      <c r="C427" s="8" t="s">
        <v>9252</v>
      </c>
      <c r="D427" s="8" t="s">
        <v>1834</v>
      </c>
      <c r="E427" s="9">
        <v>79154756597</v>
      </c>
      <c r="F427" s="8"/>
      <c r="G427" s="9"/>
      <c r="H427" s="8" t="s">
        <v>8164</v>
      </c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</row>
    <row r="428" spans="1:19" ht="15.75" customHeight="1">
      <c r="A428" s="8">
        <v>222412221</v>
      </c>
      <c r="B428" s="8"/>
      <c r="C428" s="8" t="s">
        <v>1837</v>
      </c>
      <c r="D428" s="8" t="s">
        <v>1838</v>
      </c>
      <c r="E428" s="9" t="s">
        <v>1839</v>
      </c>
      <c r="F428" s="8"/>
      <c r="G428" s="9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</row>
    <row r="429" spans="1:19" ht="15.75" customHeight="1">
      <c r="A429" s="8">
        <v>222427218</v>
      </c>
      <c r="B429" s="8" t="s">
        <v>9253</v>
      </c>
      <c r="C429" s="8" t="s">
        <v>9254</v>
      </c>
      <c r="D429" s="8" t="s">
        <v>1844</v>
      </c>
      <c r="E429" s="9" t="s">
        <v>1845</v>
      </c>
      <c r="F429" s="8"/>
      <c r="G429" s="9"/>
      <c r="H429" s="8" t="s">
        <v>8558</v>
      </c>
      <c r="I429" s="8" t="s">
        <v>8559</v>
      </c>
      <c r="J429" s="8"/>
      <c r="K429" s="8"/>
      <c r="L429" s="8"/>
      <c r="M429" s="8"/>
      <c r="N429" s="8"/>
      <c r="O429" s="8"/>
      <c r="P429" s="8"/>
      <c r="Q429" s="8"/>
      <c r="R429" s="8"/>
      <c r="S429" s="8"/>
    </row>
    <row r="430" spans="1:19" ht="15.75" customHeight="1">
      <c r="A430" s="8">
        <v>222533650</v>
      </c>
      <c r="B430" s="8" t="s">
        <v>9255</v>
      </c>
      <c r="C430" s="8" t="s">
        <v>9256</v>
      </c>
      <c r="D430" s="8" t="s">
        <v>1849</v>
      </c>
      <c r="E430" s="9" t="s">
        <v>1850</v>
      </c>
      <c r="F430" s="8"/>
      <c r="G430" s="9"/>
      <c r="H430" s="8" t="s">
        <v>8386</v>
      </c>
      <c r="I430" s="8" t="s">
        <v>8387</v>
      </c>
      <c r="J430" s="8"/>
      <c r="K430" s="8"/>
      <c r="L430" s="8"/>
      <c r="M430" s="8"/>
      <c r="N430" s="8"/>
      <c r="O430" s="8"/>
      <c r="P430" s="8"/>
      <c r="Q430" s="8"/>
      <c r="R430" s="8"/>
      <c r="S430" s="8"/>
    </row>
    <row r="431" spans="1:19" ht="15.75" customHeight="1">
      <c r="A431" s="8">
        <v>222616996</v>
      </c>
      <c r="B431" s="8" t="s">
        <v>9257</v>
      </c>
      <c r="C431" s="8" t="s">
        <v>9258</v>
      </c>
      <c r="D431" s="8" t="s">
        <v>1857</v>
      </c>
      <c r="E431" s="9" t="s">
        <v>1858</v>
      </c>
      <c r="F431" s="8"/>
      <c r="G431" s="9"/>
      <c r="H431" s="8" t="s">
        <v>8183</v>
      </c>
      <c r="I431" s="8" t="s">
        <v>9259</v>
      </c>
      <c r="J431" s="8"/>
      <c r="K431" s="8"/>
      <c r="L431" s="8"/>
      <c r="M431" s="8"/>
      <c r="N431" s="8"/>
      <c r="O431" s="8"/>
      <c r="P431" s="8"/>
      <c r="Q431" s="8"/>
      <c r="R431" s="8"/>
      <c r="S431" s="8"/>
    </row>
    <row r="432" spans="1:19" ht="15.75" customHeight="1">
      <c r="A432" s="8">
        <v>222640251</v>
      </c>
      <c r="B432" s="8" t="s">
        <v>8410</v>
      </c>
      <c r="C432" s="8" t="s">
        <v>9260</v>
      </c>
      <c r="D432" s="8" t="s">
        <v>1861</v>
      </c>
      <c r="E432" s="9" t="s">
        <v>1862</v>
      </c>
      <c r="F432" s="8"/>
      <c r="G432" s="9"/>
      <c r="H432" s="8" t="s">
        <v>8222</v>
      </c>
      <c r="I432" s="8" t="s">
        <v>8412</v>
      </c>
      <c r="J432" s="8"/>
      <c r="K432" s="8"/>
      <c r="L432" s="8"/>
      <c r="M432" s="8"/>
      <c r="N432" s="8"/>
      <c r="O432" s="8"/>
      <c r="P432" s="8"/>
      <c r="Q432" s="8"/>
      <c r="R432" s="8"/>
      <c r="S432" s="8"/>
    </row>
    <row r="433" spans="1:19" ht="15.75" customHeight="1">
      <c r="A433" s="8">
        <v>222719370</v>
      </c>
      <c r="B433" s="8" t="s">
        <v>9261</v>
      </c>
      <c r="C433" s="8" t="s">
        <v>9262</v>
      </c>
      <c r="D433" s="8" t="s">
        <v>1865</v>
      </c>
      <c r="E433" s="9" t="s">
        <v>1866</v>
      </c>
      <c r="F433" s="8"/>
      <c r="G433" s="9"/>
      <c r="H433" s="8" t="s">
        <v>8222</v>
      </c>
      <c r="I433" s="8" t="s">
        <v>8412</v>
      </c>
      <c r="J433" s="8"/>
      <c r="K433" s="8"/>
      <c r="L433" s="8"/>
      <c r="M433" s="8"/>
      <c r="N433" s="8"/>
      <c r="O433" s="8"/>
      <c r="P433" s="8"/>
      <c r="Q433" s="8"/>
      <c r="R433" s="8"/>
      <c r="S433" s="8"/>
    </row>
    <row r="434" spans="1:19" ht="15.75" customHeight="1">
      <c r="A434" s="8">
        <v>222785177</v>
      </c>
      <c r="B434" s="8" t="s">
        <v>9263</v>
      </c>
      <c r="C434" s="8" t="s">
        <v>9264</v>
      </c>
      <c r="D434" s="8" t="s">
        <v>1869</v>
      </c>
      <c r="E434" s="9" t="s">
        <v>1870</v>
      </c>
      <c r="F434" s="8"/>
      <c r="G434" s="9"/>
      <c r="H434" s="8" t="s">
        <v>9265</v>
      </c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</row>
    <row r="435" spans="1:19" ht="15.75" customHeight="1">
      <c r="A435" s="8">
        <v>222795365</v>
      </c>
      <c r="B435" s="8" t="s">
        <v>9266</v>
      </c>
      <c r="C435" s="8" t="s">
        <v>8434</v>
      </c>
      <c r="D435" s="8" t="s">
        <v>9267</v>
      </c>
      <c r="E435" s="9" t="s">
        <v>9268</v>
      </c>
      <c r="F435" s="8"/>
      <c r="G435" s="9"/>
      <c r="H435" s="8" t="s">
        <v>8222</v>
      </c>
      <c r="I435" s="8" t="s">
        <v>8412</v>
      </c>
      <c r="J435" s="8"/>
      <c r="K435" s="8"/>
      <c r="L435" s="8"/>
      <c r="M435" s="8"/>
      <c r="N435" s="8"/>
      <c r="O435" s="8"/>
      <c r="P435" s="8"/>
      <c r="Q435" s="8"/>
      <c r="R435" s="8"/>
      <c r="S435" s="8"/>
    </row>
    <row r="436" spans="1:19" ht="15.75" customHeight="1">
      <c r="A436" s="8">
        <v>222815396</v>
      </c>
      <c r="B436" s="8" t="s">
        <v>8369</v>
      </c>
      <c r="C436" s="8" t="s">
        <v>9269</v>
      </c>
      <c r="D436" s="8" t="s">
        <v>1875</v>
      </c>
      <c r="E436" s="9" t="s">
        <v>1876</v>
      </c>
      <c r="F436" s="8"/>
      <c r="G436" s="9"/>
      <c r="H436" s="8" t="s">
        <v>8164</v>
      </c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</row>
    <row r="437" spans="1:19" ht="15.75" customHeight="1">
      <c r="A437" s="8">
        <v>222829047</v>
      </c>
      <c r="B437" s="8" t="s">
        <v>9270</v>
      </c>
      <c r="C437" s="8" t="s">
        <v>9271</v>
      </c>
      <c r="D437" s="8" t="s">
        <v>1879</v>
      </c>
      <c r="E437" s="9" t="s">
        <v>1880</v>
      </c>
      <c r="F437" s="8"/>
      <c r="G437" s="9"/>
      <c r="H437" s="8"/>
      <c r="I437" s="8"/>
      <c r="J437" s="8" t="s">
        <v>9272</v>
      </c>
      <c r="K437" s="8"/>
      <c r="L437" s="8"/>
      <c r="M437" s="8"/>
      <c r="N437" s="8"/>
      <c r="O437" s="8"/>
      <c r="P437" s="8"/>
      <c r="Q437" s="8" t="s">
        <v>8161</v>
      </c>
      <c r="R437" s="8"/>
      <c r="S437" s="8"/>
    </row>
    <row r="438" spans="1:19" ht="15.75" customHeight="1">
      <c r="A438" s="8">
        <v>222908896</v>
      </c>
      <c r="B438" s="8" t="s">
        <v>8206</v>
      </c>
      <c r="C438" s="8" t="s">
        <v>9273</v>
      </c>
      <c r="D438" s="8" t="s">
        <v>1884</v>
      </c>
      <c r="E438" s="9" t="s">
        <v>1885</v>
      </c>
      <c r="F438" s="8"/>
      <c r="G438" s="9"/>
      <c r="H438" s="8" t="s">
        <v>8164</v>
      </c>
      <c r="I438" s="8" t="s">
        <v>9274</v>
      </c>
      <c r="J438" s="8"/>
      <c r="K438" s="8"/>
      <c r="L438" s="8"/>
      <c r="M438" s="8"/>
      <c r="N438" s="8"/>
      <c r="O438" s="8"/>
      <c r="P438" s="8"/>
      <c r="Q438" s="8"/>
      <c r="R438" s="8"/>
      <c r="S438" s="8"/>
    </row>
    <row r="439" spans="1:19" ht="15.75" customHeight="1">
      <c r="A439" s="8">
        <v>222939150</v>
      </c>
      <c r="B439" s="8" t="s">
        <v>9275</v>
      </c>
      <c r="C439" s="8" t="s">
        <v>9276</v>
      </c>
      <c r="D439" s="8" t="s">
        <v>1888</v>
      </c>
      <c r="E439" s="9" t="s">
        <v>1889</v>
      </c>
      <c r="F439" s="8"/>
      <c r="G439" s="9"/>
      <c r="H439" s="8" t="s">
        <v>8183</v>
      </c>
      <c r="I439" s="8" t="s">
        <v>9277</v>
      </c>
      <c r="J439" s="8"/>
      <c r="K439" s="8"/>
      <c r="L439" s="8"/>
      <c r="M439" s="8"/>
      <c r="N439" s="8"/>
      <c r="O439" s="8"/>
      <c r="P439" s="8"/>
      <c r="Q439" s="8"/>
      <c r="R439" s="8"/>
      <c r="S439" s="8"/>
    </row>
    <row r="440" spans="1:19" ht="15.75" customHeight="1">
      <c r="A440" s="8">
        <v>223042730</v>
      </c>
      <c r="B440" s="8" t="s">
        <v>8479</v>
      </c>
      <c r="C440" s="8" t="s">
        <v>9266</v>
      </c>
      <c r="D440" s="8" t="s">
        <v>9278</v>
      </c>
      <c r="E440" s="9" t="s">
        <v>9279</v>
      </c>
      <c r="F440" s="8" t="s">
        <v>9280</v>
      </c>
      <c r="G440" s="9">
        <v>45</v>
      </c>
      <c r="H440" s="8" t="s">
        <v>8222</v>
      </c>
      <c r="I440" s="8" t="s">
        <v>8412</v>
      </c>
      <c r="J440" s="8"/>
      <c r="K440" s="8"/>
      <c r="L440" s="8"/>
      <c r="M440" s="8"/>
      <c r="N440" s="8"/>
      <c r="O440" s="8"/>
      <c r="P440" s="8"/>
      <c r="Q440" s="8"/>
      <c r="R440" s="8"/>
      <c r="S440" s="8"/>
    </row>
    <row r="441" spans="1:19" ht="15.75" customHeight="1">
      <c r="A441" s="8">
        <v>223063107</v>
      </c>
      <c r="B441" s="8" t="s">
        <v>8434</v>
      </c>
      <c r="C441" s="8" t="s">
        <v>9266</v>
      </c>
      <c r="D441" s="8" t="s">
        <v>9281</v>
      </c>
      <c r="E441" s="9" t="s">
        <v>9268</v>
      </c>
      <c r="F441" s="8" t="s">
        <v>9282</v>
      </c>
      <c r="G441" s="9">
        <v>23</v>
      </c>
      <c r="H441" s="8" t="s">
        <v>8222</v>
      </c>
      <c r="I441" s="8" t="s">
        <v>8412</v>
      </c>
      <c r="J441" s="8"/>
      <c r="K441" s="8"/>
      <c r="L441" s="8"/>
      <c r="M441" s="8"/>
      <c r="N441" s="8"/>
      <c r="O441" s="8"/>
      <c r="P441" s="8"/>
      <c r="Q441" s="8"/>
      <c r="R441" s="8"/>
      <c r="S441" s="8"/>
    </row>
    <row r="442" spans="1:19" ht="15.75" customHeight="1">
      <c r="A442" s="8">
        <v>223081797</v>
      </c>
      <c r="B442" s="8" t="s">
        <v>8325</v>
      </c>
      <c r="C442" s="8" t="s">
        <v>9283</v>
      </c>
      <c r="D442" s="8" t="s">
        <v>1892</v>
      </c>
      <c r="E442" s="9" t="s">
        <v>1893</v>
      </c>
      <c r="F442" s="8"/>
      <c r="G442" s="9"/>
      <c r="H442" s="8" t="s">
        <v>8222</v>
      </c>
      <c r="I442" s="8" t="s">
        <v>8412</v>
      </c>
      <c r="J442" s="8"/>
      <c r="K442" s="8"/>
      <c r="L442" s="8"/>
      <c r="M442" s="8"/>
      <c r="N442" s="8"/>
      <c r="O442" s="8"/>
      <c r="P442" s="8"/>
      <c r="Q442" s="8"/>
      <c r="R442" s="8"/>
      <c r="S442" s="8"/>
    </row>
    <row r="443" spans="1:19" ht="15.75" customHeight="1">
      <c r="A443" s="8">
        <v>223096688</v>
      </c>
      <c r="B443" s="8" t="s">
        <v>8717</v>
      </c>
      <c r="C443" s="8" t="s">
        <v>9284</v>
      </c>
      <c r="D443" s="8" t="s">
        <v>1896</v>
      </c>
      <c r="E443" s="9" t="s">
        <v>1897</v>
      </c>
      <c r="F443" s="8"/>
      <c r="G443" s="9"/>
      <c r="H443" s="8" t="s">
        <v>8222</v>
      </c>
      <c r="I443" s="8" t="s">
        <v>8412</v>
      </c>
      <c r="J443" s="8"/>
      <c r="K443" s="8"/>
      <c r="L443" s="8"/>
      <c r="M443" s="8"/>
      <c r="N443" s="8"/>
      <c r="O443" s="8"/>
      <c r="P443" s="8"/>
      <c r="Q443" s="8"/>
      <c r="R443" s="8"/>
      <c r="S443" s="8"/>
    </row>
    <row r="444" spans="1:19" ht="15.75" customHeight="1">
      <c r="A444" s="8">
        <v>223107946</v>
      </c>
      <c r="B444" s="8" t="s">
        <v>9285</v>
      </c>
      <c r="C444" s="8" t="s">
        <v>9286</v>
      </c>
      <c r="D444" s="8" t="s">
        <v>1900</v>
      </c>
      <c r="E444" s="9">
        <v>79241505263</v>
      </c>
      <c r="F444" s="8"/>
      <c r="G444" s="9"/>
      <c r="H444" s="8" t="s">
        <v>8164</v>
      </c>
      <c r="I444" s="8" t="s">
        <v>8208</v>
      </c>
      <c r="J444" s="8"/>
      <c r="K444" s="8"/>
      <c r="L444" s="8"/>
      <c r="M444" s="8"/>
      <c r="N444" s="8"/>
      <c r="O444" s="8"/>
      <c r="P444" s="8"/>
      <c r="Q444" s="8"/>
      <c r="R444" s="8"/>
      <c r="S444" s="8"/>
    </row>
    <row r="445" spans="1:19" ht="15.75" customHeight="1">
      <c r="A445" s="8">
        <v>223115577</v>
      </c>
      <c r="B445" s="8" t="s">
        <v>9287</v>
      </c>
      <c r="C445" s="8" t="s">
        <v>9288</v>
      </c>
      <c r="D445" s="8" t="s">
        <v>1903</v>
      </c>
      <c r="E445" s="9" t="s">
        <v>1904</v>
      </c>
      <c r="F445" s="8"/>
      <c r="G445" s="9"/>
      <c r="H445" s="8" t="s">
        <v>8164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</row>
    <row r="446" spans="1:19" ht="15.75" customHeight="1">
      <c r="A446" s="8">
        <v>223147600</v>
      </c>
      <c r="B446" s="8" t="s">
        <v>8479</v>
      </c>
      <c r="C446" s="8" t="s">
        <v>9289</v>
      </c>
      <c r="D446" s="8" t="s">
        <v>1907</v>
      </c>
      <c r="E446" s="9" t="s">
        <v>1908</v>
      </c>
      <c r="F446" s="8" t="s">
        <v>9290</v>
      </c>
      <c r="G446" s="9">
        <v>36</v>
      </c>
      <c r="H446" s="8" t="s">
        <v>8222</v>
      </c>
      <c r="I446" s="8" t="s">
        <v>8412</v>
      </c>
      <c r="J446" s="8"/>
      <c r="K446" s="8"/>
      <c r="L446" s="8"/>
      <c r="M446" s="8"/>
      <c r="N446" s="8"/>
      <c r="O446" s="8"/>
      <c r="P446" s="8"/>
      <c r="Q446" s="8"/>
      <c r="R446" s="8"/>
      <c r="S446" s="8"/>
    </row>
    <row r="447" spans="1:19" ht="15.75" customHeight="1">
      <c r="A447" s="8">
        <v>223150100</v>
      </c>
      <c r="B447" s="8" t="s">
        <v>9291</v>
      </c>
      <c r="C447" s="8" t="s">
        <v>9292</v>
      </c>
      <c r="D447" s="8" t="s">
        <v>9293</v>
      </c>
      <c r="E447" s="9" t="s">
        <v>9294</v>
      </c>
      <c r="F447" s="8" t="s">
        <v>9295</v>
      </c>
      <c r="G447" s="9">
        <v>19</v>
      </c>
      <c r="H447" s="8" t="s">
        <v>8222</v>
      </c>
      <c r="I447" s="8" t="s">
        <v>8412</v>
      </c>
      <c r="J447" s="8"/>
      <c r="K447" s="8"/>
      <c r="L447" s="8"/>
      <c r="M447" s="8"/>
      <c r="N447" s="8"/>
      <c r="O447" s="8"/>
      <c r="P447" s="8"/>
      <c r="Q447" s="8"/>
      <c r="R447" s="8"/>
      <c r="S447" s="8"/>
    </row>
    <row r="448" spans="1:19" ht="15.75" customHeight="1">
      <c r="A448" s="8">
        <v>223256267</v>
      </c>
      <c r="B448" s="8" t="s">
        <v>9145</v>
      </c>
      <c r="C448" s="8" t="s">
        <v>8311</v>
      </c>
      <c r="D448" s="8" t="s">
        <v>1912</v>
      </c>
      <c r="E448" s="9">
        <v>380958306167</v>
      </c>
      <c r="F448" s="8"/>
      <c r="G448" s="9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</row>
    <row r="449" spans="1:19" ht="15.75" customHeight="1">
      <c r="A449" s="8">
        <v>223271079</v>
      </c>
      <c r="B449" s="8" t="s">
        <v>9296</v>
      </c>
      <c r="C449" s="8" t="s">
        <v>9296</v>
      </c>
      <c r="D449" s="8" t="s">
        <v>1918</v>
      </c>
      <c r="E449" s="9">
        <v>8946</v>
      </c>
      <c r="F449" s="8"/>
      <c r="G449" s="9"/>
      <c r="H449" s="8" t="s">
        <v>8164</v>
      </c>
      <c r="I449" s="8" t="s">
        <v>8191</v>
      </c>
      <c r="J449" s="8"/>
      <c r="K449" s="8"/>
      <c r="L449" s="8"/>
      <c r="M449" s="8"/>
      <c r="N449" s="8"/>
      <c r="O449" s="8"/>
      <c r="P449" s="8"/>
      <c r="Q449" s="8"/>
      <c r="R449" s="8"/>
      <c r="S449" s="8"/>
    </row>
    <row r="450" spans="1:19" ht="15.75" customHeight="1">
      <c r="A450" s="8">
        <v>223272243</v>
      </c>
      <c r="B450" s="8" t="s">
        <v>9076</v>
      </c>
      <c r="C450" s="8" t="s">
        <v>9297</v>
      </c>
      <c r="D450" s="8" t="s">
        <v>1921</v>
      </c>
      <c r="E450" s="9" t="s">
        <v>1922</v>
      </c>
      <c r="F450" s="8" t="s">
        <v>9298</v>
      </c>
      <c r="G450" s="9">
        <v>43</v>
      </c>
      <c r="H450" s="8" t="s">
        <v>8558</v>
      </c>
      <c r="I450" s="8" t="s">
        <v>8559</v>
      </c>
      <c r="J450" s="8"/>
      <c r="K450" s="8"/>
      <c r="L450" s="8"/>
      <c r="M450" s="8"/>
      <c r="N450" s="8"/>
      <c r="O450" s="8"/>
      <c r="P450" s="8"/>
      <c r="Q450" s="8"/>
      <c r="R450" s="8"/>
      <c r="S450" s="8"/>
    </row>
    <row r="451" spans="1:19" ht="15.75" customHeight="1">
      <c r="A451" s="8">
        <v>223273523</v>
      </c>
      <c r="B451" s="8" t="s">
        <v>8311</v>
      </c>
      <c r="C451" s="8" t="s">
        <v>9299</v>
      </c>
      <c r="D451" s="8" t="s">
        <v>1925</v>
      </c>
      <c r="E451" s="9" t="s">
        <v>1926</v>
      </c>
      <c r="F451" s="8"/>
      <c r="G451" s="9"/>
      <c r="H451" s="8" t="s">
        <v>8222</v>
      </c>
      <c r="I451" s="8" t="s">
        <v>8412</v>
      </c>
      <c r="J451" s="8"/>
      <c r="K451" s="8"/>
      <c r="L451" s="8"/>
      <c r="M451" s="8"/>
      <c r="N451" s="8"/>
      <c r="O451" s="8"/>
      <c r="P451" s="8"/>
      <c r="Q451" s="8"/>
      <c r="R451" s="8"/>
      <c r="S451" s="8"/>
    </row>
    <row r="452" spans="1:19" ht="15.75" customHeight="1">
      <c r="A452" s="8">
        <v>223284551</v>
      </c>
      <c r="B452" s="8" t="s">
        <v>9300</v>
      </c>
      <c r="C452" s="8" t="s">
        <v>9301</v>
      </c>
      <c r="D452" s="8" t="s">
        <v>1929</v>
      </c>
      <c r="E452" s="9" t="s">
        <v>1930</v>
      </c>
      <c r="F452" s="8"/>
      <c r="G452" s="9"/>
      <c r="H452" s="8" t="s">
        <v>8222</v>
      </c>
      <c r="I452" s="8" t="s">
        <v>8412</v>
      </c>
      <c r="J452" s="8"/>
      <c r="K452" s="8"/>
      <c r="L452" s="8"/>
      <c r="M452" s="8"/>
      <c r="N452" s="8"/>
      <c r="O452" s="8"/>
      <c r="P452" s="8"/>
      <c r="Q452" s="8"/>
      <c r="R452" s="8"/>
      <c r="S452" s="8"/>
    </row>
    <row r="453" spans="1:19" ht="15.75" customHeight="1">
      <c r="A453" s="8">
        <v>223308391</v>
      </c>
      <c r="B453" s="8" t="s">
        <v>8365</v>
      </c>
      <c r="C453" s="8" t="s">
        <v>9302</v>
      </c>
      <c r="D453" s="8" t="s">
        <v>1933</v>
      </c>
      <c r="E453" s="9" t="s">
        <v>1934</v>
      </c>
      <c r="F453" s="8"/>
      <c r="G453" s="9"/>
      <c r="H453" s="8" t="s">
        <v>8164</v>
      </c>
      <c r="I453" s="8" t="s">
        <v>8165</v>
      </c>
      <c r="J453" s="8"/>
      <c r="K453" s="8"/>
      <c r="L453" s="8"/>
      <c r="M453" s="8"/>
      <c r="N453" s="8"/>
      <c r="O453" s="8"/>
      <c r="P453" s="8"/>
      <c r="Q453" s="8"/>
      <c r="R453" s="8"/>
      <c r="S453" s="8"/>
    </row>
    <row r="454" spans="1:19" ht="15.75" customHeight="1">
      <c r="A454" s="8">
        <v>223322709</v>
      </c>
      <c r="B454" s="8" t="s">
        <v>8186</v>
      </c>
      <c r="C454" s="8" t="s">
        <v>9303</v>
      </c>
      <c r="D454" s="8" t="s">
        <v>9304</v>
      </c>
      <c r="E454" s="9" t="s">
        <v>9305</v>
      </c>
      <c r="F454" s="8"/>
      <c r="G454" s="9"/>
      <c r="H454" s="8" t="s">
        <v>8222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</row>
    <row r="455" spans="1:19" ht="15.75" customHeight="1">
      <c r="A455" s="8">
        <v>223346041</v>
      </c>
      <c r="B455" s="8" t="s">
        <v>8689</v>
      </c>
      <c r="C455" s="8" t="s">
        <v>8690</v>
      </c>
      <c r="D455" s="8" t="s">
        <v>1937</v>
      </c>
      <c r="E455" s="9" t="s">
        <v>549</v>
      </c>
      <c r="F455" s="8"/>
      <c r="G455" s="9"/>
      <c r="H455" s="8" t="s">
        <v>8164</v>
      </c>
      <c r="I455" s="8" t="s">
        <v>8191</v>
      </c>
      <c r="J455" s="8"/>
      <c r="K455" s="8"/>
      <c r="L455" s="8"/>
      <c r="M455" s="8"/>
      <c r="N455" s="8"/>
      <c r="O455" s="8"/>
      <c r="P455" s="8"/>
      <c r="Q455" s="8"/>
      <c r="R455" s="8"/>
      <c r="S455" s="8"/>
    </row>
    <row r="456" spans="1:19" ht="15.75" customHeight="1">
      <c r="A456" s="8">
        <v>223374041</v>
      </c>
      <c r="B456" s="8" t="s">
        <v>8206</v>
      </c>
      <c r="C456" s="8" t="s">
        <v>9306</v>
      </c>
      <c r="D456" s="8" t="s">
        <v>1940</v>
      </c>
      <c r="E456" s="9" t="s">
        <v>1941</v>
      </c>
      <c r="F456" s="8"/>
      <c r="G456" s="9"/>
      <c r="H456" s="8" t="s">
        <v>8222</v>
      </c>
      <c r="I456" s="8" t="s">
        <v>8412</v>
      </c>
      <c r="J456" s="8"/>
      <c r="K456" s="8"/>
      <c r="L456" s="8"/>
      <c r="M456" s="8"/>
      <c r="N456" s="8"/>
      <c r="O456" s="8"/>
      <c r="P456" s="8"/>
      <c r="Q456" s="8"/>
      <c r="R456" s="8"/>
      <c r="S456" s="8"/>
    </row>
    <row r="457" spans="1:19" ht="15.75" customHeight="1">
      <c r="A457" s="8">
        <v>223379423</v>
      </c>
      <c r="B457" s="8" t="s">
        <v>9307</v>
      </c>
      <c r="C457" s="8" t="s">
        <v>9308</v>
      </c>
      <c r="D457" s="8" t="s">
        <v>1944</v>
      </c>
      <c r="E457" s="9">
        <v>29164789</v>
      </c>
      <c r="F457" s="8"/>
      <c r="G457" s="9"/>
      <c r="H457" s="8" t="s">
        <v>8558</v>
      </c>
      <c r="I457" s="8" t="s">
        <v>8559</v>
      </c>
      <c r="J457" s="8"/>
      <c r="K457" s="8"/>
      <c r="L457" s="8"/>
      <c r="M457" s="8"/>
      <c r="N457" s="8"/>
      <c r="O457" s="8"/>
      <c r="P457" s="8"/>
      <c r="Q457" s="8"/>
      <c r="R457" s="8"/>
      <c r="S457" s="8"/>
    </row>
    <row r="458" spans="1:19" ht="15.75" customHeight="1">
      <c r="A458" s="8">
        <v>223657589</v>
      </c>
      <c r="B458" s="8" t="s">
        <v>9309</v>
      </c>
      <c r="C458" s="8" t="s">
        <v>9310</v>
      </c>
      <c r="D458" s="8" t="s">
        <v>1951</v>
      </c>
      <c r="E458" s="9">
        <v>79517433228</v>
      </c>
      <c r="F458" s="8"/>
      <c r="G458" s="9"/>
      <c r="H458" s="8" t="s">
        <v>8164</v>
      </c>
      <c r="I458" s="8" t="s">
        <v>9311</v>
      </c>
      <c r="J458" s="8"/>
      <c r="K458" s="8"/>
      <c r="L458" s="8"/>
      <c r="M458" s="8"/>
      <c r="N458" s="8"/>
      <c r="O458" s="8"/>
      <c r="P458" s="8"/>
      <c r="Q458" s="8"/>
      <c r="R458" s="8"/>
      <c r="S458" s="8"/>
    </row>
    <row r="459" spans="1:19" ht="15.75" customHeight="1">
      <c r="A459" s="8">
        <v>223827936</v>
      </c>
      <c r="B459" s="8" t="s">
        <v>8991</v>
      </c>
      <c r="C459" s="8" t="s">
        <v>8992</v>
      </c>
      <c r="D459" s="8" t="s">
        <v>1958</v>
      </c>
      <c r="E459" s="9" t="s">
        <v>1956</v>
      </c>
      <c r="F459" s="8" t="s">
        <v>9312</v>
      </c>
      <c r="G459" s="9">
        <v>52</v>
      </c>
      <c r="H459" s="8" t="s">
        <v>8164</v>
      </c>
      <c r="I459" s="8" t="s">
        <v>8165</v>
      </c>
      <c r="J459" s="8"/>
      <c r="K459" s="8"/>
      <c r="L459" s="8"/>
      <c r="M459" s="8"/>
      <c r="N459" s="8"/>
      <c r="O459" s="8"/>
      <c r="P459" s="8"/>
      <c r="Q459" s="8"/>
      <c r="R459" s="8"/>
      <c r="S459" s="8"/>
    </row>
    <row r="460" spans="1:19" ht="15.75" customHeight="1">
      <c r="A460" s="8">
        <v>223899700</v>
      </c>
      <c r="B460" s="8" t="s">
        <v>8539</v>
      </c>
      <c r="C460" s="8" t="s">
        <v>9313</v>
      </c>
      <c r="D460" s="8" t="s">
        <v>1961</v>
      </c>
      <c r="E460" s="9" t="s">
        <v>1962</v>
      </c>
      <c r="F460" s="8"/>
      <c r="G460" s="9"/>
      <c r="H460" s="8" t="s">
        <v>8558</v>
      </c>
      <c r="I460" s="8" t="s">
        <v>8559</v>
      </c>
      <c r="J460" s="8"/>
      <c r="K460" s="8"/>
      <c r="L460" s="8"/>
      <c r="M460" s="8"/>
      <c r="N460" s="8"/>
      <c r="O460" s="8"/>
      <c r="P460" s="8"/>
      <c r="Q460" s="8"/>
      <c r="R460" s="8"/>
      <c r="S460" s="8"/>
    </row>
    <row r="461" spans="1:19" ht="15.75" customHeight="1">
      <c r="A461" s="8">
        <v>224355633</v>
      </c>
      <c r="B461" s="8" t="s">
        <v>8694</v>
      </c>
      <c r="C461" s="8" t="s">
        <v>9314</v>
      </c>
      <c r="D461" s="8" t="s">
        <v>1966</v>
      </c>
      <c r="E461" s="9" t="s">
        <v>1967</v>
      </c>
      <c r="F461" s="8" t="s">
        <v>9315</v>
      </c>
      <c r="G461" s="9">
        <v>54</v>
      </c>
      <c r="H461" s="8" t="s">
        <v>8267</v>
      </c>
      <c r="I461" s="8" t="s">
        <v>9316</v>
      </c>
      <c r="J461" s="8"/>
      <c r="K461" s="8"/>
      <c r="L461" s="8"/>
      <c r="M461" s="8"/>
      <c r="N461" s="8"/>
      <c r="O461" s="8"/>
      <c r="P461" s="8"/>
      <c r="Q461" s="8"/>
      <c r="R461" s="8"/>
      <c r="S461" s="8"/>
    </row>
    <row r="462" spans="1:19" ht="15.75" customHeight="1">
      <c r="A462" s="8">
        <v>224635897</v>
      </c>
      <c r="B462" s="8" t="s">
        <v>8479</v>
      </c>
      <c r="C462" s="8" t="s">
        <v>9317</v>
      </c>
      <c r="D462" s="8" t="s">
        <v>1975</v>
      </c>
      <c r="E462" s="9" t="s">
        <v>1976</v>
      </c>
      <c r="F462" s="8"/>
      <c r="G462" s="9"/>
      <c r="H462" s="8" t="s">
        <v>8164</v>
      </c>
      <c r="I462" s="8" t="s">
        <v>8165</v>
      </c>
      <c r="J462" s="8"/>
      <c r="K462" s="8"/>
      <c r="L462" s="8"/>
      <c r="M462" s="8"/>
      <c r="N462" s="8"/>
      <c r="O462" s="8"/>
      <c r="P462" s="8"/>
      <c r="Q462" s="8"/>
      <c r="R462" s="8"/>
      <c r="S462" s="8"/>
    </row>
    <row r="463" spans="1:19" ht="15.75" customHeight="1">
      <c r="A463" s="8">
        <v>224702211</v>
      </c>
      <c r="B463" s="8" t="s">
        <v>8684</v>
      </c>
      <c r="C463" s="8" t="s">
        <v>9318</v>
      </c>
      <c r="D463" s="8" t="s">
        <v>1980</v>
      </c>
      <c r="E463" s="9" t="s">
        <v>1981</v>
      </c>
      <c r="F463" s="8"/>
      <c r="G463" s="9"/>
      <c r="H463" s="8" t="s">
        <v>8164</v>
      </c>
      <c r="I463" s="8" t="s">
        <v>8165</v>
      </c>
      <c r="J463" s="8"/>
      <c r="K463" s="8"/>
      <c r="L463" s="8"/>
      <c r="M463" s="8"/>
      <c r="N463" s="8"/>
      <c r="O463" s="8"/>
      <c r="P463" s="8"/>
      <c r="Q463" s="8"/>
      <c r="R463" s="8"/>
      <c r="S463" s="8"/>
    </row>
    <row r="464" spans="1:19" ht="15.75" customHeight="1">
      <c r="A464" s="8">
        <v>224867693</v>
      </c>
      <c r="B464" s="8" t="s">
        <v>8581</v>
      </c>
      <c r="C464" s="8" t="s">
        <v>9319</v>
      </c>
      <c r="D464" s="8" t="s">
        <v>9320</v>
      </c>
      <c r="E464" s="9" t="s">
        <v>9321</v>
      </c>
      <c r="F464" s="8"/>
      <c r="G464" s="9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</row>
    <row r="465" spans="1:19" ht="15.75" customHeight="1">
      <c r="A465" s="8">
        <v>224968531</v>
      </c>
      <c r="B465" s="8" t="s">
        <v>9322</v>
      </c>
      <c r="C465" s="8" t="s">
        <v>9323</v>
      </c>
      <c r="D465" s="8" t="s">
        <v>9324</v>
      </c>
      <c r="E465" s="9" t="s">
        <v>9325</v>
      </c>
      <c r="F465" s="8"/>
      <c r="G465" s="9"/>
      <c r="H465" s="8" t="s">
        <v>8164</v>
      </c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</row>
    <row r="466" spans="1:19" ht="15.75" customHeight="1">
      <c r="A466" s="8">
        <v>225040192</v>
      </c>
      <c r="B466" s="8" t="s">
        <v>8479</v>
      </c>
      <c r="C466" s="8" t="s">
        <v>9326</v>
      </c>
      <c r="D466" s="8" t="s">
        <v>1992</v>
      </c>
      <c r="E466" s="9" t="s">
        <v>1608</v>
      </c>
      <c r="F466" s="8"/>
      <c r="G466" s="9"/>
      <c r="H466" s="8" t="s">
        <v>8183</v>
      </c>
      <c r="I466" s="8" t="s">
        <v>9176</v>
      </c>
      <c r="J466" s="8"/>
      <c r="K466" s="8"/>
      <c r="L466" s="8"/>
      <c r="M466" s="8"/>
      <c r="N466" s="8"/>
      <c r="O466" s="8"/>
      <c r="P466" s="8"/>
      <c r="Q466" s="8"/>
      <c r="R466" s="8"/>
      <c r="S466" s="8"/>
    </row>
    <row r="467" spans="1:19" ht="15.75" customHeight="1">
      <c r="A467" s="8">
        <v>225131040</v>
      </c>
      <c r="B467" s="8" t="s">
        <v>8581</v>
      </c>
      <c r="C467" s="8" t="s">
        <v>9327</v>
      </c>
      <c r="D467" s="8" t="s">
        <v>1995</v>
      </c>
      <c r="E467" s="9" t="s">
        <v>1996</v>
      </c>
      <c r="F467" s="8" t="s">
        <v>9328</v>
      </c>
      <c r="G467" s="9">
        <v>44</v>
      </c>
      <c r="H467" s="8" t="s">
        <v>8241</v>
      </c>
      <c r="I467" s="8" t="s">
        <v>8242</v>
      </c>
      <c r="J467" s="8"/>
      <c r="K467" s="8"/>
      <c r="L467" s="8"/>
      <c r="M467" s="8"/>
      <c r="N467" s="8"/>
      <c r="O467" s="8"/>
      <c r="P467" s="8"/>
      <c r="Q467" s="8"/>
      <c r="R467" s="8"/>
      <c r="S467" s="8"/>
    </row>
    <row r="468" spans="1:19" ht="15.75" customHeight="1">
      <c r="A468" s="8">
        <v>225147423</v>
      </c>
      <c r="B468" s="8" t="s">
        <v>9329</v>
      </c>
      <c r="C468" s="8" t="s">
        <v>9330</v>
      </c>
      <c r="D468" s="8" t="s">
        <v>1999</v>
      </c>
      <c r="E468" s="9" t="s">
        <v>2000</v>
      </c>
      <c r="F468" s="8" t="s">
        <v>9331</v>
      </c>
      <c r="G468" s="9">
        <v>37</v>
      </c>
      <c r="H468" s="8" t="s">
        <v>8463</v>
      </c>
      <c r="I468" s="8" t="s">
        <v>8464</v>
      </c>
      <c r="J468" s="8"/>
      <c r="K468" s="8"/>
      <c r="L468" s="8"/>
      <c r="M468" s="8"/>
      <c r="N468" s="8"/>
      <c r="O468" s="8"/>
      <c r="P468" s="8"/>
      <c r="Q468" s="8"/>
      <c r="R468" s="8"/>
      <c r="S468" s="8"/>
    </row>
    <row r="469" spans="1:19" ht="15.75" customHeight="1">
      <c r="A469" s="8">
        <v>225173713</v>
      </c>
      <c r="B469" s="8" t="s">
        <v>8197</v>
      </c>
      <c r="C469" s="8" t="s">
        <v>9332</v>
      </c>
      <c r="D469" s="8" t="s">
        <v>9333</v>
      </c>
      <c r="E469" s="9" t="s">
        <v>9334</v>
      </c>
      <c r="F469" s="8" t="s">
        <v>9335</v>
      </c>
      <c r="G469" s="9">
        <v>47</v>
      </c>
      <c r="H469" s="8" t="s">
        <v>8164</v>
      </c>
      <c r="I469" s="8" t="s">
        <v>8205</v>
      </c>
      <c r="J469" s="8"/>
      <c r="K469" s="8"/>
      <c r="L469" s="8"/>
      <c r="M469" s="8"/>
      <c r="N469" s="8"/>
      <c r="O469" s="8"/>
      <c r="P469" s="8"/>
      <c r="Q469" s="8"/>
      <c r="R469" s="8"/>
      <c r="S469" s="8"/>
    </row>
    <row r="470" spans="1:19" ht="15.75" customHeight="1">
      <c r="A470" s="8">
        <v>225175177</v>
      </c>
      <c r="B470" s="8" t="s">
        <v>8341</v>
      </c>
      <c r="C470" s="8" t="s">
        <v>9336</v>
      </c>
      <c r="D470" s="8" t="s">
        <v>2003</v>
      </c>
      <c r="E470" s="9" t="s">
        <v>2004</v>
      </c>
      <c r="F470" s="8" t="s">
        <v>9337</v>
      </c>
      <c r="G470" s="9"/>
      <c r="H470" s="8" t="s">
        <v>8164</v>
      </c>
      <c r="I470" s="8" t="s">
        <v>8205</v>
      </c>
      <c r="J470" s="8"/>
      <c r="K470" s="8"/>
      <c r="L470" s="8"/>
      <c r="M470" s="8"/>
      <c r="N470" s="8"/>
      <c r="O470" s="8"/>
      <c r="P470" s="8"/>
      <c r="Q470" s="8"/>
      <c r="R470" s="8"/>
      <c r="S470" s="8"/>
    </row>
    <row r="471" spans="1:19" ht="15.75" customHeight="1">
      <c r="A471" s="8">
        <v>225177789</v>
      </c>
      <c r="B471" s="8" t="s">
        <v>8431</v>
      </c>
      <c r="C471" s="8" t="s">
        <v>9338</v>
      </c>
      <c r="D471" s="8" t="s">
        <v>9339</v>
      </c>
      <c r="E471" s="9" t="s">
        <v>9340</v>
      </c>
      <c r="F471" s="8"/>
      <c r="G471" s="9"/>
      <c r="H471" s="8" t="s">
        <v>8164</v>
      </c>
      <c r="I471" s="8" t="s">
        <v>9341</v>
      </c>
      <c r="J471" s="8"/>
      <c r="K471" s="8"/>
      <c r="L471" s="8"/>
      <c r="M471" s="8"/>
      <c r="N471" s="8"/>
      <c r="O471" s="8"/>
      <c r="P471" s="8"/>
      <c r="Q471" s="8"/>
      <c r="R471" s="8"/>
      <c r="S471" s="8"/>
    </row>
    <row r="472" spans="1:19" ht="15.75" customHeight="1">
      <c r="A472" s="8">
        <v>225232482</v>
      </c>
      <c r="B472" s="8" t="s">
        <v>8581</v>
      </c>
      <c r="C472" s="8" t="s">
        <v>9342</v>
      </c>
      <c r="D472" s="8" t="s">
        <v>2007</v>
      </c>
      <c r="E472" s="9" t="s">
        <v>2008</v>
      </c>
      <c r="F472" s="8"/>
      <c r="G472" s="9"/>
      <c r="H472" s="8" t="s">
        <v>8267</v>
      </c>
      <c r="I472" s="8" t="s">
        <v>8972</v>
      </c>
      <c r="J472" s="8"/>
      <c r="K472" s="8"/>
      <c r="L472" s="8"/>
      <c r="M472" s="8"/>
      <c r="N472" s="8"/>
      <c r="O472" s="8"/>
      <c r="P472" s="8"/>
      <c r="Q472" s="8"/>
      <c r="R472" s="8"/>
      <c r="S472" s="8"/>
    </row>
    <row r="473" spans="1:19" ht="15.75" customHeight="1">
      <c r="A473" s="8">
        <v>225259841</v>
      </c>
      <c r="B473" s="8" t="s">
        <v>8753</v>
      </c>
      <c r="C473" s="8" t="s">
        <v>9343</v>
      </c>
      <c r="D473" s="8" t="s">
        <v>9344</v>
      </c>
      <c r="E473" s="9">
        <v>79036320466</v>
      </c>
      <c r="F473" s="8"/>
      <c r="G473" s="9"/>
      <c r="H473" s="8" t="s">
        <v>8164</v>
      </c>
      <c r="I473" s="8" t="s">
        <v>8165</v>
      </c>
      <c r="J473" s="8"/>
      <c r="K473" s="8"/>
      <c r="L473" s="8"/>
      <c r="M473" s="8"/>
      <c r="N473" s="8"/>
      <c r="O473" s="8"/>
      <c r="P473" s="8"/>
      <c r="Q473" s="8"/>
      <c r="R473" s="8"/>
      <c r="S473" s="8"/>
    </row>
    <row r="474" spans="1:19" ht="15.75" customHeight="1">
      <c r="A474" s="8">
        <v>225414243</v>
      </c>
      <c r="B474" s="8" t="s">
        <v>8304</v>
      </c>
      <c r="C474" s="8" t="s">
        <v>9345</v>
      </c>
      <c r="D474" s="8" t="s">
        <v>9346</v>
      </c>
      <c r="E474" s="9" t="s">
        <v>9347</v>
      </c>
      <c r="F474" s="8"/>
      <c r="G474" s="9"/>
      <c r="H474" s="8" t="s">
        <v>8164</v>
      </c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</row>
    <row r="475" spans="1:19" ht="15.75" customHeight="1">
      <c r="A475" s="8">
        <v>225479898</v>
      </c>
      <c r="B475" s="8" t="s">
        <v>8304</v>
      </c>
      <c r="C475" s="8" t="s">
        <v>9348</v>
      </c>
      <c r="D475" s="8" t="s">
        <v>2011</v>
      </c>
      <c r="E475" s="9" t="s">
        <v>2012</v>
      </c>
      <c r="F475" s="8" t="s">
        <v>9349</v>
      </c>
      <c r="G475" s="9">
        <v>34</v>
      </c>
      <c r="H475" s="8" t="s">
        <v>8164</v>
      </c>
      <c r="I475" s="8" t="s">
        <v>8276</v>
      </c>
      <c r="J475" s="8"/>
      <c r="K475" s="8"/>
      <c r="L475" s="8"/>
      <c r="M475" s="8"/>
      <c r="N475" s="8"/>
      <c r="O475" s="8"/>
      <c r="P475" s="8"/>
      <c r="Q475" s="8"/>
      <c r="R475" s="8"/>
      <c r="S475" s="8"/>
    </row>
    <row r="476" spans="1:19" ht="15.75" customHeight="1">
      <c r="A476" s="8">
        <v>225495226</v>
      </c>
      <c r="B476" s="8" t="s">
        <v>8283</v>
      </c>
      <c r="C476" s="8" t="s">
        <v>9350</v>
      </c>
      <c r="D476" s="8" t="s">
        <v>2015</v>
      </c>
      <c r="E476" s="9">
        <v>79175000577</v>
      </c>
      <c r="F476" s="8"/>
      <c r="G476" s="9"/>
      <c r="H476" s="8" t="s">
        <v>8164</v>
      </c>
      <c r="I476" s="8" t="s">
        <v>8165</v>
      </c>
      <c r="J476" s="8"/>
      <c r="K476" s="8"/>
      <c r="L476" s="8"/>
      <c r="M476" s="8"/>
      <c r="N476" s="8"/>
      <c r="O476" s="8"/>
      <c r="P476" s="8"/>
      <c r="Q476" s="8"/>
      <c r="R476" s="8"/>
      <c r="S476" s="8"/>
    </row>
    <row r="477" spans="1:19" ht="15.75" customHeight="1">
      <c r="A477" s="8">
        <v>225583195</v>
      </c>
      <c r="B477" s="8" t="s">
        <v>7768</v>
      </c>
      <c r="C477" s="8" t="s">
        <v>9351</v>
      </c>
      <c r="D477" s="8" t="s">
        <v>2018</v>
      </c>
      <c r="E477" s="9" t="s">
        <v>2019</v>
      </c>
      <c r="F477" s="8"/>
      <c r="G477" s="9"/>
      <c r="H477" s="8" t="s">
        <v>8164</v>
      </c>
      <c r="I477" s="8" t="s">
        <v>9222</v>
      </c>
      <c r="J477" s="8" t="s">
        <v>9352</v>
      </c>
      <c r="K477" s="8"/>
      <c r="L477" s="8"/>
      <c r="M477" s="8" t="s">
        <v>8176</v>
      </c>
      <c r="N477" s="8"/>
      <c r="O477" s="8"/>
      <c r="P477" s="8" t="s">
        <v>8171</v>
      </c>
      <c r="Q477" s="8" t="s">
        <v>8161</v>
      </c>
      <c r="R477" s="8"/>
      <c r="S477" s="8"/>
    </row>
    <row r="478" spans="1:19" ht="15.75" customHeight="1">
      <c r="A478" s="8">
        <v>225624224</v>
      </c>
      <c r="B478" s="8" t="s">
        <v>9353</v>
      </c>
      <c r="C478" s="8" t="s">
        <v>9354</v>
      </c>
      <c r="D478" s="8" t="s">
        <v>2023</v>
      </c>
      <c r="E478" s="9">
        <v>939977835</v>
      </c>
      <c r="F478" s="8"/>
      <c r="G478" s="9"/>
      <c r="H478" s="8" t="s">
        <v>8463</v>
      </c>
      <c r="I478" s="8" t="s">
        <v>8464</v>
      </c>
      <c r="J478" s="8"/>
      <c r="K478" s="8"/>
      <c r="L478" s="8"/>
      <c r="M478" s="8"/>
      <c r="N478" s="8"/>
      <c r="O478" s="8"/>
      <c r="P478" s="8"/>
      <c r="Q478" s="8"/>
      <c r="R478" s="8"/>
      <c r="S478" s="8"/>
    </row>
    <row r="479" spans="1:19" ht="15.75" customHeight="1">
      <c r="A479" s="8">
        <v>225628700</v>
      </c>
      <c r="B479" s="8" t="s">
        <v>7768</v>
      </c>
      <c r="C479" s="8" t="s">
        <v>8800</v>
      </c>
      <c r="D479" s="8" t="s">
        <v>2026</v>
      </c>
      <c r="E479" s="9">
        <v>79143160499</v>
      </c>
      <c r="F479" s="8" t="s">
        <v>9355</v>
      </c>
      <c r="G479" s="9">
        <v>0</v>
      </c>
      <c r="H479" s="8" t="s">
        <v>8164</v>
      </c>
      <c r="I479" s="8" t="s">
        <v>9222</v>
      </c>
      <c r="J479" s="8"/>
      <c r="K479" s="8"/>
      <c r="L479" s="8"/>
      <c r="M479" s="8"/>
      <c r="N479" s="8"/>
      <c r="O479" s="8"/>
      <c r="P479" s="8"/>
      <c r="Q479" s="8"/>
      <c r="R479" s="8"/>
      <c r="S479" s="8"/>
    </row>
    <row r="480" spans="1:19" ht="15.75" customHeight="1">
      <c r="A480" s="8">
        <v>225647525</v>
      </c>
      <c r="B480" s="8" t="s">
        <v>8682</v>
      </c>
      <c r="C480" s="8" t="s">
        <v>9356</v>
      </c>
      <c r="D480" s="8" t="s">
        <v>2029</v>
      </c>
      <c r="E480" s="9">
        <v>79143160499</v>
      </c>
      <c r="F480" s="8"/>
      <c r="G480" s="9"/>
      <c r="H480" s="8" t="s">
        <v>8164</v>
      </c>
      <c r="I480" s="8" t="s">
        <v>9222</v>
      </c>
      <c r="J480" s="8" t="s">
        <v>9357</v>
      </c>
      <c r="K480" s="8"/>
      <c r="L480" s="8"/>
      <c r="M480" s="8"/>
      <c r="N480" s="8"/>
      <c r="O480" s="8" t="s">
        <v>8170</v>
      </c>
      <c r="P480" s="8"/>
      <c r="Q480" s="8"/>
      <c r="R480" s="8"/>
      <c r="S480" s="8"/>
    </row>
    <row r="481" spans="1:19" ht="15.75" customHeight="1">
      <c r="A481" s="8">
        <v>225677614</v>
      </c>
      <c r="B481" s="8" t="s">
        <v>9358</v>
      </c>
      <c r="C481" s="8" t="s">
        <v>9359</v>
      </c>
      <c r="D481" s="8" t="s">
        <v>9360</v>
      </c>
      <c r="E481" s="9">
        <v>79841434879</v>
      </c>
      <c r="F481" s="8"/>
      <c r="G481" s="9"/>
      <c r="H481" s="8" t="s">
        <v>8164</v>
      </c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</row>
    <row r="482" spans="1:19" ht="15.75" customHeight="1">
      <c r="A482" s="8">
        <v>225693477</v>
      </c>
      <c r="B482" s="8" t="s">
        <v>8234</v>
      </c>
      <c r="C482" s="8" t="s">
        <v>9361</v>
      </c>
      <c r="D482" s="8" t="s">
        <v>2032</v>
      </c>
      <c r="E482" s="9" t="s">
        <v>2033</v>
      </c>
      <c r="F482" s="8"/>
      <c r="G482" s="9"/>
      <c r="H482" s="8" t="s">
        <v>8164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</row>
    <row r="483" spans="1:19" ht="15.75" customHeight="1">
      <c r="A483" s="8">
        <v>225773604</v>
      </c>
      <c r="B483" s="8" t="s">
        <v>8820</v>
      </c>
      <c r="C483" s="8" t="s">
        <v>9362</v>
      </c>
      <c r="D483" s="8" t="s">
        <v>2036</v>
      </c>
      <c r="E483" s="9" t="s">
        <v>2037</v>
      </c>
      <c r="F483" s="8"/>
      <c r="G483" s="9"/>
      <c r="H483" s="8" t="s">
        <v>8222</v>
      </c>
      <c r="I483" s="8" t="s">
        <v>8412</v>
      </c>
      <c r="J483" s="8"/>
      <c r="K483" s="8"/>
      <c r="L483" s="8"/>
      <c r="M483" s="8"/>
      <c r="N483" s="8"/>
      <c r="O483" s="8"/>
      <c r="P483" s="8"/>
      <c r="Q483" s="8"/>
      <c r="R483" s="8"/>
      <c r="S483" s="8"/>
    </row>
    <row r="484" spans="1:19" ht="15.75" customHeight="1">
      <c r="A484" s="8">
        <v>226865603</v>
      </c>
      <c r="B484" s="8" t="s">
        <v>8229</v>
      </c>
      <c r="C484" s="8" t="s">
        <v>9363</v>
      </c>
      <c r="D484" s="8" t="s">
        <v>2041</v>
      </c>
      <c r="E484" s="9" t="s">
        <v>2042</v>
      </c>
      <c r="F484" s="8"/>
      <c r="G484" s="9"/>
      <c r="H484" s="8" t="s">
        <v>9212</v>
      </c>
      <c r="I484" s="8" t="s">
        <v>9364</v>
      </c>
      <c r="J484" s="8"/>
      <c r="K484" s="8"/>
      <c r="L484" s="8"/>
      <c r="M484" s="8"/>
      <c r="N484" s="8"/>
      <c r="O484" s="8"/>
      <c r="P484" s="8"/>
      <c r="Q484" s="8"/>
      <c r="R484" s="8"/>
      <c r="S484" s="8"/>
    </row>
    <row r="485" spans="1:19" ht="15.75" customHeight="1">
      <c r="A485" s="8">
        <v>226980828</v>
      </c>
      <c r="B485" s="8" t="s">
        <v>9365</v>
      </c>
      <c r="C485" s="8" t="s">
        <v>9366</v>
      </c>
      <c r="D485" s="8" t="s">
        <v>9367</v>
      </c>
      <c r="E485" s="9" t="s">
        <v>9368</v>
      </c>
      <c r="F485" s="8"/>
      <c r="G485" s="9"/>
      <c r="H485" s="8" t="s">
        <v>8222</v>
      </c>
      <c r="I485" s="8" t="s">
        <v>8412</v>
      </c>
      <c r="J485" s="8"/>
      <c r="K485" s="8"/>
      <c r="L485" s="8"/>
      <c r="M485" s="8"/>
      <c r="N485" s="8"/>
      <c r="O485" s="8"/>
      <c r="P485" s="8"/>
      <c r="Q485" s="8"/>
      <c r="R485" s="8"/>
      <c r="S485" s="8"/>
    </row>
    <row r="486" spans="1:19" ht="15.75" customHeight="1">
      <c r="A486" s="8">
        <v>227005570</v>
      </c>
      <c r="B486" s="8" t="s">
        <v>8717</v>
      </c>
      <c r="C486" s="8" t="s">
        <v>9369</v>
      </c>
      <c r="D486" s="8" t="s">
        <v>2045</v>
      </c>
      <c r="E486" s="9">
        <v>298718165</v>
      </c>
      <c r="F486" s="8" t="s">
        <v>9370</v>
      </c>
      <c r="G486" s="9">
        <v>33</v>
      </c>
      <c r="H486" s="8" t="s">
        <v>8222</v>
      </c>
      <c r="I486" s="8" t="s">
        <v>8412</v>
      </c>
      <c r="J486" s="8"/>
      <c r="K486" s="8"/>
      <c r="L486" s="8"/>
      <c r="M486" s="8"/>
      <c r="N486" s="8"/>
      <c r="O486" s="8"/>
      <c r="P486" s="8"/>
      <c r="Q486" s="8"/>
      <c r="R486" s="8"/>
      <c r="S486" s="8"/>
    </row>
    <row r="487" spans="1:19" ht="15.75" customHeight="1">
      <c r="A487" s="8">
        <v>227125765</v>
      </c>
      <c r="B487" s="8" t="s">
        <v>9139</v>
      </c>
      <c r="C487" s="8" t="s">
        <v>9371</v>
      </c>
      <c r="D487" s="8" t="s">
        <v>9372</v>
      </c>
      <c r="E487" s="9" t="s">
        <v>9373</v>
      </c>
      <c r="F487" s="8"/>
      <c r="G487" s="9"/>
      <c r="H487" s="8" t="s">
        <v>8164</v>
      </c>
      <c r="I487" s="8" t="s">
        <v>8191</v>
      </c>
      <c r="J487" s="8"/>
      <c r="K487" s="8"/>
      <c r="L487" s="8"/>
      <c r="M487" s="8"/>
      <c r="N487" s="8"/>
      <c r="O487" s="8"/>
      <c r="P487" s="8"/>
      <c r="Q487" s="8"/>
      <c r="R487" s="8"/>
      <c r="S487" s="8"/>
    </row>
    <row r="488" spans="1:19" ht="15.75" customHeight="1">
      <c r="A488" s="8">
        <v>227147844</v>
      </c>
      <c r="B488" s="8" t="s">
        <v>9374</v>
      </c>
      <c r="C488" s="8" t="s">
        <v>9375</v>
      </c>
      <c r="D488" s="8" t="s">
        <v>2049</v>
      </c>
      <c r="E488" s="9">
        <v>79673202170</v>
      </c>
      <c r="F488" s="8"/>
      <c r="G488" s="9"/>
      <c r="H488" s="8" t="s">
        <v>8158</v>
      </c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</row>
    <row r="489" spans="1:19" ht="15.75" customHeight="1">
      <c r="A489" s="8">
        <v>227147865</v>
      </c>
      <c r="B489" s="8" t="s">
        <v>8197</v>
      </c>
      <c r="C489" s="8" t="s">
        <v>9376</v>
      </c>
      <c r="D489" s="8" t="s">
        <v>2052</v>
      </c>
      <c r="E489" s="9" t="s">
        <v>2053</v>
      </c>
      <c r="F489" s="8"/>
      <c r="G489" s="9"/>
      <c r="H489" s="8" t="s">
        <v>8222</v>
      </c>
      <c r="I489" s="8" t="s">
        <v>8412</v>
      </c>
      <c r="J489" s="8"/>
      <c r="K489" s="8"/>
      <c r="L489" s="8"/>
      <c r="M489" s="8"/>
      <c r="N489" s="8"/>
      <c r="O489" s="8"/>
      <c r="P489" s="8"/>
      <c r="Q489" s="8"/>
      <c r="R489" s="8"/>
      <c r="S489" s="8"/>
    </row>
    <row r="490" spans="1:19" ht="15.75" customHeight="1">
      <c r="A490" s="8">
        <v>227206424</v>
      </c>
      <c r="B490" s="8" t="s">
        <v>8283</v>
      </c>
      <c r="C490" s="8" t="s">
        <v>8283</v>
      </c>
      <c r="D490" s="8" t="s">
        <v>2056</v>
      </c>
      <c r="E490" s="9" t="s">
        <v>2057</v>
      </c>
      <c r="F490" s="8"/>
      <c r="G490" s="9"/>
      <c r="H490" s="8" t="s">
        <v>8222</v>
      </c>
      <c r="I490" s="8" t="s">
        <v>8412</v>
      </c>
      <c r="J490" s="8"/>
      <c r="K490" s="8"/>
      <c r="L490" s="8"/>
      <c r="M490" s="8"/>
      <c r="N490" s="8"/>
      <c r="O490" s="8"/>
      <c r="P490" s="8"/>
      <c r="Q490" s="8"/>
      <c r="R490" s="8"/>
      <c r="S490" s="8"/>
    </row>
    <row r="491" spans="1:19" ht="15.75" customHeight="1">
      <c r="A491" s="8">
        <v>227211947</v>
      </c>
      <c r="B491" s="8" t="s">
        <v>8304</v>
      </c>
      <c r="C491" s="8" t="s">
        <v>9377</v>
      </c>
      <c r="D491" s="8" t="s">
        <v>2060</v>
      </c>
      <c r="E491" s="9" t="s">
        <v>2061</v>
      </c>
      <c r="F491" s="8"/>
      <c r="G491" s="9"/>
      <c r="H491" s="8" t="s">
        <v>8164</v>
      </c>
      <c r="I491" s="8" t="s">
        <v>9378</v>
      </c>
      <c r="J491" s="8"/>
      <c r="K491" s="8"/>
      <c r="L491" s="8"/>
      <c r="M491" s="8"/>
      <c r="N491" s="8"/>
      <c r="O491" s="8"/>
      <c r="P491" s="8"/>
      <c r="Q491" s="8"/>
      <c r="R491" s="8"/>
      <c r="S491" s="8"/>
    </row>
    <row r="492" spans="1:19" ht="15.75" customHeight="1">
      <c r="A492" s="8">
        <v>227305202</v>
      </c>
      <c r="B492" s="8"/>
      <c r="C492" s="8"/>
      <c r="D492" s="8" t="s">
        <v>2064</v>
      </c>
      <c r="E492" s="9"/>
      <c r="F492" s="8"/>
      <c r="G492" s="9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</row>
    <row r="493" spans="1:19" ht="15.75" customHeight="1">
      <c r="A493" s="8">
        <v>227367939</v>
      </c>
      <c r="B493" s="8" t="s">
        <v>9379</v>
      </c>
      <c r="C493" s="8" t="s">
        <v>9380</v>
      </c>
      <c r="D493" s="8" t="s">
        <v>2067</v>
      </c>
      <c r="E493" s="9">
        <v>79653229185</v>
      </c>
      <c r="F493" s="8" t="s">
        <v>9381</v>
      </c>
      <c r="G493" s="9">
        <v>50</v>
      </c>
      <c r="H493" s="8" t="s">
        <v>8183</v>
      </c>
      <c r="I493" s="8" t="s">
        <v>8188</v>
      </c>
      <c r="J493" s="8"/>
      <c r="K493" s="8"/>
      <c r="L493" s="8"/>
      <c r="M493" s="8"/>
      <c r="N493" s="8"/>
      <c r="O493" s="8"/>
      <c r="P493" s="8"/>
      <c r="Q493" s="8"/>
      <c r="R493" s="8"/>
      <c r="S493" s="8"/>
    </row>
    <row r="494" spans="1:19" ht="15.75" customHeight="1">
      <c r="A494" s="8">
        <v>227538637</v>
      </c>
      <c r="B494" s="8" t="s">
        <v>8682</v>
      </c>
      <c r="C494" s="8" t="s">
        <v>9382</v>
      </c>
      <c r="D494" s="8" t="s">
        <v>2074</v>
      </c>
      <c r="E494" s="9" t="s">
        <v>2075</v>
      </c>
      <c r="F494" s="8"/>
      <c r="G494" s="9"/>
      <c r="H494" s="8" t="s">
        <v>8164</v>
      </c>
      <c r="I494" s="8" t="s">
        <v>8441</v>
      </c>
      <c r="J494" s="8"/>
      <c r="K494" s="8"/>
      <c r="L494" s="8"/>
      <c r="M494" s="8"/>
      <c r="N494" s="8"/>
      <c r="O494" s="8"/>
      <c r="P494" s="8"/>
      <c r="Q494" s="8"/>
      <c r="R494" s="8"/>
      <c r="S494" s="8"/>
    </row>
    <row r="495" spans="1:19" ht="15.75" customHeight="1">
      <c r="A495" s="8">
        <v>227548722</v>
      </c>
      <c r="B495" s="8" t="s">
        <v>8304</v>
      </c>
      <c r="C495" s="8" t="s">
        <v>9383</v>
      </c>
      <c r="D495" s="8" t="s">
        <v>9384</v>
      </c>
      <c r="E495" s="9">
        <v>79166475291</v>
      </c>
      <c r="F495" s="8"/>
      <c r="G495" s="9"/>
      <c r="H495" s="8" t="s">
        <v>8164</v>
      </c>
      <c r="I495" s="8" t="s">
        <v>8191</v>
      </c>
      <c r="J495" s="8"/>
      <c r="K495" s="8"/>
      <c r="L495" s="8"/>
      <c r="M495" s="8"/>
      <c r="N495" s="8"/>
      <c r="O495" s="8"/>
      <c r="P495" s="8"/>
      <c r="Q495" s="8"/>
      <c r="R495" s="8"/>
      <c r="S495" s="8"/>
    </row>
    <row r="496" spans="1:19" ht="15.75" customHeight="1">
      <c r="A496" s="8">
        <v>227553509</v>
      </c>
      <c r="B496" s="8" t="s">
        <v>7399</v>
      </c>
      <c r="C496" s="8" t="s">
        <v>9385</v>
      </c>
      <c r="D496" s="8" t="s">
        <v>2078</v>
      </c>
      <c r="E496" s="9" t="s">
        <v>2079</v>
      </c>
      <c r="F496" s="8"/>
      <c r="G496" s="9"/>
      <c r="H496" s="8" t="s">
        <v>8164</v>
      </c>
      <c r="I496" s="8" t="s">
        <v>8165</v>
      </c>
      <c r="J496" s="8"/>
      <c r="K496" s="8"/>
      <c r="L496" s="8"/>
      <c r="M496" s="8"/>
      <c r="N496" s="8"/>
      <c r="O496" s="8"/>
      <c r="P496" s="8"/>
      <c r="Q496" s="8"/>
      <c r="R496" s="8"/>
      <c r="S496" s="8"/>
    </row>
    <row r="497" spans="1:19" ht="15.75" customHeight="1">
      <c r="A497" s="8">
        <v>227579812</v>
      </c>
      <c r="B497" s="8" t="s">
        <v>9386</v>
      </c>
      <c r="C497" s="8" t="s">
        <v>9387</v>
      </c>
      <c r="D497" s="8" t="s">
        <v>2082</v>
      </c>
      <c r="E497" s="9" t="s">
        <v>2083</v>
      </c>
      <c r="F497" s="8"/>
      <c r="G497" s="9"/>
      <c r="H497" s="8" t="s">
        <v>8558</v>
      </c>
      <c r="I497" s="8" t="s">
        <v>8559</v>
      </c>
      <c r="J497" s="8"/>
      <c r="K497" s="8"/>
      <c r="L497" s="8"/>
      <c r="M497" s="8"/>
      <c r="N497" s="8"/>
      <c r="O497" s="8"/>
      <c r="P497" s="8"/>
      <c r="Q497" s="8"/>
      <c r="R497" s="8"/>
      <c r="S497" s="8"/>
    </row>
    <row r="498" spans="1:19" ht="15.75" customHeight="1">
      <c r="A498" s="8">
        <v>227667615</v>
      </c>
      <c r="B498" s="8" t="s">
        <v>9139</v>
      </c>
      <c r="C498" s="8" t="s">
        <v>9388</v>
      </c>
      <c r="D498" s="8" t="s">
        <v>2086</v>
      </c>
      <c r="E498" s="9" t="s">
        <v>2087</v>
      </c>
      <c r="F498" s="8"/>
      <c r="G498" s="9"/>
      <c r="H498" s="8" t="s">
        <v>8222</v>
      </c>
      <c r="I498" s="8" t="s">
        <v>8412</v>
      </c>
      <c r="J498" s="8"/>
      <c r="K498" s="8"/>
      <c r="L498" s="8"/>
      <c r="M498" s="8"/>
      <c r="N498" s="8"/>
      <c r="O498" s="8"/>
      <c r="P498" s="8"/>
      <c r="Q498" s="8"/>
      <c r="R498" s="8"/>
      <c r="S498" s="8"/>
    </row>
    <row r="499" spans="1:19" ht="15.75" customHeight="1">
      <c r="A499" s="8">
        <v>227771217</v>
      </c>
      <c r="B499" s="8" t="s">
        <v>8325</v>
      </c>
      <c r="C499" s="8" t="s">
        <v>9389</v>
      </c>
      <c r="D499" s="8" t="s">
        <v>2091</v>
      </c>
      <c r="E499" s="9">
        <v>79889526104</v>
      </c>
      <c r="F499" s="8"/>
      <c r="G499" s="9"/>
      <c r="H499" s="8" t="s">
        <v>8164</v>
      </c>
      <c r="I499" s="8" t="s">
        <v>9161</v>
      </c>
      <c r="J499" s="8"/>
      <c r="K499" s="8"/>
      <c r="L499" s="8"/>
      <c r="M499" s="8"/>
      <c r="N499" s="8"/>
      <c r="O499" s="8"/>
      <c r="P499" s="8"/>
      <c r="Q499" s="8"/>
      <c r="R499" s="8"/>
      <c r="S499" s="8"/>
    </row>
    <row r="500" spans="1:19" ht="15.75" customHeight="1">
      <c r="A500" s="8">
        <v>227795184</v>
      </c>
      <c r="B500" s="8" t="s">
        <v>7818</v>
      </c>
      <c r="C500" s="8" t="s">
        <v>9390</v>
      </c>
      <c r="D500" s="8" t="s">
        <v>2094</v>
      </c>
      <c r="E500" s="9" t="s">
        <v>2095</v>
      </c>
      <c r="F500" s="8"/>
      <c r="G500" s="9"/>
      <c r="H500" s="8" t="s">
        <v>8222</v>
      </c>
      <c r="I500" s="8" t="s">
        <v>8412</v>
      </c>
      <c r="J500" s="8"/>
      <c r="K500" s="8"/>
      <c r="L500" s="8"/>
      <c r="M500" s="8"/>
      <c r="N500" s="8"/>
      <c r="O500" s="8"/>
      <c r="P500" s="8"/>
      <c r="Q500" s="8"/>
      <c r="R500" s="8"/>
      <c r="S500" s="8"/>
    </row>
    <row r="501" spans="1:19" ht="15.75" customHeight="1">
      <c r="A501" s="8">
        <v>227799287</v>
      </c>
      <c r="B501" s="8" t="s">
        <v>8365</v>
      </c>
      <c r="C501" s="8" t="s">
        <v>9391</v>
      </c>
      <c r="D501" s="8" t="s">
        <v>2098</v>
      </c>
      <c r="E501" s="9">
        <v>79257187951</v>
      </c>
      <c r="F501" s="8"/>
      <c r="G501" s="9"/>
      <c r="H501" s="8" t="s">
        <v>8164</v>
      </c>
      <c r="I501" s="8" t="s">
        <v>8165</v>
      </c>
      <c r="J501" s="8"/>
      <c r="K501" s="8"/>
      <c r="L501" s="8"/>
      <c r="M501" s="8"/>
      <c r="N501" s="8"/>
      <c r="O501" s="8"/>
      <c r="P501" s="8"/>
      <c r="Q501" s="8"/>
      <c r="R501" s="8"/>
      <c r="S501" s="8"/>
    </row>
    <row r="502" spans="1:19" ht="15.75" customHeight="1">
      <c r="A502" s="8">
        <v>227887310</v>
      </c>
      <c r="B502" s="8" t="s">
        <v>8365</v>
      </c>
      <c r="C502" s="8" t="s">
        <v>9392</v>
      </c>
      <c r="D502" s="8" t="s">
        <v>2105</v>
      </c>
      <c r="E502" s="9" t="s">
        <v>2106</v>
      </c>
      <c r="F502" s="8"/>
      <c r="G502" s="9"/>
      <c r="H502" s="8" t="s">
        <v>8222</v>
      </c>
      <c r="I502" s="8" t="s">
        <v>8412</v>
      </c>
      <c r="J502" s="8"/>
      <c r="K502" s="8"/>
      <c r="L502" s="8"/>
      <c r="M502" s="8"/>
      <c r="N502" s="8"/>
      <c r="O502" s="8"/>
      <c r="P502" s="8"/>
      <c r="Q502" s="8"/>
      <c r="R502" s="8"/>
      <c r="S502" s="8"/>
    </row>
    <row r="503" spans="1:19" ht="15.75" customHeight="1">
      <c r="A503" s="8">
        <v>227898464</v>
      </c>
      <c r="B503" s="8" t="s">
        <v>9393</v>
      </c>
      <c r="C503" s="8" t="s">
        <v>9394</v>
      </c>
      <c r="D503" s="8" t="s">
        <v>2109</v>
      </c>
      <c r="E503" s="9" t="s">
        <v>2110</v>
      </c>
      <c r="F503" s="8" t="s">
        <v>9395</v>
      </c>
      <c r="G503" s="9">
        <v>55</v>
      </c>
      <c r="H503" s="8" t="s">
        <v>8558</v>
      </c>
      <c r="I503" s="8" t="s">
        <v>8559</v>
      </c>
      <c r="J503" s="8"/>
      <c r="K503" s="8"/>
      <c r="L503" s="8"/>
      <c r="M503" s="8"/>
      <c r="N503" s="8"/>
      <c r="O503" s="8"/>
      <c r="P503" s="8"/>
      <c r="Q503" s="8"/>
      <c r="R503" s="8"/>
      <c r="S503" s="8"/>
    </row>
    <row r="504" spans="1:19" ht="15.75" customHeight="1">
      <c r="A504" s="8">
        <v>227923314</v>
      </c>
      <c r="B504" s="8" t="s">
        <v>8619</v>
      </c>
      <c r="C504" s="8" t="s">
        <v>9396</v>
      </c>
      <c r="D504" s="8" t="s">
        <v>2113</v>
      </c>
      <c r="E504" s="9">
        <v>79536750399</v>
      </c>
      <c r="F504" s="8"/>
      <c r="G504" s="9"/>
      <c r="H504" s="8" t="s">
        <v>8164</v>
      </c>
      <c r="I504" s="8" t="s">
        <v>8208</v>
      </c>
      <c r="J504" s="8"/>
      <c r="K504" s="8"/>
      <c r="L504" s="8"/>
      <c r="M504" s="8"/>
      <c r="N504" s="8"/>
      <c r="O504" s="8"/>
      <c r="P504" s="8"/>
      <c r="Q504" s="8"/>
      <c r="R504" s="8"/>
      <c r="S504" s="8"/>
    </row>
    <row r="505" spans="1:19" ht="15.75" customHeight="1">
      <c r="A505" s="8">
        <v>228043647</v>
      </c>
      <c r="B505" s="8" t="s">
        <v>9397</v>
      </c>
      <c r="C505" s="8" t="s">
        <v>9398</v>
      </c>
      <c r="D505" s="8" t="s">
        <v>2130</v>
      </c>
      <c r="E505" s="9" t="s">
        <v>2131</v>
      </c>
      <c r="F505" s="8" t="s">
        <v>9399</v>
      </c>
      <c r="G505" s="9">
        <v>53</v>
      </c>
      <c r="H505" s="8" t="s">
        <v>8558</v>
      </c>
      <c r="I505" s="8" t="s">
        <v>8559</v>
      </c>
      <c r="J505" s="8"/>
      <c r="K505" s="8"/>
      <c r="L505" s="8"/>
      <c r="M505" s="8"/>
      <c r="N505" s="8"/>
      <c r="O505" s="8"/>
      <c r="P505" s="8"/>
      <c r="Q505" s="8"/>
      <c r="R505" s="8"/>
      <c r="S505" s="8"/>
    </row>
    <row r="506" spans="1:19" ht="15.75" customHeight="1">
      <c r="A506" s="8">
        <v>228045709</v>
      </c>
      <c r="B506" s="8" t="s">
        <v>8694</v>
      </c>
      <c r="C506" s="8" t="s">
        <v>9400</v>
      </c>
      <c r="D506" s="8" t="s">
        <v>9401</v>
      </c>
      <c r="E506" s="9" t="s">
        <v>9402</v>
      </c>
      <c r="F506" s="8" t="s">
        <v>9403</v>
      </c>
      <c r="G506" s="9">
        <v>61</v>
      </c>
      <c r="H506" s="8" t="s">
        <v>8832</v>
      </c>
      <c r="I506" s="8" t="s">
        <v>9404</v>
      </c>
      <c r="J506" s="8"/>
      <c r="K506" s="8"/>
      <c r="L506" s="8"/>
      <c r="M506" s="8"/>
      <c r="N506" s="8"/>
      <c r="O506" s="8"/>
      <c r="P506" s="8"/>
      <c r="Q506" s="8"/>
      <c r="R506" s="8"/>
      <c r="S506" s="8"/>
    </row>
    <row r="507" spans="1:19" ht="15.75" customHeight="1">
      <c r="A507" s="8">
        <v>228092020</v>
      </c>
      <c r="B507" s="8" t="s">
        <v>9405</v>
      </c>
      <c r="C507" s="8" t="s">
        <v>9406</v>
      </c>
      <c r="D507" s="8" t="s">
        <v>2134</v>
      </c>
      <c r="E507" s="9">
        <v>28145078</v>
      </c>
      <c r="F507" s="8" t="s">
        <v>9407</v>
      </c>
      <c r="G507" s="9">
        <v>31</v>
      </c>
      <c r="H507" s="8" t="s">
        <v>8558</v>
      </c>
      <c r="I507" s="8" t="s">
        <v>8559</v>
      </c>
      <c r="J507" s="8"/>
      <c r="K507" s="8"/>
      <c r="L507" s="8"/>
      <c r="M507" s="8"/>
      <c r="N507" s="8"/>
      <c r="O507" s="8"/>
      <c r="P507" s="8"/>
      <c r="Q507" s="8"/>
      <c r="R507" s="8"/>
      <c r="S507" s="8"/>
    </row>
    <row r="508" spans="1:19" ht="15.75" customHeight="1">
      <c r="A508" s="8">
        <v>228208809</v>
      </c>
      <c r="B508" s="8" t="s">
        <v>9408</v>
      </c>
      <c r="C508" s="8" t="s">
        <v>9409</v>
      </c>
      <c r="D508" s="8" t="s">
        <v>2141</v>
      </c>
      <c r="E508" s="9">
        <v>37129670447</v>
      </c>
      <c r="F508" s="8" t="s">
        <v>9410</v>
      </c>
      <c r="G508" s="9">
        <v>52</v>
      </c>
      <c r="H508" s="8" t="s">
        <v>8558</v>
      </c>
      <c r="I508" s="8" t="s">
        <v>8559</v>
      </c>
      <c r="J508" s="8"/>
      <c r="K508" s="8"/>
      <c r="L508" s="8"/>
      <c r="M508" s="8"/>
      <c r="N508" s="8"/>
      <c r="O508" s="8"/>
      <c r="P508" s="8"/>
      <c r="Q508" s="8"/>
      <c r="R508" s="8"/>
      <c r="S508" s="8"/>
    </row>
    <row r="509" spans="1:19" ht="15.75" customHeight="1">
      <c r="A509" s="8">
        <v>228225216</v>
      </c>
      <c r="B509" s="8" t="s">
        <v>9411</v>
      </c>
      <c r="C509" s="8" t="s">
        <v>9412</v>
      </c>
      <c r="D509" s="8" t="s">
        <v>2144</v>
      </c>
      <c r="E509" s="9" t="s">
        <v>2145</v>
      </c>
      <c r="F509" s="8"/>
      <c r="G509" s="9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</row>
    <row r="510" spans="1:19" ht="15.75" customHeight="1">
      <c r="A510" s="8">
        <v>228450882</v>
      </c>
      <c r="B510" s="8" t="s">
        <v>9413</v>
      </c>
      <c r="C510" s="8" t="s">
        <v>9414</v>
      </c>
      <c r="D510" s="8" t="s">
        <v>2151</v>
      </c>
      <c r="E510" s="9" t="s">
        <v>2152</v>
      </c>
      <c r="F510" s="8"/>
      <c r="G510" s="9"/>
      <c r="H510" s="8" t="s">
        <v>8558</v>
      </c>
      <c r="I510" s="8" t="s">
        <v>8559</v>
      </c>
      <c r="J510" s="8"/>
      <c r="K510" s="8"/>
      <c r="L510" s="8"/>
      <c r="M510" s="8"/>
      <c r="N510" s="8"/>
      <c r="O510" s="8"/>
      <c r="P510" s="8"/>
      <c r="Q510" s="8"/>
      <c r="R510" s="8"/>
      <c r="S510" s="8"/>
    </row>
    <row r="511" spans="1:19" ht="15.75" customHeight="1">
      <c r="A511" s="8">
        <v>228456167</v>
      </c>
      <c r="B511" s="8" t="s">
        <v>9415</v>
      </c>
      <c r="C511" s="8" t="s">
        <v>9416</v>
      </c>
      <c r="D511" s="8" t="s">
        <v>2155</v>
      </c>
      <c r="E511" s="9" t="s">
        <v>2156</v>
      </c>
      <c r="F511" s="8"/>
      <c r="G511" s="9"/>
      <c r="H511" s="8" t="s">
        <v>8558</v>
      </c>
      <c r="I511" s="8" t="s">
        <v>8559</v>
      </c>
      <c r="J511" s="8"/>
      <c r="K511" s="8"/>
      <c r="L511" s="8"/>
      <c r="M511" s="8"/>
      <c r="N511" s="8"/>
      <c r="O511" s="8"/>
      <c r="P511" s="8"/>
      <c r="Q511" s="8"/>
      <c r="R511" s="8"/>
      <c r="S511" s="8"/>
    </row>
    <row r="512" spans="1:19" ht="15.75" customHeight="1">
      <c r="A512" s="8">
        <v>228554599</v>
      </c>
      <c r="B512" s="8" t="s">
        <v>7875</v>
      </c>
      <c r="C512" s="8" t="s">
        <v>9417</v>
      </c>
      <c r="D512" s="8" t="s">
        <v>2159</v>
      </c>
      <c r="E512" s="9" t="s">
        <v>2160</v>
      </c>
      <c r="F512" s="8" t="s">
        <v>9418</v>
      </c>
      <c r="G512" s="9">
        <v>34</v>
      </c>
      <c r="H512" s="8" t="s">
        <v>8164</v>
      </c>
      <c r="I512" s="8" t="s">
        <v>9222</v>
      </c>
      <c r="J512" s="8"/>
      <c r="K512" s="8"/>
      <c r="L512" s="8"/>
      <c r="M512" s="8"/>
      <c r="N512" s="8"/>
      <c r="O512" s="8"/>
      <c r="P512" s="8"/>
      <c r="Q512" s="8"/>
      <c r="R512" s="8"/>
      <c r="S512" s="8"/>
    </row>
    <row r="513" spans="1:19" ht="15.75" customHeight="1">
      <c r="A513" s="8">
        <v>228624290</v>
      </c>
      <c r="B513" s="8" t="s">
        <v>9419</v>
      </c>
      <c r="C513" s="8" t="s">
        <v>9420</v>
      </c>
      <c r="D513" s="8" t="s">
        <v>2164</v>
      </c>
      <c r="E513" s="9" t="s">
        <v>2165</v>
      </c>
      <c r="F513" s="8"/>
      <c r="G513" s="9"/>
      <c r="H513" s="8" t="s">
        <v>8164</v>
      </c>
      <c r="I513" s="8" t="s">
        <v>8191</v>
      </c>
      <c r="J513" s="8"/>
      <c r="K513" s="8"/>
      <c r="L513" s="8"/>
      <c r="M513" s="8"/>
      <c r="N513" s="8"/>
      <c r="O513" s="8"/>
      <c r="P513" s="8"/>
      <c r="Q513" s="8"/>
      <c r="R513" s="8"/>
      <c r="S513" s="8"/>
    </row>
    <row r="514" spans="1:19" ht="15.75" customHeight="1">
      <c r="A514" s="8">
        <v>228784381</v>
      </c>
      <c r="B514" s="8" t="s">
        <v>8431</v>
      </c>
      <c r="C514" s="8" t="s">
        <v>9421</v>
      </c>
      <c r="D514" s="8" t="s">
        <v>2169</v>
      </c>
      <c r="E514" s="9" t="s">
        <v>2170</v>
      </c>
      <c r="F514" s="8"/>
      <c r="G514" s="9"/>
      <c r="H514" s="8" t="s">
        <v>8164</v>
      </c>
      <c r="I514" s="8" t="s">
        <v>8165</v>
      </c>
      <c r="J514" s="8"/>
      <c r="K514" s="8"/>
      <c r="L514" s="8"/>
      <c r="M514" s="8"/>
      <c r="N514" s="8"/>
      <c r="O514" s="8"/>
      <c r="P514" s="8"/>
      <c r="Q514" s="8"/>
      <c r="R514" s="8"/>
      <c r="S514" s="8"/>
    </row>
    <row r="515" spans="1:19" ht="15.75" customHeight="1">
      <c r="A515" s="8">
        <v>228898927</v>
      </c>
      <c r="B515" s="8" t="s">
        <v>9422</v>
      </c>
      <c r="C515" s="8" t="s">
        <v>9423</v>
      </c>
      <c r="D515" s="8" t="s">
        <v>2173</v>
      </c>
      <c r="E515" s="9" t="s">
        <v>2174</v>
      </c>
      <c r="F515" s="8"/>
      <c r="G515" s="9"/>
      <c r="H515" s="8" t="s">
        <v>8558</v>
      </c>
      <c r="I515" s="8" t="s">
        <v>8559</v>
      </c>
      <c r="J515" s="8"/>
      <c r="K515" s="8"/>
      <c r="L515" s="8"/>
      <c r="M515" s="8"/>
      <c r="N515" s="8"/>
      <c r="O515" s="8"/>
      <c r="P515" s="8"/>
      <c r="Q515" s="8"/>
      <c r="R515" s="8"/>
      <c r="S515" s="8"/>
    </row>
    <row r="516" spans="1:19" ht="15.75" customHeight="1">
      <c r="A516" s="8">
        <v>228910131</v>
      </c>
      <c r="B516" s="8" t="s">
        <v>9424</v>
      </c>
      <c r="C516" s="8" t="s">
        <v>9425</v>
      </c>
      <c r="D516" s="8" t="s">
        <v>2178</v>
      </c>
      <c r="E516" s="9" t="s">
        <v>2179</v>
      </c>
      <c r="F516" s="8"/>
      <c r="G516" s="9"/>
      <c r="H516" s="8" t="s">
        <v>8558</v>
      </c>
      <c r="I516" s="8" t="s">
        <v>8559</v>
      </c>
      <c r="J516" s="8"/>
      <c r="K516" s="8"/>
      <c r="L516" s="8"/>
      <c r="M516" s="8"/>
      <c r="N516" s="8"/>
      <c r="O516" s="8"/>
      <c r="P516" s="8"/>
      <c r="Q516" s="8"/>
      <c r="R516" s="8"/>
      <c r="S516" s="8"/>
    </row>
    <row r="517" spans="1:19" ht="15.75" customHeight="1">
      <c r="A517" s="8">
        <v>229025086</v>
      </c>
      <c r="B517" s="8" t="s">
        <v>9426</v>
      </c>
      <c r="C517" s="8" t="s">
        <v>9427</v>
      </c>
      <c r="D517" s="8" t="s">
        <v>2182</v>
      </c>
      <c r="E517" s="9" t="s">
        <v>2183</v>
      </c>
      <c r="F517" s="8"/>
      <c r="G517" s="9"/>
      <c r="H517" s="8" t="s">
        <v>8183</v>
      </c>
      <c r="I517" s="8" t="s">
        <v>9428</v>
      </c>
      <c r="J517" s="8"/>
      <c r="K517" s="8"/>
      <c r="L517" s="8"/>
      <c r="M517" s="8"/>
      <c r="N517" s="8"/>
      <c r="O517" s="8"/>
      <c r="P517" s="8"/>
      <c r="Q517" s="8"/>
      <c r="R517" s="8"/>
      <c r="S517" s="8"/>
    </row>
    <row r="518" spans="1:19" ht="15.75" customHeight="1">
      <c r="A518" s="8">
        <v>229035620</v>
      </c>
      <c r="B518" s="8" t="s">
        <v>8206</v>
      </c>
      <c r="C518" s="8" t="s">
        <v>9429</v>
      </c>
      <c r="D518" s="8" t="s">
        <v>9430</v>
      </c>
      <c r="E518" s="9">
        <v>79530995210</v>
      </c>
      <c r="F518" s="8"/>
      <c r="G518" s="9"/>
      <c r="H518" s="8" t="s">
        <v>8164</v>
      </c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</row>
    <row r="519" spans="1:19" ht="15.75" customHeight="1">
      <c r="A519" s="8">
        <v>229042909</v>
      </c>
      <c r="B519" s="8" t="s">
        <v>9431</v>
      </c>
      <c r="C519" s="8" t="s">
        <v>9303</v>
      </c>
      <c r="D519" s="8" t="s">
        <v>2188</v>
      </c>
      <c r="E519" s="9" t="s">
        <v>2189</v>
      </c>
      <c r="F519" s="8"/>
      <c r="G519" s="9"/>
      <c r="H519" s="8" t="s">
        <v>8164</v>
      </c>
      <c r="I519" s="8" t="s">
        <v>8165</v>
      </c>
      <c r="J519" s="8"/>
      <c r="K519" s="8"/>
      <c r="L519" s="8"/>
      <c r="M519" s="8"/>
      <c r="N519" s="8"/>
      <c r="O519" s="8"/>
      <c r="P519" s="8"/>
      <c r="Q519" s="8"/>
      <c r="R519" s="8"/>
      <c r="S519" s="8"/>
    </row>
    <row r="520" spans="1:19" ht="15.75" customHeight="1">
      <c r="A520" s="8">
        <v>229258243</v>
      </c>
      <c r="B520" s="8" t="s">
        <v>9432</v>
      </c>
      <c r="C520" s="8" t="s">
        <v>9433</v>
      </c>
      <c r="D520" s="8" t="s">
        <v>2193</v>
      </c>
      <c r="E520" s="9" t="s">
        <v>2194</v>
      </c>
      <c r="F520" s="8" t="s">
        <v>9434</v>
      </c>
      <c r="G520" s="9">
        <v>27</v>
      </c>
      <c r="H520" s="8" t="s">
        <v>9435</v>
      </c>
      <c r="I520" s="8" t="s">
        <v>9436</v>
      </c>
      <c r="J520" s="8"/>
      <c r="K520" s="8"/>
      <c r="L520" s="8"/>
      <c r="M520" s="8"/>
      <c r="N520" s="8"/>
      <c r="O520" s="8"/>
      <c r="P520" s="8"/>
      <c r="Q520" s="8"/>
      <c r="R520" s="8"/>
      <c r="S520" s="8"/>
    </row>
    <row r="521" spans="1:19" ht="15.75" customHeight="1">
      <c r="A521" s="8">
        <v>229470707</v>
      </c>
      <c r="B521" s="8" t="s">
        <v>9437</v>
      </c>
      <c r="C521" s="8" t="s">
        <v>9438</v>
      </c>
      <c r="D521" s="8" t="s">
        <v>2198</v>
      </c>
      <c r="E521" s="9" t="s">
        <v>2199</v>
      </c>
      <c r="F521" s="8"/>
      <c r="G521" s="9"/>
      <c r="H521" s="8" t="s">
        <v>8222</v>
      </c>
      <c r="I521" s="8" t="s">
        <v>8412</v>
      </c>
      <c r="J521" s="8"/>
      <c r="K521" s="8"/>
      <c r="L521" s="8"/>
      <c r="M521" s="8"/>
      <c r="N521" s="8"/>
      <c r="O521" s="8"/>
      <c r="P521" s="8"/>
      <c r="Q521" s="8"/>
      <c r="R521" s="8"/>
      <c r="S521" s="8"/>
    </row>
    <row r="522" spans="1:19" ht="15.75" customHeight="1">
      <c r="A522" s="8">
        <v>229653429</v>
      </c>
      <c r="B522" s="8" t="s">
        <v>8197</v>
      </c>
      <c r="C522" s="8" t="s">
        <v>9439</v>
      </c>
      <c r="D522" s="8" t="s">
        <v>2204</v>
      </c>
      <c r="E522" s="9">
        <v>79891661878</v>
      </c>
      <c r="F522" s="8"/>
      <c r="G522" s="9"/>
      <c r="H522" s="8" t="s">
        <v>8164</v>
      </c>
      <c r="I522" s="8" t="s">
        <v>8214</v>
      </c>
      <c r="J522" s="8"/>
      <c r="K522" s="8"/>
      <c r="L522" s="8"/>
      <c r="M522" s="8"/>
      <c r="N522" s="8"/>
      <c r="O522" s="8"/>
      <c r="P522" s="8"/>
      <c r="Q522" s="8"/>
      <c r="R522" s="8"/>
      <c r="S522" s="8"/>
    </row>
    <row r="523" spans="1:19" ht="15.75" customHeight="1">
      <c r="A523" s="8">
        <v>229977429</v>
      </c>
      <c r="B523" s="8" t="s">
        <v>7768</v>
      </c>
      <c r="C523" s="8" t="s">
        <v>9440</v>
      </c>
      <c r="D523" s="8" t="s">
        <v>2208</v>
      </c>
      <c r="E523" s="9" t="s">
        <v>2209</v>
      </c>
      <c r="F523" s="8"/>
      <c r="G523" s="9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</row>
    <row r="524" spans="1:19" ht="15.75" customHeight="1">
      <c r="A524" s="8">
        <v>230012489</v>
      </c>
      <c r="B524" s="8" t="s">
        <v>9441</v>
      </c>
      <c r="C524" s="8" t="s">
        <v>9319</v>
      </c>
      <c r="D524" s="8" t="s">
        <v>2213</v>
      </c>
      <c r="E524" s="9" t="s">
        <v>2214</v>
      </c>
      <c r="F524" s="8"/>
      <c r="G524" s="9"/>
      <c r="H524" s="8" t="s">
        <v>8241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</row>
    <row r="525" spans="1:19" ht="15.75" customHeight="1">
      <c r="A525" s="8">
        <v>230078497</v>
      </c>
      <c r="B525" s="8" t="s">
        <v>8581</v>
      </c>
      <c r="C525" s="8" t="s">
        <v>9442</v>
      </c>
      <c r="D525" s="8" t="s">
        <v>2217</v>
      </c>
      <c r="E525" s="9">
        <v>79006054545</v>
      </c>
      <c r="F525" s="8" t="s">
        <v>9443</v>
      </c>
      <c r="G525" s="9">
        <v>40</v>
      </c>
      <c r="H525" s="8" t="s">
        <v>8164</v>
      </c>
      <c r="I525" s="8" t="s">
        <v>8165</v>
      </c>
      <c r="J525" s="8"/>
      <c r="K525" s="8"/>
      <c r="L525" s="8"/>
      <c r="M525" s="8"/>
      <c r="N525" s="8"/>
      <c r="O525" s="8"/>
      <c r="P525" s="8"/>
      <c r="Q525" s="8"/>
      <c r="R525" s="8"/>
      <c r="S525" s="8"/>
    </row>
    <row r="526" spans="1:19" ht="15.75" customHeight="1">
      <c r="A526" s="8">
        <v>230187460</v>
      </c>
      <c r="B526" s="8" t="s">
        <v>9444</v>
      </c>
      <c r="C526" s="8" t="s">
        <v>9445</v>
      </c>
      <c r="D526" s="8" t="s">
        <v>9446</v>
      </c>
      <c r="E526" s="9">
        <v>79996229102</v>
      </c>
      <c r="F526" s="8"/>
      <c r="G526" s="9"/>
      <c r="H526" s="8" t="s">
        <v>8158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</row>
    <row r="527" spans="1:19" ht="15.75" customHeight="1">
      <c r="A527" s="8">
        <v>230197774</v>
      </c>
      <c r="B527" s="8" t="s">
        <v>9447</v>
      </c>
      <c r="C527" s="8" t="s">
        <v>9448</v>
      </c>
      <c r="D527" s="8" t="s">
        <v>2220</v>
      </c>
      <c r="E527" s="9">
        <v>79213178816</v>
      </c>
      <c r="F527" s="8"/>
      <c r="G527" s="9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</row>
    <row r="528" spans="1:19" ht="15.75" customHeight="1">
      <c r="A528" s="8">
        <v>230210050</v>
      </c>
      <c r="B528" s="8" t="s">
        <v>9411</v>
      </c>
      <c r="C528" s="8" t="s">
        <v>9449</v>
      </c>
      <c r="D528" s="8" t="s">
        <v>2223</v>
      </c>
      <c r="E528" s="9" t="s">
        <v>2224</v>
      </c>
      <c r="F528" s="8"/>
      <c r="G528" s="9"/>
      <c r="H528" s="8" t="s">
        <v>8164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</row>
    <row r="529" spans="1:19" ht="15.75" customHeight="1">
      <c r="A529" s="8">
        <v>230293748</v>
      </c>
      <c r="B529" s="8" t="s">
        <v>9450</v>
      </c>
      <c r="C529" s="8" t="s">
        <v>9451</v>
      </c>
      <c r="D529" s="8" t="s">
        <v>2227</v>
      </c>
      <c r="E529" s="9" t="s">
        <v>2228</v>
      </c>
      <c r="F529" s="8" t="s">
        <v>9452</v>
      </c>
      <c r="G529" s="9">
        <v>54</v>
      </c>
      <c r="H529" s="8" t="s">
        <v>8595</v>
      </c>
      <c r="I529" s="8" t="s">
        <v>8596</v>
      </c>
      <c r="J529" s="8"/>
      <c r="K529" s="8"/>
      <c r="L529" s="8"/>
      <c r="M529" s="8"/>
      <c r="N529" s="8"/>
      <c r="O529" s="8"/>
      <c r="P529" s="8"/>
      <c r="Q529" s="8"/>
      <c r="R529" s="8"/>
      <c r="S529" s="8"/>
    </row>
    <row r="530" spans="1:19" ht="15.75" customHeight="1">
      <c r="A530" s="8">
        <v>230405161</v>
      </c>
      <c r="B530" s="8" t="s">
        <v>8311</v>
      </c>
      <c r="C530" s="8" t="s">
        <v>9453</v>
      </c>
      <c r="D530" s="8" t="s">
        <v>2235</v>
      </c>
      <c r="E530" s="9" t="s">
        <v>2236</v>
      </c>
      <c r="F530" s="8" t="s">
        <v>9454</v>
      </c>
      <c r="G530" s="9">
        <v>37</v>
      </c>
      <c r="H530" s="8" t="s">
        <v>8314</v>
      </c>
      <c r="I530" s="8" t="s">
        <v>9455</v>
      </c>
      <c r="J530" s="8" t="s">
        <v>9456</v>
      </c>
      <c r="K530" s="8"/>
      <c r="L530" s="8"/>
      <c r="M530" s="8"/>
      <c r="N530" s="8"/>
      <c r="O530" s="8"/>
      <c r="P530" s="8"/>
      <c r="Q530" s="8"/>
      <c r="R530" s="8"/>
      <c r="S530" s="8"/>
    </row>
    <row r="531" spans="1:19" ht="15.75" customHeight="1">
      <c r="A531" s="8">
        <v>230446091</v>
      </c>
      <c r="B531" s="8" t="s">
        <v>7399</v>
      </c>
      <c r="C531" s="8" t="s">
        <v>8819</v>
      </c>
      <c r="D531" s="8" t="s">
        <v>2240</v>
      </c>
      <c r="E531" s="9" t="s">
        <v>2241</v>
      </c>
      <c r="F531" s="8"/>
      <c r="G531" s="9"/>
      <c r="H531" s="8" t="s">
        <v>8164</v>
      </c>
      <c r="I531" s="8" t="s">
        <v>9457</v>
      </c>
      <c r="J531" s="8"/>
      <c r="K531" s="8"/>
      <c r="L531" s="8"/>
      <c r="M531" s="8"/>
      <c r="N531" s="8"/>
      <c r="O531" s="8"/>
      <c r="P531" s="8"/>
      <c r="Q531" s="8"/>
      <c r="R531" s="8"/>
      <c r="S531" s="8"/>
    </row>
    <row r="532" spans="1:19" ht="15.75" customHeight="1">
      <c r="A532" s="8">
        <v>230451354</v>
      </c>
      <c r="B532" s="8" t="s">
        <v>8206</v>
      </c>
      <c r="C532" s="8" t="s">
        <v>9458</v>
      </c>
      <c r="D532" s="8" t="s">
        <v>2244</v>
      </c>
      <c r="E532" s="9">
        <v>79216500116</v>
      </c>
      <c r="F532" s="8"/>
      <c r="G532" s="9"/>
      <c r="H532" s="8" t="s">
        <v>8164</v>
      </c>
      <c r="I532" s="8" t="s">
        <v>8208</v>
      </c>
      <c r="J532" s="8"/>
      <c r="K532" s="8"/>
      <c r="L532" s="8"/>
      <c r="M532" s="8"/>
      <c r="N532" s="8"/>
      <c r="O532" s="8"/>
      <c r="P532" s="8"/>
      <c r="Q532" s="8"/>
      <c r="R532" s="8"/>
      <c r="S532" s="8"/>
    </row>
    <row r="533" spans="1:19" ht="15.75" customHeight="1">
      <c r="A533" s="8">
        <v>230452624</v>
      </c>
      <c r="B533" s="8" t="s">
        <v>8186</v>
      </c>
      <c r="C533" s="8" t="s">
        <v>9459</v>
      </c>
      <c r="D533" s="8" t="s">
        <v>2248</v>
      </c>
      <c r="E533" s="9" t="s">
        <v>2249</v>
      </c>
      <c r="F533" s="8" t="s">
        <v>9460</v>
      </c>
      <c r="G533" s="9">
        <v>39</v>
      </c>
      <c r="H533" s="8" t="s">
        <v>8463</v>
      </c>
      <c r="I533" s="8" t="s">
        <v>8464</v>
      </c>
      <c r="J533" s="8"/>
      <c r="K533" s="8"/>
      <c r="L533" s="8"/>
      <c r="M533" s="8"/>
      <c r="N533" s="8"/>
      <c r="O533" s="8"/>
      <c r="P533" s="8"/>
      <c r="Q533" s="8"/>
      <c r="R533" s="8"/>
      <c r="S533" s="8"/>
    </row>
    <row r="534" spans="1:19" ht="15.75" customHeight="1">
      <c r="A534" s="8">
        <v>230464575</v>
      </c>
      <c r="B534" s="8" t="s">
        <v>8753</v>
      </c>
      <c r="C534" s="8" t="s">
        <v>9461</v>
      </c>
      <c r="D534" s="8" t="s">
        <v>2254</v>
      </c>
      <c r="E534" s="9" t="s">
        <v>2255</v>
      </c>
      <c r="F534" s="8"/>
      <c r="G534" s="9"/>
      <c r="H534" s="8" t="s">
        <v>8179</v>
      </c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</row>
    <row r="535" spans="1:19" ht="15.75" customHeight="1">
      <c r="A535" s="8">
        <v>230514203</v>
      </c>
      <c r="B535" s="8" t="s">
        <v>8390</v>
      </c>
      <c r="C535" s="8" t="s">
        <v>9462</v>
      </c>
      <c r="D535" s="8" t="s">
        <v>2264</v>
      </c>
      <c r="E535" s="9" t="s">
        <v>2265</v>
      </c>
      <c r="F535" s="8"/>
      <c r="G535" s="9"/>
      <c r="H535" s="8" t="s">
        <v>8164</v>
      </c>
      <c r="I535" s="8" t="s">
        <v>8191</v>
      </c>
      <c r="J535" s="8"/>
      <c r="K535" s="8"/>
      <c r="L535" s="8"/>
      <c r="M535" s="8"/>
      <c r="N535" s="8"/>
      <c r="O535" s="8"/>
      <c r="P535" s="8"/>
      <c r="Q535" s="8"/>
      <c r="R535" s="8"/>
      <c r="S535" s="8"/>
    </row>
    <row r="536" spans="1:19" ht="15.75" customHeight="1">
      <c r="A536" s="8">
        <v>230524908</v>
      </c>
      <c r="B536" s="8" t="s">
        <v>8206</v>
      </c>
      <c r="C536" s="8" t="s">
        <v>9463</v>
      </c>
      <c r="D536" s="8" t="s">
        <v>2268</v>
      </c>
      <c r="E536" s="9" t="s">
        <v>2269</v>
      </c>
      <c r="F536" s="8"/>
      <c r="G536" s="9"/>
      <c r="H536" s="8" t="s">
        <v>8222</v>
      </c>
      <c r="I536" s="8" t="s">
        <v>8412</v>
      </c>
      <c r="J536" s="8"/>
      <c r="K536" s="8"/>
      <c r="L536" s="8"/>
      <c r="M536" s="8"/>
      <c r="N536" s="8"/>
      <c r="O536" s="8"/>
      <c r="P536" s="8"/>
      <c r="Q536" s="8"/>
      <c r="R536" s="8"/>
      <c r="S536" s="8"/>
    </row>
    <row r="537" spans="1:19" ht="15.75" customHeight="1">
      <c r="A537" s="8">
        <v>230552571</v>
      </c>
      <c r="B537" s="8" t="s">
        <v>8760</v>
      </c>
      <c r="C537" s="8" t="s">
        <v>8470</v>
      </c>
      <c r="D537" s="8" t="s">
        <v>2273</v>
      </c>
      <c r="E537" s="9" t="s">
        <v>2274</v>
      </c>
      <c r="F537" s="8"/>
      <c r="G537" s="9"/>
      <c r="H537" s="8" t="s">
        <v>8558</v>
      </c>
      <c r="I537" s="8" t="s">
        <v>8559</v>
      </c>
      <c r="J537" s="8"/>
      <c r="K537" s="8"/>
      <c r="L537" s="8"/>
      <c r="M537" s="8"/>
      <c r="N537" s="8"/>
      <c r="O537" s="8"/>
      <c r="P537" s="8"/>
      <c r="Q537" s="8"/>
      <c r="R537" s="8"/>
      <c r="S537" s="8"/>
    </row>
    <row r="538" spans="1:19" ht="15.75" customHeight="1">
      <c r="A538" s="8">
        <v>230554310</v>
      </c>
      <c r="B538" s="8" t="s">
        <v>8490</v>
      </c>
      <c r="C538" s="8" t="s">
        <v>9464</v>
      </c>
      <c r="D538" s="8" t="s">
        <v>2277</v>
      </c>
      <c r="E538" s="9" t="s">
        <v>2278</v>
      </c>
      <c r="F538" s="8"/>
      <c r="G538" s="9"/>
      <c r="H538" s="8" t="s">
        <v>8463</v>
      </c>
      <c r="I538" s="8" t="s">
        <v>8464</v>
      </c>
      <c r="J538" s="8"/>
      <c r="K538" s="8"/>
      <c r="L538" s="8"/>
      <c r="M538" s="8"/>
      <c r="N538" s="8"/>
      <c r="O538" s="8"/>
      <c r="P538" s="8"/>
      <c r="Q538" s="8"/>
      <c r="R538" s="8"/>
      <c r="S538" s="8"/>
    </row>
    <row r="539" spans="1:19" ht="15.75" customHeight="1">
      <c r="A539" s="8">
        <v>230556652</v>
      </c>
      <c r="B539" s="8" t="s">
        <v>9465</v>
      </c>
      <c r="C539" s="8" t="s">
        <v>9466</v>
      </c>
      <c r="D539" s="8" t="s">
        <v>2281</v>
      </c>
      <c r="E539" s="9" t="s">
        <v>2282</v>
      </c>
      <c r="F539" s="8"/>
      <c r="G539" s="9"/>
      <c r="H539" s="8" t="s">
        <v>8222</v>
      </c>
      <c r="I539" s="8" t="s">
        <v>8412</v>
      </c>
      <c r="J539" s="8"/>
      <c r="K539" s="8"/>
      <c r="L539" s="8"/>
      <c r="M539" s="8"/>
      <c r="N539" s="8"/>
      <c r="O539" s="8"/>
      <c r="P539" s="8"/>
      <c r="Q539" s="8"/>
      <c r="R539" s="8"/>
      <c r="S539" s="8"/>
    </row>
    <row r="540" spans="1:19" ht="15.75" customHeight="1">
      <c r="A540" s="8">
        <v>230565863</v>
      </c>
      <c r="B540" s="8" t="s">
        <v>9358</v>
      </c>
      <c r="C540" s="8" t="s">
        <v>9467</v>
      </c>
      <c r="D540" s="8" t="s">
        <v>2285</v>
      </c>
      <c r="E540" s="9" t="s">
        <v>2286</v>
      </c>
      <c r="F540" s="8" t="s">
        <v>9468</v>
      </c>
      <c r="G540" s="9">
        <v>68</v>
      </c>
      <c r="H540" s="8" t="s">
        <v>8600</v>
      </c>
      <c r="I540" s="8" t="s">
        <v>9469</v>
      </c>
      <c r="J540" s="8"/>
      <c r="K540" s="8"/>
      <c r="L540" s="8"/>
      <c r="M540" s="8"/>
      <c r="N540" s="8"/>
      <c r="O540" s="8"/>
      <c r="P540" s="8"/>
      <c r="Q540" s="8"/>
      <c r="R540" s="8"/>
      <c r="S540" s="8"/>
    </row>
    <row r="541" spans="1:19" ht="15.75" customHeight="1">
      <c r="A541" s="8">
        <v>230616879</v>
      </c>
      <c r="B541" s="8" t="s">
        <v>8373</v>
      </c>
      <c r="C541" s="8" t="s">
        <v>9470</v>
      </c>
      <c r="D541" s="8" t="s">
        <v>2289</v>
      </c>
      <c r="E541" s="9">
        <v>79112424205</v>
      </c>
      <c r="F541" s="8"/>
      <c r="G541" s="9"/>
      <c r="H541" s="8" t="s">
        <v>8164</v>
      </c>
      <c r="I541" s="8" t="s">
        <v>8208</v>
      </c>
      <c r="J541" s="8"/>
      <c r="K541" s="8"/>
      <c r="L541" s="8"/>
      <c r="M541" s="8"/>
      <c r="N541" s="8"/>
      <c r="O541" s="8"/>
      <c r="P541" s="8"/>
      <c r="Q541" s="8"/>
      <c r="R541" s="8"/>
      <c r="S541" s="8"/>
    </row>
    <row r="542" spans="1:19" ht="15.75" customHeight="1">
      <c r="A542" s="8">
        <v>230634756</v>
      </c>
      <c r="B542" s="8" t="s">
        <v>8479</v>
      </c>
      <c r="C542" s="8" t="s">
        <v>9326</v>
      </c>
      <c r="D542" s="8" t="s">
        <v>2291</v>
      </c>
      <c r="E542" s="9" t="s">
        <v>1608</v>
      </c>
      <c r="F542" s="8"/>
      <c r="G542" s="9"/>
      <c r="H542" s="8" t="s">
        <v>8183</v>
      </c>
      <c r="I542" s="8" t="s">
        <v>9176</v>
      </c>
      <c r="J542" s="8"/>
      <c r="K542" s="8"/>
      <c r="L542" s="8"/>
      <c r="M542" s="8"/>
      <c r="N542" s="8"/>
      <c r="O542" s="8"/>
      <c r="P542" s="8"/>
      <c r="Q542" s="8"/>
      <c r="R542" s="8"/>
      <c r="S542" s="8"/>
    </row>
    <row r="543" spans="1:19" ht="15.75" customHeight="1">
      <c r="A543" s="8">
        <v>230668885</v>
      </c>
      <c r="B543" s="8" t="s">
        <v>8874</v>
      </c>
      <c r="C543" s="8" t="s">
        <v>9471</v>
      </c>
      <c r="D543" s="8" t="s">
        <v>2294</v>
      </c>
      <c r="E543" s="9" t="s">
        <v>2295</v>
      </c>
      <c r="F543" s="8" t="s">
        <v>9472</v>
      </c>
      <c r="G543" s="9">
        <v>36</v>
      </c>
      <c r="H543" s="8" t="s">
        <v>8164</v>
      </c>
      <c r="I543" s="8" t="s">
        <v>9473</v>
      </c>
      <c r="J543" s="8"/>
      <c r="K543" s="8"/>
      <c r="L543" s="8"/>
      <c r="M543" s="8"/>
      <c r="N543" s="8"/>
      <c r="O543" s="8"/>
      <c r="P543" s="8"/>
      <c r="Q543" s="8"/>
      <c r="R543" s="8"/>
      <c r="S543" s="8"/>
    </row>
    <row r="544" spans="1:19" ht="15.75" customHeight="1">
      <c r="A544" s="8">
        <v>230823952</v>
      </c>
      <c r="B544" s="8" t="s">
        <v>8479</v>
      </c>
      <c r="C544" s="8" t="s">
        <v>8470</v>
      </c>
      <c r="D544" s="8" t="s">
        <v>2298</v>
      </c>
      <c r="E544" s="9">
        <v>79326221439</v>
      </c>
      <c r="F544" s="8"/>
      <c r="G544" s="9"/>
      <c r="H544" s="8" t="s">
        <v>8164</v>
      </c>
      <c r="I544" s="8" t="s">
        <v>9274</v>
      </c>
      <c r="J544" s="8"/>
      <c r="K544" s="8"/>
      <c r="L544" s="8"/>
      <c r="M544" s="8"/>
      <c r="N544" s="8"/>
      <c r="O544" s="8"/>
      <c r="P544" s="8"/>
      <c r="Q544" s="8"/>
      <c r="R544" s="8"/>
      <c r="S544" s="8"/>
    </row>
    <row r="545" spans="1:19" ht="15.75" customHeight="1">
      <c r="A545" s="8">
        <v>230925679</v>
      </c>
      <c r="B545" s="8" t="s">
        <v>8643</v>
      </c>
      <c r="C545" s="8" t="s">
        <v>9474</v>
      </c>
      <c r="D545" s="8" t="s">
        <v>2301</v>
      </c>
      <c r="E545" s="9">
        <v>293035220</v>
      </c>
      <c r="F545" s="8" t="s">
        <v>9475</v>
      </c>
      <c r="G545" s="9">
        <v>58</v>
      </c>
      <c r="H545" s="8" t="s">
        <v>8222</v>
      </c>
      <c r="I545" s="8" t="s">
        <v>8412</v>
      </c>
      <c r="J545" s="8"/>
      <c r="K545" s="8"/>
      <c r="L545" s="8"/>
      <c r="M545" s="8"/>
      <c r="N545" s="8"/>
      <c r="O545" s="8"/>
      <c r="P545" s="8"/>
      <c r="Q545" s="8"/>
      <c r="R545" s="8"/>
      <c r="S545" s="8"/>
    </row>
    <row r="546" spans="1:19" ht="15.75" customHeight="1">
      <c r="A546" s="8">
        <v>230929461</v>
      </c>
      <c r="B546" s="8" t="s">
        <v>9476</v>
      </c>
      <c r="C546" s="8" t="s">
        <v>9477</v>
      </c>
      <c r="D546" s="8" t="s">
        <v>2304</v>
      </c>
      <c r="E546" s="9" t="s">
        <v>2305</v>
      </c>
      <c r="F546" s="8"/>
      <c r="G546" s="9"/>
      <c r="H546" s="8" t="s">
        <v>8832</v>
      </c>
      <c r="I546" s="8" t="s">
        <v>9478</v>
      </c>
      <c r="J546" s="8"/>
      <c r="K546" s="8"/>
      <c r="L546" s="8"/>
      <c r="M546" s="8"/>
      <c r="N546" s="8"/>
      <c r="O546" s="8"/>
      <c r="P546" s="8"/>
      <c r="Q546" s="8"/>
      <c r="R546" s="8"/>
      <c r="S546" s="8"/>
    </row>
    <row r="547" spans="1:19" ht="15.75" customHeight="1">
      <c r="A547" s="8">
        <v>230964263</v>
      </c>
      <c r="B547" s="8" t="s">
        <v>8369</v>
      </c>
      <c r="C547" s="8" t="s">
        <v>9479</v>
      </c>
      <c r="D547" s="8" t="s">
        <v>2308</v>
      </c>
      <c r="E547" s="9">
        <v>79101491131</v>
      </c>
      <c r="F547" s="8"/>
      <c r="G547" s="9"/>
      <c r="H547" s="8" t="s">
        <v>8164</v>
      </c>
      <c r="I547" s="8" t="s">
        <v>8467</v>
      </c>
      <c r="J547" s="8"/>
      <c r="K547" s="8"/>
      <c r="L547" s="8"/>
      <c r="M547" s="8"/>
      <c r="N547" s="8"/>
      <c r="O547" s="8"/>
      <c r="P547" s="8"/>
      <c r="Q547" s="8"/>
      <c r="R547" s="8"/>
      <c r="S547" s="8"/>
    </row>
    <row r="548" spans="1:19" ht="15.75" customHeight="1">
      <c r="A548" s="8">
        <v>230993799</v>
      </c>
      <c r="B548" s="8" t="s">
        <v>9480</v>
      </c>
      <c r="C548" s="8" t="s">
        <v>9481</v>
      </c>
      <c r="D548" s="8" t="s">
        <v>2312</v>
      </c>
      <c r="E548" s="9">
        <v>79196273821</v>
      </c>
      <c r="F548" s="8"/>
      <c r="G548" s="9"/>
      <c r="H548" s="8" t="s">
        <v>8164</v>
      </c>
      <c r="I548" s="8" t="s">
        <v>9482</v>
      </c>
      <c r="J548" s="8"/>
      <c r="K548" s="8"/>
      <c r="L548" s="8"/>
      <c r="M548" s="8"/>
      <c r="N548" s="8"/>
      <c r="O548" s="8"/>
      <c r="P548" s="8"/>
      <c r="Q548" s="8"/>
      <c r="R548" s="8"/>
      <c r="S548" s="8"/>
    </row>
    <row r="549" spans="1:19" ht="15.75" customHeight="1">
      <c r="A549" s="8">
        <v>231013984</v>
      </c>
      <c r="B549" s="8" t="s">
        <v>7399</v>
      </c>
      <c r="C549" s="8" t="s">
        <v>9483</v>
      </c>
      <c r="D549" s="8" t="s">
        <v>2315</v>
      </c>
      <c r="E549" s="9" t="s">
        <v>2316</v>
      </c>
      <c r="F549" s="8"/>
      <c r="G549" s="9"/>
      <c r="H549" s="8" t="s">
        <v>8164</v>
      </c>
      <c r="I549" s="8" t="s">
        <v>9484</v>
      </c>
      <c r="J549" s="8"/>
      <c r="K549" s="8"/>
      <c r="L549" s="8"/>
      <c r="M549" s="8"/>
      <c r="N549" s="8"/>
      <c r="O549" s="8"/>
      <c r="P549" s="8"/>
      <c r="Q549" s="8"/>
      <c r="R549" s="8"/>
      <c r="S549" s="8"/>
    </row>
    <row r="550" spans="1:19" ht="15.75" customHeight="1">
      <c r="A550" s="8">
        <v>231024735</v>
      </c>
      <c r="B550" s="8" t="s">
        <v>8581</v>
      </c>
      <c r="C550" s="8" t="s">
        <v>9485</v>
      </c>
      <c r="D550" s="8" t="s">
        <v>9486</v>
      </c>
      <c r="E550" s="9" t="s">
        <v>9487</v>
      </c>
      <c r="F550" s="8"/>
      <c r="G550" s="9"/>
      <c r="H550" s="8" t="s">
        <v>8164</v>
      </c>
      <c r="I550" s="8" t="s">
        <v>8191</v>
      </c>
      <c r="J550" s="8"/>
      <c r="K550" s="8"/>
      <c r="L550" s="8"/>
      <c r="M550" s="8"/>
      <c r="N550" s="8"/>
      <c r="O550" s="8"/>
      <c r="P550" s="8"/>
      <c r="Q550" s="8"/>
      <c r="R550" s="8"/>
      <c r="S550" s="8"/>
    </row>
    <row r="551" spans="1:19" ht="15.75" customHeight="1">
      <c r="A551" s="8">
        <v>231027955</v>
      </c>
      <c r="B551" s="8" t="s">
        <v>9488</v>
      </c>
      <c r="C551" s="8" t="s">
        <v>9489</v>
      </c>
      <c r="D551" s="8" t="s">
        <v>2319</v>
      </c>
      <c r="E551" s="9" t="s">
        <v>2320</v>
      </c>
      <c r="F551" s="8"/>
      <c r="G551" s="9"/>
      <c r="H551" s="8" t="s">
        <v>8158</v>
      </c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</row>
    <row r="552" spans="1:19" ht="15.75" customHeight="1">
      <c r="A552" s="8">
        <v>231049169</v>
      </c>
      <c r="B552" s="8" t="s">
        <v>8206</v>
      </c>
      <c r="C552" s="8" t="s">
        <v>8575</v>
      </c>
      <c r="D552" s="8" t="s">
        <v>2323</v>
      </c>
      <c r="E552" s="9" t="s">
        <v>2324</v>
      </c>
      <c r="F552" s="8"/>
      <c r="G552" s="9"/>
      <c r="H552" s="8" t="s">
        <v>9490</v>
      </c>
      <c r="I552" s="8" t="s">
        <v>9490</v>
      </c>
      <c r="J552" s="8"/>
      <c r="K552" s="8"/>
      <c r="L552" s="8"/>
      <c r="M552" s="8"/>
      <c r="N552" s="8"/>
      <c r="O552" s="8"/>
      <c r="P552" s="8"/>
      <c r="Q552" s="8"/>
      <c r="R552" s="8"/>
      <c r="S552" s="8"/>
    </row>
    <row r="553" spans="1:19" ht="15.75" customHeight="1">
      <c r="A553" s="8">
        <v>231101457</v>
      </c>
      <c r="B553" s="8" t="s">
        <v>9491</v>
      </c>
      <c r="C553" s="8" t="s">
        <v>9492</v>
      </c>
      <c r="D553" s="8" t="s">
        <v>2329</v>
      </c>
      <c r="E553" s="9" t="s">
        <v>2330</v>
      </c>
      <c r="F553" s="8"/>
      <c r="G553" s="9"/>
      <c r="H553" s="8" t="s">
        <v>8164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</row>
    <row r="554" spans="1:19" ht="15.75" customHeight="1">
      <c r="A554" s="8">
        <v>231135202</v>
      </c>
      <c r="B554" s="8" t="s">
        <v>9493</v>
      </c>
      <c r="C554" s="8" t="s">
        <v>9494</v>
      </c>
      <c r="D554" s="8" t="s">
        <v>2333</v>
      </c>
      <c r="E554" s="9" t="s">
        <v>2334</v>
      </c>
      <c r="F554" s="8"/>
      <c r="G554" s="9"/>
      <c r="H554" s="8" t="s">
        <v>8164</v>
      </c>
      <c r="I554" s="8" t="s">
        <v>8272</v>
      </c>
      <c r="J554" s="8"/>
      <c r="K554" s="8"/>
      <c r="L554" s="8"/>
      <c r="M554" s="8"/>
      <c r="N554" s="8"/>
      <c r="O554" s="8"/>
      <c r="P554" s="8"/>
      <c r="Q554" s="8"/>
      <c r="R554" s="8"/>
      <c r="S554" s="8"/>
    </row>
    <row r="555" spans="1:19" ht="15.75" customHeight="1">
      <c r="A555" s="8">
        <v>231210996</v>
      </c>
      <c r="B555" s="8" t="s">
        <v>9495</v>
      </c>
      <c r="C555" s="8" t="s">
        <v>9442</v>
      </c>
      <c r="D555" s="8" t="s">
        <v>2337</v>
      </c>
      <c r="E555" s="9" t="s">
        <v>2338</v>
      </c>
      <c r="F555" s="8" t="s">
        <v>9496</v>
      </c>
      <c r="G555" s="9">
        <v>42</v>
      </c>
      <c r="H555" s="8" t="s">
        <v>8164</v>
      </c>
      <c r="I555" s="8" t="s">
        <v>8227</v>
      </c>
      <c r="J555" s="8"/>
      <c r="K555" s="8"/>
      <c r="L555" s="8"/>
      <c r="M555" s="8"/>
      <c r="N555" s="8"/>
      <c r="O555" s="8"/>
      <c r="P555" s="8"/>
      <c r="Q555" s="8"/>
      <c r="R555" s="8"/>
      <c r="S555" s="8"/>
    </row>
    <row r="556" spans="1:19" ht="15.75" customHeight="1">
      <c r="A556" s="8">
        <v>231270756</v>
      </c>
      <c r="B556" s="8"/>
      <c r="C556" s="8"/>
      <c r="D556" s="8" t="s">
        <v>2346</v>
      </c>
      <c r="E556" s="9"/>
      <c r="F556" s="8"/>
      <c r="G556" s="9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</row>
    <row r="557" spans="1:19" ht="15.75" customHeight="1">
      <c r="A557" s="8">
        <v>231296818</v>
      </c>
      <c r="B557" s="8" t="s">
        <v>7919</v>
      </c>
      <c r="C557" s="8" t="s">
        <v>9497</v>
      </c>
      <c r="D557" s="8" t="s">
        <v>2353</v>
      </c>
      <c r="E557" s="9" t="s">
        <v>2354</v>
      </c>
      <c r="F557" s="8"/>
      <c r="G557" s="9"/>
      <c r="H557" s="8" t="s">
        <v>8164</v>
      </c>
      <c r="I557" s="8" t="s">
        <v>8165</v>
      </c>
      <c r="J557" s="8"/>
      <c r="K557" s="8"/>
      <c r="L557" s="8"/>
      <c r="M557" s="8"/>
      <c r="N557" s="8"/>
      <c r="O557" s="8"/>
      <c r="P557" s="8"/>
      <c r="Q557" s="8"/>
      <c r="R557" s="8"/>
      <c r="S557" s="8"/>
    </row>
    <row r="558" spans="1:19" ht="15.75" customHeight="1">
      <c r="A558" s="8">
        <v>231304484</v>
      </c>
      <c r="B558" s="8" t="s">
        <v>9498</v>
      </c>
      <c r="C558" s="8" t="s">
        <v>9499</v>
      </c>
      <c r="D558" s="8" t="s">
        <v>2357</v>
      </c>
      <c r="E558" s="9" t="s">
        <v>2358</v>
      </c>
      <c r="F558" s="8" t="s">
        <v>9500</v>
      </c>
      <c r="G558" s="9">
        <v>50</v>
      </c>
      <c r="H558" s="8" t="s">
        <v>9501</v>
      </c>
      <c r="I558" s="8" t="s">
        <v>9502</v>
      </c>
      <c r="J558" s="8"/>
      <c r="K558" s="8"/>
      <c r="L558" s="8"/>
      <c r="M558" s="8"/>
      <c r="N558" s="8"/>
      <c r="O558" s="8"/>
      <c r="P558" s="8"/>
      <c r="Q558" s="8"/>
      <c r="R558" s="8"/>
      <c r="S558" s="8"/>
    </row>
    <row r="559" spans="1:19" ht="15.75" customHeight="1">
      <c r="A559" s="8">
        <v>231460520</v>
      </c>
      <c r="B559" s="8" t="s">
        <v>8717</v>
      </c>
      <c r="C559" s="8" t="s">
        <v>8583</v>
      </c>
      <c r="D559" s="8" t="s">
        <v>9503</v>
      </c>
      <c r="E559" s="9">
        <v>79313673625</v>
      </c>
      <c r="F559" s="8"/>
      <c r="G559" s="9"/>
      <c r="H559" s="8" t="s">
        <v>8164</v>
      </c>
      <c r="I559" s="8" t="s">
        <v>9161</v>
      </c>
      <c r="J559" s="8"/>
      <c r="K559" s="8"/>
      <c r="L559" s="8"/>
      <c r="M559" s="8"/>
      <c r="N559" s="8"/>
      <c r="O559" s="8"/>
      <c r="P559" s="8"/>
      <c r="Q559" s="8"/>
      <c r="R559" s="8"/>
      <c r="S559" s="8"/>
    </row>
    <row r="560" spans="1:19" ht="15.75" customHeight="1">
      <c r="A560" s="8">
        <v>231460922</v>
      </c>
      <c r="B560" s="8" t="s">
        <v>8694</v>
      </c>
      <c r="C560" s="8" t="s">
        <v>9504</v>
      </c>
      <c r="D560" s="8" t="s">
        <v>2363</v>
      </c>
      <c r="E560" s="9">
        <v>79261808929</v>
      </c>
      <c r="F560" s="8"/>
      <c r="G560" s="9"/>
      <c r="H560" s="8" t="s">
        <v>8164</v>
      </c>
      <c r="I560" s="8" t="s">
        <v>8165</v>
      </c>
      <c r="J560" s="8"/>
      <c r="K560" s="8"/>
      <c r="L560" s="8"/>
      <c r="M560" s="8"/>
      <c r="N560" s="8"/>
      <c r="O560" s="8"/>
      <c r="P560" s="8"/>
      <c r="Q560" s="8"/>
      <c r="R560" s="8"/>
      <c r="S560" s="8"/>
    </row>
    <row r="561" spans="1:19" ht="15.75" customHeight="1">
      <c r="A561" s="8">
        <v>231541929</v>
      </c>
      <c r="B561" s="8" t="s">
        <v>9505</v>
      </c>
      <c r="C561" s="8" t="s">
        <v>9506</v>
      </c>
      <c r="D561" s="8" t="s">
        <v>2627</v>
      </c>
      <c r="E561" s="9" t="s">
        <v>2628</v>
      </c>
      <c r="F561" s="8"/>
      <c r="G561" s="9"/>
      <c r="H561" s="8" t="s">
        <v>8164</v>
      </c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</row>
    <row r="562" spans="1:19" ht="15.75" customHeight="1">
      <c r="A562" s="8">
        <v>231559976</v>
      </c>
      <c r="B562" s="8" t="s">
        <v>8717</v>
      </c>
      <c r="C562" s="8" t="s">
        <v>9507</v>
      </c>
      <c r="D562" s="8" t="s">
        <v>9508</v>
      </c>
      <c r="E562" s="9" t="s">
        <v>9509</v>
      </c>
      <c r="F562" s="8" t="s">
        <v>9510</v>
      </c>
      <c r="G562" s="9">
        <v>42</v>
      </c>
      <c r="H562" s="8" t="s">
        <v>8164</v>
      </c>
      <c r="I562" s="8" t="s">
        <v>8165</v>
      </c>
      <c r="J562" s="8"/>
      <c r="K562" s="8"/>
      <c r="L562" s="8"/>
      <c r="M562" s="8"/>
      <c r="N562" s="8"/>
      <c r="O562" s="8"/>
      <c r="P562" s="8"/>
      <c r="Q562" s="8"/>
      <c r="R562" s="8"/>
      <c r="S562" s="8"/>
    </row>
    <row r="563" spans="1:19" ht="15.75" customHeight="1">
      <c r="A563" s="8">
        <v>231590563</v>
      </c>
      <c r="B563" s="8" t="s">
        <v>8434</v>
      </c>
      <c r="C563" s="8" t="s">
        <v>9511</v>
      </c>
      <c r="D563" s="8" t="s">
        <v>9512</v>
      </c>
      <c r="E563" s="9" t="s">
        <v>9513</v>
      </c>
      <c r="F563" s="8"/>
      <c r="G563" s="9"/>
      <c r="H563" s="8" t="s">
        <v>8222</v>
      </c>
      <c r="I563" s="8" t="s">
        <v>8412</v>
      </c>
      <c r="J563" s="8"/>
      <c r="K563" s="8"/>
      <c r="L563" s="8"/>
      <c r="M563" s="8"/>
      <c r="N563" s="8"/>
      <c r="O563" s="8"/>
      <c r="P563" s="8"/>
      <c r="Q563" s="8"/>
      <c r="R563" s="8"/>
      <c r="S563" s="8"/>
    </row>
    <row r="564" spans="1:19" ht="15.75" customHeight="1">
      <c r="A564" s="8">
        <v>231663202</v>
      </c>
      <c r="B564" s="8" t="s">
        <v>8866</v>
      </c>
      <c r="C564" s="8" t="s">
        <v>8867</v>
      </c>
      <c r="D564" s="8" t="s">
        <v>9514</v>
      </c>
      <c r="E564" s="9">
        <v>79823069197</v>
      </c>
      <c r="F564" s="8"/>
      <c r="G564" s="9"/>
      <c r="H564" s="8"/>
      <c r="I564" s="8"/>
      <c r="J564" s="8" t="s">
        <v>8869</v>
      </c>
      <c r="K564" s="8"/>
      <c r="L564" s="8"/>
      <c r="M564" s="8"/>
      <c r="N564" s="8"/>
      <c r="O564" s="8"/>
      <c r="P564" s="8" t="s">
        <v>8171</v>
      </c>
      <c r="Q564" s="8"/>
      <c r="R564" s="8"/>
      <c r="S564" s="8"/>
    </row>
    <row r="565" spans="1:19" ht="15.75" customHeight="1">
      <c r="A565" s="8">
        <v>231700347</v>
      </c>
      <c r="B565" s="8"/>
      <c r="C565" s="8"/>
      <c r="D565" s="8" t="s">
        <v>2631</v>
      </c>
      <c r="E565" s="9"/>
      <c r="F565" s="8"/>
      <c r="G565" s="9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</row>
    <row r="566" spans="1:19" ht="15.75" customHeight="1">
      <c r="A566" s="8">
        <v>231721594</v>
      </c>
      <c r="B566" s="8" t="s">
        <v>8717</v>
      </c>
      <c r="C566" s="8" t="s">
        <v>9515</v>
      </c>
      <c r="D566" s="8" t="s">
        <v>2634</v>
      </c>
      <c r="E566" s="9" t="s">
        <v>2635</v>
      </c>
      <c r="F566" s="8"/>
      <c r="G566" s="9"/>
      <c r="H566" s="8" t="s">
        <v>8267</v>
      </c>
      <c r="I566" s="8" t="s">
        <v>9516</v>
      </c>
      <c r="J566" s="8"/>
      <c r="K566" s="8"/>
      <c r="L566" s="8"/>
      <c r="M566" s="8"/>
      <c r="N566" s="8"/>
      <c r="O566" s="8"/>
      <c r="P566" s="8"/>
      <c r="Q566" s="8"/>
      <c r="R566" s="8"/>
      <c r="S566" s="8"/>
    </row>
    <row r="567" spans="1:19" ht="15.75" customHeight="1">
      <c r="A567" s="8">
        <v>231732117</v>
      </c>
      <c r="B567" s="8" t="s">
        <v>9517</v>
      </c>
      <c r="C567" s="8" t="s">
        <v>9518</v>
      </c>
      <c r="D567" s="8" t="s">
        <v>9519</v>
      </c>
      <c r="E567" s="9" t="s">
        <v>9520</v>
      </c>
      <c r="F567" s="8"/>
      <c r="G567" s="9"/>
      <c r="H567" s="8" t="s">
        <v>8164</v>
      </c>
      <c r="I567" s="8" t="s">
        <v>8293</v>
      </c>
      <c r="J567" s="8"/>
      <c r="K567" s="8"/>
      <c r="L567" s="8"/>
      <c r="M567" s="8"/>
      <c r="N567" s="8"/>
      <c r="O567" s="8"/>
      <c r="P567" s="8"/>
      <c r="Q567" s="8"/>
      <c r="R567" s="8"/>
      <c r="S567" s="8"/>
    </row>
    <row r="568" spans="1:19" ht="15.75" customHeight="1">
      <c r="A568" s="8">
        <v>231746115</v>
      </c>
      <c r="B568" s="8"/>
      <c r="C568" s="8"/>
      <c r="D568" s="8" t="s">
        <v>9521</v>
      </c>
      <c r="E568" s="9"/>
      <c r="F568" s="8"/>
      <c r="G568" s="9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</row>
    <row r="569" spans="1:19" ht="15.75" customHeight="1">
      <c r="A569" s="8">
        <v>231775403</v>
      </c>
      <c r="B569" s="8" t="s">
        <v>9522</v>
      </c>
      <c r="C569" s="8" t="s">
        <v>9523</v>
      </c>
      <c r="D569" s="8" t="s">
        <v>9524</v>
      </c>
      <c r="E569" s="9" t="s">
        <v>564</v>
      </c>
      <c r="F569" s="8"/>
      <c r="G569" s="9"/>
      <c r="H569" s="8" t="s">
        <v>8164</v>
      </c>
      <c r="I569" s="8" t="s">
        <v>8191</v>
      </c>
      <c r="J569" s="8"/>
      <c r="K569" s="8"/>
      <c r="L569" s="8"/>
      <c r="M569" s="8"/>
      <c r="N569" s="8"/>
      <c r="O569" s="8"/>
      <c r="P569" s="8"/>
      <c r="Q569" s="8"/>
      <c r="R569" s="8"/>
      <c r="S569" s="8"/>
    </row>
    <row r="570" spans="1:19" ht="15.75" customHeight="1">
      <c r="A570" s="8">
        <v>231821319</v>
      </c>
      <c r="B570" s="8" t="s">
        <v>8643</v>
      </c>
      <c r="C570" s="8" t="s">
        <v>8643</v>
      </c>
      <c r="D570" s="8" t="s">
        <v>2638</v>
      </c>
      <c r="E570" s="9">
        <v>380679503151</v>
      </c>
      <c r="F570" s="8"/>
      <c r="G570" s="9"/>
      <c r="H570" s="8" t="s">
        <v>8164</v>
      </c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</row>
    <row r="571" spans="1:19" ht="15.75" customHeight="1">
      <c r="A571" s="8">
        <v>231937134</v>
      </c>
      <c r="B571" s="8" t="s">
        <v>8277</v>
      </c>
      <c r="C571" s="8" t="s">
        <v>9525</v>
      </c>
      <c r="D571" s="8" t="s">
        <v>2641</v>
      </c>
      <c r="E571" s="9" t="s">
        <v>2642</v>
      </c>
      <c r="F571" s="8"/>
      <c r="G571" s="9"/>
      <c r="H571" s="8" t="s">
        <v>8164</v>
      </c>
      <c r="I571" s="8" t="s">
        <v>8165</v>
      </c>
      <c r="J571" s="8"/>
      <c r="K571" s="8"/>
      <c r="L571" s="8"/>
      <c r="M571" s="8"/>
      <c r="N571" s="8"/>
      <c r="O571" s="8"/>
      <c r="P571" s="8"/>
      <c r="Q571" s="8"/>
      <c r="R571" s="8"/>
      <c r="S571" s="8"/>
    </row>
    <row r="572" spans="1:19" ht="15.75" customHeight="1">
      <c r="A572" s="8">
        <v>231983966</v>
      </c>
      <c r="B572" s="8" t="s">
        <v>8465</v>
      </c>
      <c r="C572" s="8" t="s">
        <v>9526</v>
      </c>
      <c r="D572" s="8" t="s">
        <v>2645</v>
      </c>
      <c r="E572" s="9" t="s">
        <v>2646</v>
      </c>
      <c r="F572" s="8"/>
      <c r="G572" s="9"/>
      <c r="H572" s="8" t="s">
        <v>8164</v>
      </c>
      <c r="I572" s="8" t="s">
        <v>8437</v>
      </c>
      <c r="J572" s="8"/>
      <c r="K572" s="8"/>
      <c r="L572" s="8"/>
      <c r="M572" s="8"/>
      <c r="N572" s="8"/>
      <c r="O572" s="8"/>
      <c r="P572" s="8"/>
      <c r="Q572" s="8"/>
      <c r="R572" s="8"/>
      <c r="S572" s="8"/>
    </row>
    <row r="573" spans="1:19" ht="15.75" customHeight="1">
      <c r="A573" s="8">
        <v>232000755</v>
      </c>
      <c r="B573" s="8"/>
      <c r="C573" s="8"/>
      <c r="D573" s="8" t="s">
        <v>2649</v>
      </c>
      <c r="E573" s="9"/>
      <c r="F573" s="8"/>
      <c r="G573" s="9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</row>
    <row r="574" spans="1:19" ht="15.75" customHeight="1">
      <c r="A574" s="8">
        <v>232010413</v>
      </c>
      <c r="B574" s="8" t="s">
        <v>7818</v>
      </c>
      <c r="C574" s="8" t="s">
        <v>9527</v>
      </c>
      <c r="D574" s="8" t="s">
        <v>2652</v>
      </c>
      <c r="E574" s="9" t="s">
        <v>2653</v>
      </c>
      <c r="F574" s="8"/>
      <c r="G574" s="9"/>
      <c r="H574" s="8" t="s">
        <v>8164</v>
      </c>
      <c r="I574" s="8" t="s">
        <v>8165</v>
      </c>
      <c r="J574" s="8"/>
      <c r="K574" s="8"/>
      <c r="L574" s="8"/>
      <c r="M574" s="8"/>
      <c r="N574" s="8"/>
      <c r="O574" s="8"/>
      <c r="P574" s="8"/>
      <c r="Q574" s="8"/>
      <c r="R574" s="8"/>
      <c r="S574" s="8"/>
    </row>
    <row r="575" spans="1:19" ht="15.75" customHeight="1">
      <c r="A575" s="8">
        <v>232049746</v>
      </c>
      <c r="B575" s="8" t="s">
        <v>8304</v>
      </c>
      <c r="C575" s="8" t="s">
        <v>9528</v>
      </c>
      <c r="D575" s="8" t="s">
        <v>2656</v>
      </c>
      <c r="E575" s="9">
        <v>79852379972</v>
      </c>
      <c r="F575" s="8"/>
      <c r="G575" s="9"/>
      <c r="H575" s="8" t="s">
        <v>8164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</row>
    <row r="576" spans="1:19" ht="15.75" customHeight="1">
      <c r="A576" s="8">
        <v>232051331</v>
      </c>
      <c r="B576" s="8" t="s">
        <v>8304</v>
      </c>
      <c r="C576" s="8" t="s">
        <v>9528</v>
      </c>
      <c r="D576" s="8" t="s">
        <v>2658</v>
      </c>
      <c r="E576" s="9">
        <v>79652826372</v>
      </c>
      <c r="F576" s="8"/>
      <c r="G576" s="9"/>
      <c r="H576" s="8" t="s">
        <v>8164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</row>
    <row r="577" spans="1:19" ht="15.75" customHeight="1">
      <c r="A577" s="8">
        <v>232104534</v>
      </c>
      <c r="B577" s="8" t="s">
        <v>8162</v>
      </c>
      <c r="C577" s="8" t="s">
        <v>9529</v>
      </c>
      <c r="D577" s="8" t="s">
        <v>2662</v>
      </c>
      <c r="E577" s="9" t="s">
        <v>2663</v>
      </c>
      <c r="F577" s="8" t="s">
        <v>9530</v>
      </c>
      <c r="G577" s="9">
        <v>55</v>
      </c>
      <c r="H577" s="8" t="s">
        <v>8522</v>
      </c>
      <c r="I577" s="8" t="s">
        <v>9531</v>
      </c>
      <c r="J577" s="8"/>
      <c r="K577" s="8"/>
      <c r="L577" s="8"/>
      <c r="M577" s="8"/>
      <c r="N577" s="8"/>
      <c r="O577" s="8"/>
      <c r="P577" s="8"/>
      <c r="Q577" s="8"/>
      <c r="R577" s="8"/>
      <c r="S577" s="8"/>
    </row>
    <row r="578" spans="1:19" ht="15.75" customHeight="1">
      <c r="A578" s="8">
        <v>232200982</v>
      </c>
      <c r="B578" s="8"/>
      <c r="C578" s="8"/>
      <c r="D578" s="8" t="s">
        <v>9532</v>
      </c>
      <c r="E578" s="9"/>
      <c r="F578" s="8"/>
      <c r="G578" s="9"/>
      <c r="H578" s="8" t="s">
        <v>8164</v>
      </c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</row>
    <row r="579" spans="1:19" ht="15.75" customHeight="1">
      <c r="A579" s="8">
        <v>232240576</v>
      </c>
      <c r="B579" s="8" t="s">
        <v>8431</v>
      </c>
      <c r="C579" s="8" t="s">
        <v>9533</v>
      </c>
      <c r="D579" s="8" t="s">
        <v>2666</v>
      </c>
      <c r="E579" s="9">
        <v>79283550861</v>
      </c>
      <c r="F579" s="8"/>
      <c r="G579" s="9"/>
      <c r="H579" s="8" t="s">
        <v>8164</v>
      </c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</row>
    <row r="580" spans="1:19" ht="15.75" customHeight="1">
      <c r="A580" s="8">
        <v>232252610</v>
      </c>
      <c r="B580" s="8" t="s">
        <v>8862</v>
      </c>
      <c r="C580" s="8" t="s">
        <v>9534</v>
      </c>
      <c r="D580" s="8" t="s">
        <v>2669</v>
      </c>
      <c r="E580" s="9">
        <v>79220748806</v>
      </c>
      <c r="F580" s="8"/>
      <c r="G580" s="9"/>
      <c r="H580" s="8" t="s">
        <v>8164</v>
      </c>
      <c r="I580" s="8" t="s">
        <v>8414</v>
      </c>
      <c r="J580" s="8"/>
      <c r="K580" s="8"/>
      <c r="L580" s="8"/>
      <c r="M580" s="8"/>
      <c r="N580" s="8"/>
      <c r="O580" s="8"/>
      <c r="P580" s="8"/>
      <c r="Q580" s="8"/>
      <c r="R580" s="8"/>
      <c r="S580" s="8"/>
    </row>
    <row r="581" spans="1:19" ht="15.75" customHeight="1">
      <c r="A581" s="8">
        <v>232258441</v>
      </c>
      <c r="B581" s="8" t="s">
        <v>8782</v>
      </c>
      <c r="C581" s="8" t="s">
        <v>9535</v>
      </c>
      <c r="D581" s="8" t="s">
        <v>2672</v>
      </c>
      <c r="E581" s="9">
        <v>79042945702</v>
      </c>
      <c r="F581" s="8"/>
      <c r="G581" s="9"/>
      <c r="H581" s="8" t="s">
        <v>8164</v>
      </c>
      <c r="I581" s="8" t="s">
        <v>8165</v>
      </c>
      <c r="J581" s="8"/>
      <c r="K581" s="8"/>
      <c r="L581" s="8"/>
      <c r="M581" s="8"/>
      <c r="N581" s="8"/>
      <c r="O581" s="8"/>
      <c r="P581" s="8"/>
      <c r="Q581" s="8"/>
      <c r="R581" s="8"/>
      <c r="S581" s="8"/>
    </row>
    <row r="582" spans="1:19" ht="15.75" customHeight="1">
      <c r="A582" s="8">
        <v>232288289</v>
      </c>
      <c r="B582" s="8" t="s">
        <v>8192</v>
      </c>
      <c r="C582" s="8" t="s">
        <v>9536</v>
      </c>
      <c r="D582" s="8" t="s">
        <v>2675</v>
      </c>
      <c r="E582" s="9" t="s">
        <v>2676</v>
      </c>
      <c r="F582" s="8" t="s">
        <v>9537</v>
      </c>
      <c r="G582" s="9">
        <v>63</v>
      </c>
      <c r="H582" s="8" t="s">
        <v>8164</v>
      </c>
      <c r="I582" s="8" t="s">
        <v>9538</v>
      </c>
      <c r="J582" s="8"/>
      <c r="K582" s="8"/>
      <c r="L582" s="8"/>
      <c r="M582" s="8"/>
      <c r="N582" s="8"/>
      <c r="O582" s="8"/>
      <c r="P582" s="8"/>
      <c r="Q582" s="8"/>
      <c r="R582" s="8"/>
      <c r="S582" s="8"/>
    </row>
    <row r="583" spans="1:19" ht="15.75" customHeight="1">
      <c r="A583" s="8">
        <v>232336111</v>
      </c>
      <c r="B583" s="8" t="s">
        <v>9539</v>
      </c>
      <c r="C583" s="8" t="s">
        <v>9540</v>
      </c>
      <c r="D583" s="8" t="s">
        <v>2680</v>
      </c>
      <c r="E583" s="9" t="s">
        <v>2681</v>
      </c>
      <c r="F583" s="8" t="s">
        <v>9541</v>
      </c>
      <c r="G583" s="9">
        <v>57</v>
      </c>
      <c r="H583" s="8" t="s">
        <v>8164</v>
      </c>
      <c r="I583" s="8" t="s">
        <v>9538</v>
      </c>
      <c r="J583" s="8"/>
      <c r="K583" s="8"/>
      <c r="L583" s="8"/>
      <c r="M583" s="8"/>
      <c r="N583" s="8"/>
      <c r="O583" s="8"/>
      <c r="P583" s="8"/>
      <c r="Q583" s="8"/>
      <c r="R583" s="8"/>
      <c r="S583" s="8"/>
    </row>
    <row r="584" spans="1:19" ht="15.75" customHeight="1">
      <c r="A584" s="8">
        <v>232370003</v>
      </c>
      <c r="B584" s="8" t="s">
        <v>7768</v>
      </c>
      <c r="C584" s="8" t="s">
        <v>9542</v>
      </c>
      <c r="D584" s="8" t="s">
        <v>2684</v>
      </c>
      <c r="E584" s="9" t="s">
        <v>2685</v>
      </c>
      <c r="F584" s="8"/>
      <c r="G584" s="9"/>
      <c r="H584" s="8" t="s">
        <v>8158</v>
      </c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</row>
    <row r="585" spans="1:19" ht="15.75" customHeight="1">
      <c r="A585" s="8">
        <v>232409866</v>
      </c>
      <c r="B585" s="8" t="s">
        <v>9543</v>
      </c>
      <c r="C585" s="8" t="s">
        <v>9544</v>
      </c>
      <c r="D585" s="8" t="s">
        <v>2688</v>
      </c>
      <c r="E585" s="9">
        <v>79171321882</v>
      </c>
      <c r="F585" s="8"/>
      <c r="G585" s="9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</row>
    <row r="586" spans="1:19" ht="15.75" customHeight="1">
      <c r="A586" s="8">
        <v>232430665</v>
      </c>
      <c r="B586" s="8" t="s">
        <v>7818</v>
      </c>
      <c r="C586" s="8" t="s">
        <v>9545</v>
      </c>
      <c r="D586" s="8" t="s">
        <v>2691</v>
      </c>
      <c r="E586" s="9" t="s">
        <v>2692</v>
      </c>
      <c r="F586" s="8"/>
      <c r="G586" s="9"/>
      <c r="H586" s="8" t="s">
        <v>8164</v>
      </c>
      <c r="I586" s="8" t="s">
        <v>8227</v>
      </c>
      <c r="J586" s="8"/>
      <c r="K586" s="8"/>
      <c r="L586" s="8"/>
      <c r="M586" s="8"/>
      <c r="N586" s="8"/>
      <c r="O586" s="8"/>
      <c r="P586" s="8"/>
      <c r="Q586" s="8"/>
      <c r="R586" s="8"/>
      <c r="S586" s="8"/>
    </row>
    <row r="587" spans="1:19" ht="15.75" customHeight="1">
      <c r="A587" s="8">
        <v>232475376</v>
      </c>
      <c r="B587" s="8" t="s">
        <v>8434</v>
      </c>
      <c r="C587" s="8" t="s">
        <v>8435</v>
      </c>
      <c r="D587" s="8" t="s">
        <v>2694</v>
      </c>
      <c r="E587" s="9">
        <v>79138390912</v>
      </c>
      <c r="F587" s="8"/>
      <c r="G587" s="9"/>
      <c r="H587" s="8" t="s">
        <v>8164</v>
      </c>
      <c r="I587" s="8" t="s">
        <v>8437</v>
      </c>
      <c r="J587" s="8"/>
      <c r="K587" s="8"/>
      <c r="L587" s="8"/>
      <c r="M587" s="8"/>
      <c r="N587" s="8"/>
      <c r="O587" s="8"/>
      <c r="P587" s="8"/>
      <c r="Q587" s="8"/>
      <c r="R587" s="8"/>
      <c r="S587" s="8"/>
    </row>
    <row r="588" spans="1:19" ht="15.75" customHeight="1">
      <c r="A588" s="8">
        <v>232516430</v>
      </c>
      <c r="B588" s="8" t="s">
        <v>9358</v>
      </c>
      <c r="C588" s="8" t="s">
        <v>9546</v>
      </c>
      <c r="D588" s="8" t="s">
        <v>2697</v>
      </c>
      <c r="E588" s="9" t="s">
        <v>2698</v>
      </c>
      <c r="F588" s="8"/>
      <c r="G588" s="9"/>
      <c r="H588" s="8" t="s">
        <v>8164</v>
      </c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</row>
    <row r="589" spans="1:19" ht="15.75" customHeight="1">
      <c r="A589" s="8">
        <v>232518402</v>
      </c>
      <c r="B589" s="8" t="s">
        <v>7818</v>
      </c>
      <c r="C589" s="8" t="s">
        <v>9547</v>
      </c>
      <c r="D589" s="8" t="s">
        <v>2702</v>
      </c>
      <c r="E589" s="9" t="s">
        <v>2703</v>
      </c>
      <c r="F589" s="8"/>
      <c r="G589" s="9"/>
      <c r="H589" s="8" t="s">
        <v>8164</v>
      </c>
      <c r="I589" s="8" t="s">
        <v>9482</v>
      </c>
      <c r="J589" s="8"/>
      <c r="K589" s="8"/>
      <c r="L589" s="8"/>
      <c r="M589" s="8"/>
      <c r="N589" s="8"/>
      <c r="O589" s="8"/>
      <c r="P589" s="8"/>
      <c r="Q589" s="8"/>
      <c r="R589" s="8"/>
      <c r="S589" s="8"/>
    </row>
    <row r="590" spans="1:19" ht="15.75" customHeight="1">
      <c r="A590" s="8">
        <v>232519105</v>
      </c>
      <c r="B590" s="8" t="s">
        <v>8581</v>
      </c>
      <c r="C590" s="8" t="s">
        <v>9548</v>
      </c>
      <c r="D590" s="8" t="s">
        <v>2706</v>
      </c>
      <c r="E590" s="9" t="s">
        <v>2707</v>
      </c>
      <c r="F590" s="8" t="s">
        <v>9549</v>
      </c>
      <c r="G590" s="9">
        <v>50</v>
      </c>
      <c r="H590" s="8" t="s">
        <v>8164</v>
      </c>
      <c r="I590" s="8" t="s">
        <v>9222</v>
      </c>
      <c r="J590" s="8"/>
      <c r="K590" s="8"/>
      <c r="L590" s="8"/>
      <c r="M590" s="8"/>
      <c r="N590" s="8"/>
      <c r="O590" s="8"/>
      <c r="P590" s="8"/>
      <c r="Q590" s="8"/>
      <c r="R590" s="8"/>
      <c r="S590" s="8"/>
    </row>
    <row r="591" spans="1:19" ht="15.75" customHeight="1">
      <c r="A591" s="8">
        <v>232544332</v>
      </c>
      <c r="B591" s="8" t="s">
        <v>7768</v>
      </c>
      <c r="C591" s="8" t="s">
        <v>9550</v>
      </c>
      <c r="D591" s="8" t="s">
        <v>2710</v>
      </c>
      <c r="E591" s="9">
        <v>79136961098</v>
      </c>
      <c r="F591" s="8"/>
      <c r="G591" s="9"/>
      <c r="H591" s="8" t="s">
        <v>8164</v>
      </c>
      <c r="I591" s="8" t="s">
        <v>9551</v>
      </c>
      <c r="J591" s="8"/>
      <c r="K591" s="8"/>
      <c r="L591" s="8"/>
      <c r="M591" s="8"/>
      <c r="N591" s="8"/>
      <c r="O591" s="8"/>
      <c r="P591" s="8"/>
      <c r="Q591" s="8"/>
      <c r="R591" s="8"/>
      <c r="S591" s="8"/>
    </row>
    <row r="592" spans="1:19" ht="15.75" customHeight="1">
      <c r="A592" s="8">
        <v>232549517</v>
      </c>
      <c r="B592" s="8" t="s">
        <v>8682</v>
      </c>
      <c r="C592" s="8" t="s">
        <v>9552</v>
      </c>
      <c r="D592" s="8" t="s">
        <v>9553</v>
      </c>
      <c r="E592" s="9" t="s">
        <v>9554</v>
      </c>
      <c r="F592" s="8" t="s">
        <v>9555</v>
      </c>
      <c r="G592" s="9">
        <v>51</v>
      </c>
      <c r="H592" s="8" t="s">
        <v>8164</v>
      </c>
      <c r="I592" s="8" t="s">
        <v>8165</v>
      </c>
      <c r="J592" s="8"/>
      <c r="K592" s="8"/>
      <c r="L592" s="8"/>
      <c r="M592" s="8"/>
      <c r="N592" s="8"/>
      <c r="O592" s="8"/>
      <c r="P592" s="8"/>
      <c r="Q592" s="8"/>
      <c r="R592" s="8"/>
      <c r="S592" s="8"/>
    </row>
    <row r="593" spans="1:19" ht="15.75" customHeight="1">
      <c r="A593" s="8">
        <v>232584199</v>
      </c>
      <c r="B593" s="8" t="s">
        <v>8581</v>
      </c>
      <c r="C593" s="8" t="s">
        <v>9239</v>
      </c>
      <c r="D593" s="8" t="s">
        <v>2713</v>
      </c>
      <c r="E593" s="9">
        <v>79031736699</v>
      </c>
      <c r="F593" s="8" t="s">
        <v>9556</v>
      </c>
      <c r="G593" s="9">
        <v>32</v>
      </c>
      <c r="H593" s="8" t="s">
        <v>8164</v>
      </c>
      <c r="I593" s="8" t="s">
        <v>9240</v>
      </c>
      <c r="J593" s="8"/>
      <c r="K593" s="8"/>
      <c r="L593" s="8"/>
      <c r="M593" s="8"/>
      <c r="N593" s="8"/>
      <c r="O593" s="8"/>
      <c r="P593" s="8"/>
      <c r="Q593" s="8"/>
      <c r="R593" s="8"/>
      <c r="S593" s="8"/>
    </row>
    <row r="594" spans="1:19" ht="15.75" customHeight="1">
      <c r="A594" s="8">
        <v>232589467</v>
      </c>
      <c r="B594" s="8" t="s">
        <v>8697</v>
      </c>
      <c r="C594" s="8" t="s">
        <v>9557</v>
      </c>
      <c r="D594" s="8" t="s">
        <v>2716</v>
      </c>
      <c r="E594" s="9" t="s">
        <v>2717</v>
      </c>
      <c r="F594" s="8"/>
      <c r="G594" s="9"/>
      <c r="H594" s="8" t="s">
        <v>8183</v>
      </c>
      <c r="I594" s="8" t="s">
        <v>9558</v>
      </c>
      <c r="J594" s="8"/>
      <c r="K594" s="8"/>
      <c r="L594" s="8"/>
      <c r="M594" s="8"/>
      <c r="N594" s="8"/>
      <c r="O594" s="8"/>
      <c r="P594" s="8"/>
      <c r="Q594" s="8"/>
      <c r="R594" s="8"/>
      <c r="S594" s="8"/>
    </row>
    <row r="595" spans="1:19" ht="15.75" customHeight="1">
      <c r="A595" s="8">
        <v>232597543</v>
      </c>
      <c r="B595" s="8" t="s">
        <v>8206</v>
      </c>
      <c r="C595" s="8" t="s">
        <v>9559</v>
      </c>
      <c r="D595" s="8" t="s">
        <v>2720</v>
      </c>
      <c r="E595" s="9" t="s">
        <v>2721</v>
      </c>
      <c r="F595" s="8"/>
      <c r="G595" s="9"/>
      <c r="H595" s="8" t="s">
        <v>8164</v>
      </c>
      <c r="I595" s="8" t="s">
        <v>9560</v>
      </c>
      <c r="J595" s="8"/>
      <c r="K595" s="8"/>
      <c r="L595" s="8"/>
      <c r="M595" s="8"/>
      <c r="N595" s="8"/>
      <c r="O595" s="8"/>
      <c r="P595" s="8"/>
      <c r="Q595" s="8"/>
      <c r="R595" s="8"/>
      <c r="S595" s="8"/>
    </row>
    <row r="596" spans="1:19" ht="15.75" customHeight="1">
      <c r="A596" s="8">
        <v>232611471</v>
      </c>
      <c r="B596" s="8" t="s">
        <v>8643</v>
      </c>
      <c r="C596" s="8" t="s">
        <v>9561</v>
      </c>
      <c r="D596" s="8" t="s">
        <v>2725</v>
      </c>
      <c r="E596" s="9">
        <v>79287080501</v>
      </c>
      <c r="F596" s="8"/>
      <c r="G596" s="9"/>
      <c r="H596" s="8" t="s">
        <v>8164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</row>
    <row r="597" spans="1:19" ht="15.75" customHeight="1">
      <c r="A597" s="8">
        <v>232616568</v>
      </c>
      <c r="B597" s="8" t="s">
        <v>9562</v>
      </c>
      <c r="C597" s="8" t="s">
        <v>9563</v>
      </c>
      <c r="D597" s="8" t="s">
        <v>2728</v>
      </c>
      <c r="E597" s="9" t="s">
        <v>2729</v>
      </c>
      <c r="F597" s="8"/>
      <c r="G597" s="9"/>
      <c r="H597" s="8" t="s">
        <v>8164</v>
      </c>
      <c r="I597" s="8" t="s">
        <v>8191</v>
      </c>
      <c r="J597" s="8"/>
      <c r="K597" s="8"/>
      <c r="L597" s="8"/>
      <c r="M597" s="8"/>
      <c r="N597" s="8"/>
      <c r="O597" s="8"/>
      <c r="P597" s="8"/>
      <c r="Q597" s="8"/>
      <c r="R597" s="8"/>
      <c r="S597" s="8"/>
    </row>
    <row r="598" spans="1:19" ht="15.75" customHeight="1">
      <c r="A598" s="8">
        <v>232625535</v>
      </c>
      <c r="B598" s="8" t="s">
        <v>9564</v>
      </c>
      <c r="C598" s="8" t="s">
        <v>9565</v>
      </c>
      <c r="D598" s="8" t="s">
        <v>2732</v>
      </c>
      <c r="E598" s="9">
        <v>79831021798</v>
      </c>
      <c r="F598" s="8"/>
      <c r="G598" s="9"/>
      <c r="H598" s="8" t="s">
        <v>8164</v>
      </c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</row>
    <row r="599" spans="1:19" ht="15.75" customHeight="1">
      <c r="A599" s="8">
        <v>232628018</v>
      </c>
      <c r="B599" s="8" t="s">
        <v>8431</v>
      </c>
      <c r="C599" s="8" t="s">
        <v>8695</v>
      </c>
      <c r="D599" s="8" t="s">
        <v>2735</v>
      </c>
      <c r="E599" s="9">
        <v>79227538501</v>
      </c>
      <c r="F599" s="8"/>
      <c r="G599" s="9"/>
      <c r="H599" s="8" t="s">
        <v>8164</v>
      </c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</row>
    <row r="600" spans="1:19" ht="15.75" customHeight="1">
      <c r="A600" s="8">
        <v>232628459</v>
      </c>
      <c r="B600" s="8" t="s">
        <v>8431</v>
      </c>
      <c r="C600" s="8" t="s">
        <v>9566</v>
      </c>
      <c r="D600" s="8" t="s">
        <v>2738</v>
      </c>
      <c r="E600" s="9" t="s">
        <v>2739</v>
      </c>
      <c r="F600" s="8" t="s">
        <v>9567</v>
      </c>
      <c r="G600" s="9">
        <v>41</v>
      </c>
      <c r="H600" s="8" t="s">
        <v>8164</v>
      </c>
      <c r="I600" s="8" t="s">
        <v>8165</v>
      </c>
      <c r="J600" s="8"/>
      <c r="K600" s="8"/>
      <c r="L600" s="8"/>
      <c r="M600" s="8"/>
      <c r="N600" s="8"/>
      <c r="O600" s="8"/>
      <c r="P600" s="8"/>
      <c r="Q600" s="8"/>
      <c r="R600" s="8"/>
      <c r="S600" s="8"/>
    </row>
    <row r="601" spans="1:19" ht="15.75" customHeight="1">
      <c r="A601" s="8">
        <v>232667073</v>
      </c>
      <c r="B601" s="8" t="s">
        <v>8206</v>
      </c>
      <c r="C601" s="8" t="s">
        <v>9568</v>
      </c>
      <c r="D601" s="8" t="s">
        <v>2742</v>
      </c>
      <c r="E601" s="9" t="s">
        <v>2743</v>
      </c>
      <c r="F601" s="8"/>
      <c r="G601" s="9"/>
      <c r="H601" s="8" t="s">
        <v>8267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</row>
    <row r="602" spans="1:19" ht="15.75" customHeight="1">
      <c r="A602" s="8">
        <v>232669880</v>
      </c>
      <c r="B602" s="8" t="s">
        <v>8479</v>
      </c>
      <c r="C602" s="8" t="s">
        <v>9569</v>
      </c>
      <c r="D602" s="8" t="s">
        <v>2746</v>
      </c>
      <c r="E602" s="9">
        <v>79183062038</v>
      </c>
      <c r="F602" s="8"/>
      <c r="G602" s="9"/>
      <c r="H602" s="8" t="s">
        <v>8164</v>
      </c>
      <c r="I602" s="8" t="s">
        <v>8214</v>
      </c>
      <c r="J602" s="8"/>
      <c r="K602" s="8"/>
      <c r="L602" s="8"/>
      <c r="M602" s="8"/>
      <c r="N602" s="8"/>
      <c r="O602" s="8"/>
      <c r="P602" s="8"/>
      <c r="Q602" s="8"/>
      <c r="R602" s="8"/>
      <c r="S602" s="8"/>
    </row>
    <row r="603" spans="1:19" ht="15.75" customHeight="1">
      <c r="A603" s="8">
        <v>232678685</v>
      </c>
      <c r="B603" s="8" t="s">
        <v>7768</v>
      </c>
      <c r="C603" s="8" t="s">
        <v>9570</v>
      </c>
      <c r="D603" s="8" t="s">
        <v>9571</v>
      </c>
      <c r="E603" s="9">
        <v>79262036225</v>
      </c>
      <c r="F603" s="8"/>
      <c r="G603" s="9"/>
      <c r="H603" s="8" t="s">
        <v>8164</v>
      </c>
      <c r="I603" s="8" t="s">
        <v>8165</v>
      </c>
      <c r="J603" s="8"/>
      <c r="K603" s="8"/>
      <c r="L603" s="8"/>
      <c r="M603" s="8"/>
      <c r="N603" s="8"/>
      <c r="O603" s="8"/>
      <c r="P603" s="8"/>
      <c r="Q603" s="8"/>
      <c r="R603" s="8"/>
      <c r="S603" s="8"/>
    </row>
    <row r="604" spans="1:19" ht="15.75" customHeight="1">
      <c r="A604" s="8">
        <v>232679664</v>
      </c>
      <c r="B604" s="8" t="s">
        <v>7768</v>
      </c>
      <c r="C604" s="8" t="s">
        <v>9572</v>
      </c>
      <c r="D604" s="8" t="s">
        <v>2749</v>
      </c>
      <c r="E604" s="9" t="s">
        <v>2750</v>
      </c>
      <c r="F604" s="8"/>
      <c r="G604" s="9"/>
      <c r="H604" s="8" t="s">
        <v>8164</v>
      </c>
      <c r="I604" s="8" t="s">
        <v>8165</v>
      </c>
      <c r="J604" s="8"/>
      <c r="K604" s="8"/>
      <c r="L604" s="8"/>
      <c r="M604" s="8"/>
      <c r="N604" s="8"/>
      <c r="O604" s="8"/>
      <c r="P604" s="8"/>
      <c r="Q604" s="8"/>
      <c r="R604" s="8"/>
      <c r="S604" s="8"/>
    </row>
    <row r="605" spans="1:19" ht="15.75" customHeight="1">
      <c r="A605" s="8">
        <v>232695941</v>
      </c>
      <c r="B605" s="8" t="s">
        <v>8477</v>
      </c>
      <c r="C605" s="8" t="s">
        <v>9573</v>
      </c>
      <c r="D605" s="8" t="s">
        <v>2753</v>
      </c>
      <c r="E605" s="9">
        <v>79150254525</v>
      </c>
      <c r="F605" s="8"/>
      <c r="G605" s="9"/>
      <c r="H605" s="8" t="s">
        <v>8164</v>
      </c>
      <c r="I605" s="8" t="s">
        <v>8165</v>
      </c>
      <c r="J605" s="8"/>
      <c r="K605" s="8"/>
      <c r="L605" s="8"/>
      <c r="M605" s="8"/>
      <c r="N605" s="8"/>
      <c r="O605" s="8"/>
      <c r="P605" s="8"/>
      <c r="Q605" s="8"/>
      <c r="R605" s="8"/>
      <c r="S605" s="8"/>
    </row>
    <row r="606" spans="1:19" ht="15.75" customHeight="1">
      <c r="A606" s="8">
        <v>232702587</v>
      </c>
      <c r="B606" s="8" t="s">
        <v>9574</v>
      </c>
      <c r="C606" s="8" t="s">
        <v>9575</v>
      </c>
      <c r="D606" s="8" t="s">
        <v>2756</v>
      </c>
      <c r="E606" s="9" t="s">
        <v>2757</v>
      </c>
      <c r="F606" s="8" t="s">
        <v>9576</v>
      </c>
      <c r="G606" s="9">
        <v>35</v>
      </c>
      <c r="H606" s="8" t="s">
        <v>8386</v>
      </c>
      <c r="I606" s="8" t="s">
        <v>9577</v>
      </c>
      <c r="J606" s="8"/>
      <c r="K606" s="8"/>
      <c r="L606" s="8"/>
      <c r="M606" s="8"/>
      <c r="N606" s="8"/>
      <c r="O606" s="8"/>
      <c r="P606" s="8"/>
      <c r="Q606" s="8"/>
      <c r="R606" s="8"/>
      <c r="S606" s="8"/>
    </row>
    <row r="607" spans="1:19" ht="15.75" customHeight="1">
      <c r="A607" s="8">
        <v>232709308</v>
      </c>
      <c r="B607" s="8" t="s">
        <v>9578</v>
      </c>
      <c r="C607" s="8" t="s">
        <v>9579</v>
      </c>
      <c r="D607" s="8" t="s">
        <v>2760</v>
      </c>
      <c r="E607" s="9" t="s">
        <v>2761</v>
      </c>
      <c r="F607" s="8"/>
      <c r="G607" s="9"/>
      <c r="H607" s="8" t="s">
        <v>8386</v>
      </c>
      <c r="I607" s="8" t="s">
        <v>8387</v>
      </c>
      <c r="J607" s="8"/>
      <c r="K607" s="8"/>
      <c r="L607" s="8"/>
      <c r="M607" s="8"/>
      <c r="N607" s="8"/>
      <c r="O607" s="8"/>
      <c r="P607" s="8"/>
      <c r="Q607" s="8"/>
      <c r="R607" s="8"/>
      <c r="S607" s="8"/>
    </row>
    <row r="608" spans="1:19" ht="15.75" customHeight="1">
      <c r="A608" s="8">
        <v>232714812</v>
      </c>
      <c r="B608" s="8" t="s">
        <v>8206</v>
      </c>
      <c r="C608" s="8" t="s">
        <v>9580</v>
      </c>
      <c r="D608" s="8" t="s">
        <v>2764</v>
      </c>
      <c r="E608" s="9">
        <v>79220060333</v>
      </c>
      <c r="F608" s="8"/>
      <c r="G608" s="9"/>
      <c r="H608" s="8" t="s">
        <v>8158</v>
      </c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</row>
    <row r="609" spans="1:19" ht="15.75" customHeight="1">
      <c r="A609" s="8">
        <v>232726922</v>
      </c>
      <c r="B609" s="8" t="s">
        <v>9581</v>
      </c>
      <c r="C609" s="8" t="s">
        <v>9582</v>
      </c>
      <c r="D609" s="8" t="s">
        <v>2767</v>
      </c>
      <c r="E609" s="9" t="s">
        <v>2768</v>
      </c>
      <c r="F609" s="8"/>
      <c r="G609" s="9"/>
      <c r="H609" s="8" t="s">
        <v>8164</v>
      </c>
      <c r="I609" s="8" t="s">
        <v>9583</v>
      </c>
      <c r="J609" s="8"/>
      <c r="K609" s="8"/>
      <c r="L609" s="8"/>
      <c r="M609" s="8"/>
      <c r="N609" s="8"/>
      <c r="O609" s="8"/>
      <c r="P609" s="8"/>
      <c r="Q609" s="8"/>
      <c r="R609" s="8"/>
      <c r="S609" s="8"/>
    </row>
    <row r="610" spans="1:19" ht="15.75" customHeight="1">
      <c r="A610" s="8">
        <v>232734706</v>
      </c>
      <c r="B610" s="8" t="s">
        <v>9584</v>
      </c>
      <c r="C610" s="8" t="s">
        <v>9585</v>
      </c>
      <c r="D610" s="8" t="s">
        <v>2771</v>
      </c>
      <c r="E610" s="9" t="s">
        <v>2772</v>
      </c>
      <c r="F610" s="8"/>
      <c r="G610" s="9"/>
      <c r="H610" s="8" t="s">
        <v>8386</v>
      </c>
      <c r="I610" s="8" t="s">
        <v>8387</v>
      </c>
      <c r="J610" s="8"/>
      <c r="K610" s="8"/>
      <c r="L610" s="8"/>
      <c r="M610" s="8"/>
      <c r="N610" s="8"/>
      <c r="O610" s="8"/>
      <c r="P610" s="8"/>
      <c r="Q610" s="8"/>
      <c r="R610" s="8"/>
      <c r="S610" s="8"/>
    </row>
    <row r="611" spans="1:19" ht="15.75" customHeight="1">
      <c r="A611" s="8">
        <v>232790087</v>
      </c>
      <c r="B611" s="8" t="s">
        <v>9586</v>
      </c>
      <c r="C611" s="8" t="s">
        <v>9587</v>
      </c>
      <c r="D611" s="8" t="s">
        <v>2775</v>
      </c>
      <c r="E611" s="9" t="s">
        <v>2776</v>
      </c>
      <c r="F611" s="8"/>
      <c r="G611" s="9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</row>
    <row r="612" spans="1:19" ht="15.75" customHeight="1">
      <c r="A612" s="8">
        <v>232799651</v>
      </c>
      <c r="B612" s="8" t="s">
        <v>9588</v>
      </c>
      <c r="C612" s="8" t="s">
        <v>9589</v>
      </c>
      <c r="D612" s="8" t="s">
        <v>2779</v>
      </c>
      <c r="E612" s="9" t="s">
        <v>2780</v>
      </c>
      <c r="F612" s="8"/>
      <c r="G612" s="9"/>
      <c r="H612" s="8" t="s">
        <v>8158</v>
      </c>
      <c r="I612" s="8" t="s">
        <v>8387</v>
      </c>
      <c r="J612" s="8"/>
      <c r="K612" s="8"/>
      <c r="L612" s="8"/>
      <c r="M612" s="8"/>
      <c r="N612" s="8"/>
      <c r="O612" s="8"/>
      <c r="P612" s="8"/>
      <c r="Q612" s="8"/>
      <c r="R612" s="8"/>
      <c r="S612" s="8"/>
    </row>
    <row r="613" spans="1:19" ht="15.75" customHeight="1">
      <c r="A613" s="8">
        <v>232813759</v>
      </c>
      <c r="B613" s="8" t="s">
        <v>8581</v>
      </c>
      <c r="C613" s="8" t="s">
        <v>9590</v>
      </c>
      <c r="D613" s="8" t="s">
        <v>2783</v>
      </c>
      <c r="E613" s="9" t="s">
        <v>2784</v>
      </c>
      <c r="F613" s="8" t="s">
        <v>9591</v>
      </c>
      <c r="G613" s="9">
        <v>33</v>
      </c>
      <c r="H613" s="8" t="s">
        <v>9592</v>
      </c>
      <c r="I613" s="8" t="s">
        <v>9593</v>
      </c>
      <c r="J613" s="8"/>
      <c r="K613" s="8"/>
      <c r="L613" s="8"/>
      <c r="M613" s="8"/>
      <c r="N613" s="8"/>
      <c r="O613" s="8"/>
      <c r="P613" s="8"/>
      <c r="Q613" s="8"/>
      <c r="R613" s="8"/>
      <c r="S613" s="8"/>
    </row>
    <row r="614" spans="1:19" ht="15.75" customHeight="1">
      <c r="A614" s="8">
        <v>232819161</v>
      </c>
      <c r="B614" s="8" t="s">
        <v>8338</v>
      </c>
      <c r="C614" s="8" t="s">
        <v>9594</v>
      </c>
      <c r="D614" s="8" t="s">
        <v>2787</v>
      </c>
      <c r="E614" s="9" t="s">
        <v>2788</v>
      </c>
      <c r="F614" s="8"/>
      <c r="G614" s="9"/>
      <c r="H614" s="8" t="s">
        <v>8164</v>
      </c>
      <c r="I614" s="8" t="s">
        <v>8486</v>
      </c>
      <c r="J614" s="8"/>
      <c r="K614" s="8"/>
      <c r="L614" s="8"/>
      <c r="M614" s="8"/>
      <c r="N614" s="8"/>
      <c r="O614" s="8"/>
      <c r="P614" s="8"/>
      <c r="Q614" s="8"/>
      <c r="R614" s="8"/>
      <c r="S614" s="8"/>
    </row>
    <row r="615" spans="1:19" ht="15.75" customHeight="1">
      <c r="A615" s="8">
        <v>232821797</v>
      </c>
      <c r="B615" s="8" t="s">
        <v>9197</v>
      </c>
      <c r="C615" s="8" t="s">
        <v>9595</v>
      </c>
      <c r="D615" s="8" t="s">
        <v>2791</v>
      </c>
      <c r="E615" s="9">
        <v>79897443977</v>
      </c>
      <c r="F615" s="8"/>
      <c r="G615" s="9"/>
      <c r="H615" s="8" t="s">
        <v>8164</v>
      </c>
      <c r="I615" s="8" t="s">
        <v>8214</v>
      </c>
      <c r="J615" s="8"/>
      <c r="K615" s="8"/>
      <c r="L615" s="8"/>
      <c r="M615" s="8"/>
      <c r="N615" s="8"/>
      <c r="O615" s="8"/>
      <c r="P615" s="8"/>
      <c r="Q615" s="8"/>
      <c r="R615" s="8"/>
      <c r="S615" s="8"/>
    </row>
    <row r="616" spans="1:19" ht="15.75" customHeight="1">
      <c r="A616" s="8">
        <v>232835858</v>
      </c>
      <c r="B616" s="8" t="s">
        <v>8234</v>
      </c>
      <c r="C616" s="8" t="s">
        <v>9089</v>
      </c>
      <c r="D616" s="8" t="s">
        <v>2794</v>
      </c>
      <c r="E616" s="9" t="s">
        <v>2795</v>
      </c>
      <c r="F616" s="8" t="s">
        <v>9596</v>
      </c>
      <c r="G616" s="9">
        <v>36</v>
      </c>
      <c r="H616" s="8" t="s">
        <v>8222</v>
      </c>
      <c r="I616" s="8" t="s">
        <v>8412</v>
      </c>
      <c r="J616" s="8"/>
      <c r="K616" s="8"/>
      <c r="L616" s="8"/>
      <c r="M616" s="8"/>
      <c r="N616" s="8"/>
      <c r="O616" s="8"/>
      <c r="P616" s="8"/>
      <c r="Q616" s="8"/>
      <c r="R616" s="8"/>
      <c r="S616" s="8"/>
    </row>
    <row r="617" spans="1:19" ht="15.75" customHeight="1">
      <c r="A617" s="8">
        <v>232837929</v>
      </c>
      <c r="B617" s="8" t="s">
        <v>9597</v>
      </c>
      <c r="C617" s="8" t="s">
        <v>9598</v>
      </c>
      <c r="D617" s="8" t="s">
        <v>2798</v>
      </c>
      <c r="E617" s="9" t="s">
        <v>2799</v>
      </c>
      <c r="F617" s="8" t="s">
        <v>9599</v>
      </c>
      <c r="G617" s="9">
        <v>42</v>
      </c>
      <c r="H617" s="8" t="s">
        <v>8832</v>
      </c>
      <c r="I617" s="8" t="s">
        <v>9600</v>
      </c>
      <c r="J617" s="8"/>
      <c r="K617" s="8"/>
      <c r="L617" s="8"/>
      <c r="M617" s="8"/>
      <c r="N617" s="8"/>
      <c r="O617" s="8"/>
      <c r="P617" s="8"/>
      <c r="Q617" s="8"/>
      <c r="R617" s="8"/>
      <c r="S617" s="8"/>
    </row>
    <row r="618" spans="1:19" ht="15.75" customHeight="1">
      <c r="A618" s="8">
        <v>232848139</v>
      </c>
      <c r="B618" s="8" t="s">
        <v>9505</v>
      </c>
      <c r="C618" s="8" t="s">
        <v>9601</v>
      </c>
      <c r="D618" s="8" t="s">
        <v>2802</v>
      </c>
      <c r="E618" s="9" t="s">
        <v>2803</v>
      </c>
      <c r="F618" s="8"/>
      <c r="G618" s="9"/>
      <c r="H618" s="8" t="s">
        <v>8267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</row>
    <row r="619" spans="1:19" ht="15.75" customHeight="1">
      <c r="A619" s="8">
        <v>232848271</v>
      </c>
      <c r="B619" s="8" t="s">
        <v>9602</v>
      </c>
      <c r="C619" s="8" t="s">
        <v>9603</v>
      </c>
      <c r="D619" s="8" t="s">
        <v>2806</v>
      </c>
      <c r="E619" s="9">
        <v>868253103</v>
      </c>
      <c r="F619" s="8" t="s">
        <v>9604</v>
      </c>
      <c r="G619" s="9">
        <v>41</v>
      </c>
      <c r="H619" s="8" t="s">
        <v>8386</v>
      </c>
      <c r="I619" s="8" t="s">
        <v>8387</v>
      </c>
      <c r="J619" s="8"/>
      <c r="K619" s="8"/>
      <c r="L619" s="8"/>
      <c r="M619" s="8"/>
      <c r="N619" s="8"/>
      <c r="O619" s="8"/>
      <c r="P619" s="8"/>
      <c r="Q619" s="8"/>
      <c r="R619" s="8"/>
      <c r="S619" s="8"/>
    </row>
    <row r="620" spans="1:19" ht="15.75" customHeight="1">
      <c r="A620" s="8">
        <v>232849214</v>
      </c>
      <c r="B620" s="8" t="s">
        <v>9605</v>
      </c>
      <c r="C620" s="8" t="s">
        <v>9606</v>
      </c>
      <c r="D620" s="8" t="s">
        <v>2809</v>
      </c>
      <c r="E620" s="9">
        <v>860446105</v>
      </c>
      <c r="F620" s="8"/>
      <c r="G620" s="9"/>
      <c r="H620" s="8" t="s">
        <v>8386</v>
      </c>
      <c r="I620" s="8" t="s">
        <v>8387</v>
      </c>
      <c r="J620" s="8"/>
      <c r="K620" s="8"/>
      <c r="L620" s="8"/>
      <c r="M620" s="8"/>
      <c r="N620" s="8"/>
      <c r="O620" s="8"/>
      <c r="P620" s="8"/>
      <c r="Q620" s="8"/>
      <c r="R620" s="8"/>
      <c r="S620" s="8"/>
    </row>
    <row r="621" spans="1:19" ht="15.75" customHeight="1">
      <c r="A621" s="8">
        <v>232853323</v>
      </c>
      <c r="B621" s="8" t="s">
        <v>9607</v>
      </c>
      <c r="C621" s="8" t="s">
        <v>9607</v>
      </c>
      <c r="D621" s="8" t="s">
        <v>2812</v>
      </c>
      <c r="E621" s="9" t="s">
        <v>2813</v>
      </c>
      <c r="F621" s="8"/>
      <c r="G621" s="9"/>
      <c r="H621" s="8" t="s">
        <v>8164</v>
      </c>
      <c r="I621" s="8" t="s">
        <v>8165</v>
      </c>
      <c r="J621" s="8"/>
      <c r="K621" s="8"/>
      <c r="L621" s="8"/>
      <c r="M621" s="8"/>
      <c r="N621" s="8"/>
      <c r="O621" s="8"/>
      <c r="P621" s="8"/>
      <c r="Q621" s="8"/>
      <c r="R621" s="8"/>
      <c r="S621" s="8"/>
    </row>
    <row r="622" spans="1:19" ht="15.75" customHeight="1">
      <c r="A622" s="8">
        <v>232853876</v>
      </c>
      <c r="B622" s="8" t="s">
        <v>8490</v>
      </c>
      <c r="C622" s="8" t="s">
        <v>9464</v>
      </c>
      <c r="D622" s="8" t="s">
        <v>9608</v>
      </c>
      <c r="E622" s="9" t="s">
        <v>2278</v>
      </c>
      <c r="F622" s="8"/>
      <c r="G622" s="9"/>
      <c r="H622" s="8" t="s">
        <v>8463</v>
      </c>
      <c r="I622" s="8" t="s">
        <v>8464</v>
      </c>
      <c r="J622" s="8"/>
      <c r="K622" s="8"/>
      <c r="L622" s="8"/>
      <c r="M622" s="8"/>
      <c r="N622" s="8"/>
      <c r="O622" s="8"/>
      <c r="P622" s="8"/>
      <c r="Q622" s="8"/>
      <c r="R622" s="8"/>
      <c r="S622" s="8"/>
    </row>
    <row r="623" spans="1:19" ht="15.75" customHeight="1">
      <c r="A623" s="8">
        <v>232856107</v>
      </c>
      <c r="B623" s="8" t="s">
        <v>7399</v>
      </c>
      <c r="C623" s="8" t="s">
        <v>9609</v>
      </c>
      <c r="D623" s="8" t="s">
        <v>2816</v>
      </c>
      <c r="E623" s="9">
        <v>79051306006</v>
      </c>
      <c r="F623" s="8"/>
      <c r="G623" s="9"/>
      <c r="H623" s="8" t="s">
        <v>8164</v>
      </c>
      <c r="I623" s="8" t="s">
        <v>9610</v>
      </c>
      <c r="J623" s="8"/>
      <c r="K623" s="8"/>
      <c r="L623" s="8"/>
      <c r="M623" s="8"/>
      <c r="N623" s="8"/>
      <c r="O623" s="8"/>
      <c r="P623" s="8"/>
      <c r="Q623" s="8"/>
      <c r="R623" s="8"/>
      <c r="S623" s="8"/>
    </row>
    <row r="624" spans="1:19" ht="15.75" customHeight="1">
      <c r="A624" s="8">
        <v>232862909</v>
      </c>
      <c r="B624" s="8" t="s">
        <v>9611</v>
      </c>
      <c r="C624" s="8" t="s">
        <v>9612</v>
      </c>
      <c r="D624" s="8" t="s">
        <v>2819</v>
      </c>
      <c r="E624" s="9" t="s">
        <v>2820</v>
      </c>
      <c r="F624" s="8"/>
      <c r="G624" s="9"/>
      <c r="H624" s="8" t="s">
        <v>8463</v>
      </c>
      <c r="I624" s="8" t="s">
        <v>8464</v>
      </c>
      <c r="J624" s="8"/>
      <c r="K624" s="8"/>
      <c r="L624" s="8"/>
      <c r="M624" s="8"/>
      <c r="N624" s="8"/>
      <c r="O624" s="8"/>
      <c r="P624" s="8"/>
      <c r="Q624" s="8"/>
      <c r="R624" s="8"/>
      <c r="S624" s="8"/>
    </row>
    <row r="625" spans="1:19" ht="15.75" customHeight="1">
      <c r="A625" s="8">
        <v>232864579</v>
      </c>
      <c r="B625" s="8" t="s">
        <v>8277</v>
      </c>
      <c r="C625" s="8" t="s">
        <v>9613</v>
      </c>
      <c r="D625" s="8" t="s">
        <v>2823</v>
      </c>
      <c r="E625" s="9" t="s">
        <v>2824</v>
      </c>
      <c r="F625" s="8"/>
      <c r="G625" s="9"/>
      <c r="H625" s="8" t="s">
        <v>8183</v>
      </c>
      <c r="I625" s="8" t="s">
        <v>9614</v>
      </c>
      <c r="J625" s="8"/>
      <c r="K625" s="8"/>
      <c r="L625" s="8"/>
      <c r="M625" s="8"/>
      <c r="N625" s="8"/>
      <c r="O625" s="8"/>
      <c r="P625" s="8"/>
      <c r="Q625" s="8"/>
      <c r="R625" s="8"/>
      <c r="S625" s="8"/>
    </row>
    <row r="626" spans="1:19" ht="15.75" customHeight="1">
      <c r="A626" s="8">
        <v>232868557</v>
      </c>
      <c r="B626" s="8" t="s">
        <v>8206</v>
      </c>
      <c r="C626" s="8" t="s">
        <v>9615</v>
      </c>
      <c r="D626" s="8" t="s">
        <v>2827</v>
      </c>
      <c r="E626" s="9" t="s">
        <v>2828</v>
      </c>
      <c r="F626" s="8" t="s">
        <v>9616</v>
      </c>
      <c r="G626" s="9">
        <v>51</v>
      </c>
      <c r="H626" s="8" t="s">
        <v>8164</v>
      </c>
      <c r="I626" s="8" t="s">
        <v>8165</v>
      </c>
      <c r="J626" s="8"/>
      <c r="K626" s="8"/>
      <c r="L626" s="8"/>
      <c r="M626" s="8"/>
      <c r="N626" s="8"/>
      <c r="O626" s="8"/>
      <c r="P626" s="8"/>
      <c r="Q626" s="8"/>
      <c r="R626" s="8"/>
      <c r="S626" s="8"/>
    </row>
    <row r="627" spans="1:19" ht="15.75" customHeight="1">
      <c r="A627" s="8">
        <v>232882414</v>
      </c>
      <c r="B627" s="8" t="s">
        <v>9617</v>
      </c>
      <c r="C627" s="8" t="s">
        <v>9618</v>
      </c>
      <c r="D627" s="8" t="s">
        <v>2831</v>
      </c>
      <c r="E627" s="9" t="s">
        <v>2832</v>
      </c>
      <c r="F627" s="8"/>
      <c r="G627" s="9"/>
      <c r="H627" s="8" t="s">
        <v>9153</v>
      </c>
      <c r="I627" s="8" t="s">
        <v>9154</v>
      </c>
      <c r="J627" s="8"/>
      <c r="K627" s="8"/>
      <c r="L627" s="8"/>
      <c r="M627" s="8"/>
      <c r="N627" s="8"/>
      <c r="O627" s="8"/>
      <c r="P627" s="8"/>
      <c r="Q627" s="8"/>
      <c r="R627" s="8"/>
      <c r="S627" s="8"/>
    </row>
    <row r="628" spans="1:19" ht="15.75" customHeight="1">
      <c r="A628" s="8">
        <v>232896631</v>
      </c>
      <c r="B628" s="8" t="s">
        <v>9155</v>
      </c>
      <c r="C628" s="8" t="s">
        <v>9619</v>
      </c>
      <c r="D628" s="8" t="s">
        <v>2835</v>
      </c>
      <c r="E628" s="9" t="s">
        <v>2836</v>
      </c>
      <c r="F628" s="8"/>
      <c r="G628" s="9"/>
      <c r="H628" s="8" t="s">
        <v>8164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</row>
    <row r="629" spans="1:19" ht="15.75" customHeight="1">
      <c r="A629" s="8">
        <v>232897468</v>
      </c>
      <c r="B629" s="8" t="s">
        <v>7919</v>
      </c>
      <c r="C629" s="8" t="s">
        <v>9620</v>
      </c>
      <c r="D629" s="8" t="s">
        <v>2839</v>
      </c>
      <c r="E629" s="9" t="s">
        <v>2840</v>
      </c>
      <c r="F629" s="8" t="s">
        <v>9621</v>
      </c>
      <c r="G629" s="9">
        <v>63</v>
      </c>
      <c r="H629" s="8" t="s">
        <v>8164</v>
      </c>
      <c r="I629" s="8" t="s">
        <v>8536</v>
      </c>
      <c r="J629" s="8"/>
      <c r="K629" s="8"/>
      <c r="L629" s="8"/>
      <c r="M629" s="8"/>
      <c r="N629" s="8"/>
      <c r="O629" s="8"/>
      <c r="P629" s="8"/>
      <c r="Q629" s="8"/>
      <c r="R629" s="8"/>
      <c r="S629" s="8"/>
    </row>
    <row r="630" spans="1:19" ht="15.75" customHeight="1">
      <c r="A630" s="8">
        <v>232898046</v>
      </c>
      <c r="B630" s="8" t="s">
        <v>9562</v>
      </c>
      <c r="C630" s="8" t="s">
        <v>9622</v>
      </c>
      <c r="D630" s="8" t="s">
        <v>2843</v>
      </c>
      <c r="E630" s="9">
        <v>380933357778</v>
      </c>
      <c r="F630" s="8"/>
      <c r="G630" s="9"/>
      <c r="H630" s="8" t="s">
        <v>8158</v>
      </c>
      <c r="I630" s="8" t="s">
        <v>9623</v>
      </c>
      <c r="J630" s="8"/>
      <c r="K630" s="8"/>
      <c r="L630" s="8"/>
      <c r="M630" s="8"/>
      <c r="N630" s="8"/>
      <c r="O630" s="8"/>
      <c r="P630" s="8"/>
      <c r="Q630" s="8"/>
      <c r="R630" s="8"/>
      <c r="S630" s="8"/>
    </row>
    <row r="631" spans="1:19" ht="15.75" customHeight="1">
      <c r="A631" s="8">
        <v>232902569</v>
      </c>
      <c r="B631" s="8" t="s">
        <v>9624</v>
      </c>
      <c r="C631" s="8" t="s">
        <v>9625</v>
      </c>
      <c r="D631" s="8" t="s">
        <v>2846</v>
      </c>
      <c r="E631" s="9" t="s">
        <v>2847</v>
      </c>
      <c r="F631" s="8"/>
      <c r="G631" s="9"/>
      <c r="H631" s="8" t="s">
        <v>8158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</row>
    <row r="632" spans="1:19" ht="15.75" customHeight="1">
      <c r="A632" s="8">
        <v>232923572</v>
      </c>
      <c r="B632" s="8" t="s">
        <v>8197</v>
      </c>
      <c r="C632" s="8" t="s">
        <v>9626</v>
      </c>
      <c r="D632" s="8" t="s">
        <v>2850</v>
      </c>
      <c r="E632" s="9" t="s">
        <v>2851</v>
      </c>
      <c r="F632" s="8"/>
      <c r="G632" s="9"/>
      <c r="H632" s="8" t="s">
        <v>8267</v>
      </c>
      <c r="I632" s="8" t="s">
        <v>8805</v>
      </c>
      <c r="J632" s="8"/>
      <c r="K632" s="8"/>
      <c r="L632" s="8"/>
      <c r="M632" s="8"/>
      <c r="N632" s="8"/>
      <c r="O632" s="8"/>
      <c r="P632" s="8"/>
      <c r="Q632" s="8"/>
      <c r="R632" s="8"/>
      <c r="S632" s="8"/>
    </row>
    <row r="633" spans="1:19" ht="15.75" customHeight="1">
      <c r="A633" s="8">
        <v>232923912</v>
      </c>
      <c r="B633" s="8" t="s">
        <v>8434</v>
      </c>
      <c r="C633" s="8" t="s">
        <v>9627</v>
      </c>
      <c r="D633" s="8" t="s">
        <v>2854</v>
      </c>
      <c r="E633" s="9" t="s">
        <v>2855</v>
      </c>
      <c r="F633" s="8" t="s">
        <v>9628</v>
      </c>
      <c r="G633" s="9">
        <v>57</v>
      </c>
      <c r="H633" s="8" t="s">
        <v>8164</v>
      </c>
      <c r="I633" s="8" t="s">
        <v>9629</v>
      </c>
      <c r="J633" s="8"/>
      <c r="K633" s="8"/>
      <c r="L633" s="8"/>
      <c r="M633" s="8"/>
      <c r="N633" s="8"/>
      <c r="O633" s="8"/>
      <c r="P633" s="8"/>
      <c r="Q633" s="8"/>
      <c r="R633" s="8"/>
      <c r="S633" s="8"/>
    </row>
    <row r="634" spans="1:19" ht="15.75" customHeight="1">
      <c r="A634" s="8">
        <v>232925182</v>
      </c>
      <c r="B634" s="8" t="s">
        <v>9630</v>
      </c>
      <c r="C634" s="8" t="s">
        <v>9631</v>
      </c>
      <c r="D634" s="8" t="s">
        <v>2858</v>
      </c>
      <c r="E634" s="9" t="s">
        <v>2859</v>
      </c>
      <c r="F634" s="8"/>
      <c r="G634" s="9"/>
      <c r="H634" s="8" t="s">
        <v>8463</v>
      </c>
      <c r="I634" s="8" t="s">
        <v>8464</v>
      </c>
      <c r="J634" s="8"/>
      <c r="K634" s="8"/>
      <c r="L634" s="8"/>
      <c r="M634" s="8"/>
      <c r="N634" s="8"/>
      <c r="O634" s="8"/>
      <c r="P634" s="8"/>
      <c r="Q634" s="8"/>
      <c r="R634" s="8"/>
      <c r="S634" s="8"/>
    </row>
    <row r="635" spans="1:19" ht="15.75" customHeight="1">
      <c r="A635" s="8">
        <v>232953827</v>
      </c>
      <c r="B635" s="8" t="s">
        <v>9632</v>
      </c>
      <c r="C635" s="8" t="s">
        <v>9474</v>
      </c>
      <c r="D635" s="8" t="s">
        <v>2861</v>
      </c>
      <c r="E635" s="9">
        <v>79151154097</v>
      </c>
      <c r="F635" s="8"/>
      <c r="G635" s="9"/>
      <c r="H635" s="8" t="s">
        <v>8164</v>
      </c>
      <c r="I635" s="8" t="s">
        <v>8191</v>
      </c>
      <c r="J635" s="8"/>
      <c r="K635" s="8"/>
      <c r="L635" s="8"/>
      <c r="M635" s="8"/>
      <c r="N635" s="8"/>
      <c r="O635" s="8"/>
      <c r="P635" s="8"/>
      <c r="Q635" s="8"/>
      <c r="R635" s="8"/>
      <c r="S635" s="8"/>
    </row>
    <row r="636" spans="1:19" ht="15.75" customHeight="1">
      <c r="A636" s="8">
        <v>232954260</v>
      </c>
      <c r="B636" s="8" t="s">
        <v>8197</v>
      </c>
      <c r="C636" s="8" t="s">
        <v>9633</v>
      </c>
      <c r="D636" s="8" t="s">
        <v>2864</v>
      </c>
      <c r="E636" s="9" t="s">
        <v>2865</v>
      </c>
      <c r="F636" s="8"/>
      <c r="G636" s="9"/>
      <c r="H636" s="8" t="s">
        <v>8183</v>
      </c>
      <c r="I636" s="8" t="s">
        <v>8337</v>
      </c>
      <c r="J636" s="8"/>
      <c r="K636" s="8"/>
      <c r="L636" s="8"/>
      <c r="M636" s="8"/>
      <c r="N636" s="8"/>
      <c r="O636" s="8"/>
      <c r="P636" s="8"/>
      <c r="Q636" s="8"/>
      <c r="R636" s="8"/>
      <c r="S636" s="8"/>
    </row>
    <row r="637" spans="1:19" ht="15.75" customHeight="1">
      <c r="A637" s="8">
        <v>232959080</v>
      </c>
      <c r="B637" s="8" t="s">
        <v>7399</v>
      </c>
      <c r="C637" s="8" t="s">
        <v>9634</v>
      </c>
      <c r="D637" s="8" t="s">
        <v>9635</v>
      </c>
      <c r="E637" s="9" t="s">
        <v>9636</v>
      </c>
      <c r="F637" s="8"/>
      <c r="G637" s="9"/>
      <c r="H637" s="8" t="s">
        <v>8719</v>
      </c>
      <c r="I637" s="8" t="s">
        <v>9637</v>
      </c>
      <c r="J637" s="8"/>
      <c r="K637" s="8"/>
      <c r="L637" s="8"/>
      <c r="M637" s="8"/>
      <c r="N637" s="8"/>
      <c r="O637" s="8"/>
      <c r="P637" s="8"/>
      <c r="Q637" s="8"/>
      <c r="R637" s="8"/>
      <c r="S637" s="8"/>
    </row>
    <row r="638" spans="1:19" ht="15.75" customHeight="1">
      <c r="A638" s="8">
        <v>232959610</v>
      </c>
      <c r="B638" s="8" t="s">
        <v>9638</v>
      </c>
      <c r="C638" s="8" t="s">
        <v>9639</v>
      </c>
      <c r="D638" s="8" t="s">
        <v>2868</v>
      </c>
      <c r="E638" s="9" t="s">
        <v>2869</v>
      </c>
      <c r="F638" s="8"/>
      <c r="G638" s="9"/>
      <c r="H638" s="8" t="s">
        <v>8164</v>
      </c>
      <c r="I638" s="8" t="s">
        <v>8467</v>
      </c>
      <c r="J638" s="8"/>
      <c r="K638" s="8"/>
      <c r="L638" s="8"/>
      <c r="M638" s="8"/>
      <c r="N638" s="8"/>
      <c r="O638" s="8"/>
      <c r="P638" s="8"/>
      <c r="Q638" s="8"/>
      <c r="R638" s="8"/>
      <c r="S638" s="8"/>
    </row>
    <row r="639" spans="1:19" ht="15.75" customHeight="1">
      <c r="A639" s="8">
        <v>232992479</v>
      </c>
      <c r="B639" s="8" t="s">
        <v>9640</v>
      </c>
      <c r="C639" s="8" t="s">
        <v>9641</v>
      </c>
      <c r="D639" s="8" t="s">
        <v>9642</v>
      </c>
      <c r="E639" s="9" t="s">
        <v>9643</v>
      </c>
      <c r="F639" s="8"/>
      <c r="G639" s="9"/>
      <c r="H639" s="8" t="s">
        <v>8241</v>
      </c>
      <c r="I639" s="8" t="s">
        <v>8671</v>
      </c>
      <c r="J639" s="8"/>
      <c r="K639" s="8"/>
      <c r="L639" s="8"/>
      <c r="M639" s="8"/>
      <c r="N639" s="8"/>
      <c r="O639" s="8"/>
      <c r="P639" s="8"/>
      <c r="Q639" s="8"/>
      <c r="R639" s="8"/>
      <c r="S639" s="8"/>
    </row>
    <row r="640" spans="1:19" ht="15.75" customHeight="1">
      <c r="A640" s="8">
        <v>233016718</v>
      </c>
      <c r="B640" s="8" t="s">
        <v>8338</v>
      </c>
      <c r="C640" s="8" t="s">
        <v>9644</v>
      </c>
      <c r="D640" s="8" t="s">
        <v>2875</v>
      </c>
      <c r="E640" s="9" t="s">
        <v>2876</v>
      </c>
      <c r="F640" s="8"/>
      <c r="G640" s="9"/>
      <c r="H640" s="8" t="s">
        <v>8164</v>
      </c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</row>
    <row r="641" spans="1:19" ht="15.75" customHeight="1">
      <c r="A641" s="8">
        <v>233022682</v>
      </c>
      <c r="B641" s="8" t="s">
        <v>9645</v>
      </c>
      <c r="C641" s="8" t="s">
        <v>9645</v>
      </c>
      <c r="D641" s="8" t="s">
        <v>2879</v>
      </c>
      <c r="E641" s="9" t="s">
        <v>2880</v>
      </c>
      <c r="F641" s="8"/>
      <c r="G641" s="9"/>
      <c r="H641" s="8" t="s">
        <v>9646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</row>
    <row r="642" spans="1:19" ht="15.75" customHeight="1">
      <c r="A642" s="8">
        <v>233023935</v>
      </c>
      <c r="B642" s="8" t="s">
        <v>8773</v>
      </c>
      <c r="C642" s="8" t="s">
        <v>9647</v>
      </c>
      <c r="D642" s="8" t="s">
        <v>2883</v>
      </c>
      <c r="E642" s="9" t="s">
        <v>2884</v>
      </c>
      <c r="F642" s="8"/>
      <c r="G642" s="9"/>
      <c r="H642" s="8" t="s">
        <v>8241</v>
      </c>
      <c r="I642" s="8" t="s">
        <v>9648</v>
      </c>
      <c r="J642" s="8"/>
      <c r="K642" s="8"/>
      <c r="L642" s="8"/>
      <c r="M642" s="8"/>
      <c r="N642" s="8"/>
      <c r="O642" s="8"/>
      <c r="P642" s="8"/>
      <c r="Q642" s="8"/>
      <c r="R642" s="8"/>
      <c r="S642" s="8"/>
    </row>
    <row r="643" spans="1:19" ht="15.75" customHeight="1">
      <c r="A643" s="8">
        <v>233040497</v>
      </c>
      <c r="B643" s="8" t="s">
        <v>8325</v>
      </c>
      <c r="C643" s="8" t="s">
        <v>9649</v>
      </c>
      <c r="D643" s="8" t="s">
        <v>2887</v>
      </c>
      <c r="E643" s="9">
        <v>79119613492</v>
      </c>
      <c r="F643" s="8"/>
      <c r="G643" s="9"/>
      <c r="H643" s="8" t="s">
        <v>8164</v>
      </c>
      <c r="I643" s="8" t="s">
        <v>8208</v>
      </c>
      <c r="J643" s="8"/>
      <c r="K643" s="8"/>
      <c r="L643" s="8"/>
      <c r="M643" s="8"/>
      <c r="N643" s="8"/>
      <c r="O643" s="8"/>
      <c r="P643" s="8"/>
      <c r="Q643" s="8"/>
      <c r="R643" s="8"/>
      <c r="S643" s="8"/>
    </row>
    <row r="644" spans="1:19" ht="15.75" customHeight="1">
      <c r="A644" s="8">
        <v>233047304</v>
      </c>
      <c r="B644" s="8" t="s">
        <v>8304</v>
      </c>
      <c r="C644" s="8" t="s">
        <v>9650</v>
      </c>
      <c r="D644" s="8" t="s">
        <v>2890</v>
      </c>
      <c r="E644" s="9" t="s">
        <v>2891</v>
      </c>
      <c r="F644" s="8"/>
      <c r="G644" s="9"/>
      <c r="H644" s="8" t="s">
        <v>8164</v>
      </c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</row>
    <row r="645" spans="1:19" ht="15.75" customHeight="1">
      <c r="A645" s="8">
        <v>233051333</v>
      </c>
      <c r="B645" s="8" t="s">
        <v>8206</v>
      </c>
      <c r="C645" s="8" t="s">
        <v>9651</v>
      </c>
      <c r="D645" s="8" t="s">
        <v>2894</v>
      </c>
      <c r="E645" s="9">
        <v>79226667754</v>
      </c>
      <c r="F645" s="8"/>
      <c r="G645" s="9"/>
      <c r="H645" s="8" t="s">
        <v>8164</v>
      </c>
      <c r="I645" s="8" t="s">
        <v>8165</v>
      </c>
      <c r="J645" s="8"/>
      <c r="K645" s="8"/>
      <c r="L645" s="8"/>
      <c r="M645" s="8"/>
      <c r="N645" s="8"/>
      <c r="O645" s="8"/>
      <c r="P645" s="8"/>
      <c r="Q645" s="8"/>
      <c r="R645" s="8"/>
      <c r="S645" s="8"/>
    </row>
    <row r="646" spans="1:19" ht="15.75" customHeight="1">
      <c r="A646" s="8">
        <v>233072562</v>
      </c>
      <c r="B646" s="8" t="s">
        <v>7131</v>
      </c>
      <c r="C646" s="8" t="s">
        <v>8331</v>
      </c>
      <c r="D646" s="8" t="s">
        <v>9652</v>
      </c>
      <c r="E646" s="9" t="s">
        <v>9653</v>
      </c>
      <c r="F646" s="8"/>
      <c r="G646" s="9"/>
      <c r="H646" s="8" t="s">
        <v>8164</v>
      </c>
      <c r="I646" s="8" t="s">
        <v>9227</v>
      </c>
      <c r="J646" s="8" t="s">
        <v>8735</v>
      </c>
      <c r="K646" s="8"/>
      <c r="L646" s="8"/>
      <c r="M646" s="8"/>
      <c r="N646" s="8"/>
      <c r="O646" s="8"/>
      <c r="P646" s="8"/>
      <c r="Q646" s="8"/>
      <c r="R646" s="8"/>
      <c r="S646" s="8"/>
    </row>
    <row r="647" spans="1:19" ht="15.75" customHeight="1">
      <c r="A647" s="8">
        <v>233073391</v>
      </c>
      <c r="B647" s="8" t="s">
        <v>8866</v>
      </c>
      <c r="C647" s="8" t="s">
        <v>9654</v>
      </c>
      <c r="D647" s="8" t="s">
        <v>2898</v>
      </c>
      <c r="E647" s="9" t="s">
        <v>2899</v>
      </c>
      <c r="F647" s="8"/>
      <c r="G647" s="9"/>
      <c r="H647" s="8" t="s">
        <v>8222</v>
      </c>
      <c r="I647" s="8" t="s">
        <v>8412</v>
      </c>
      <c r="J647" s="8"/>
      <c r="K647" s="8"/>
      <c r="L647" s="8"/>
      <c r="M647" s="8"/>
      <c r="N647" s="8"/>
      <c r="O647" s="8"/>
      <c r="P647" s="8"/>
      <c r="Q647" s="8"/>
      <c r="R647" s="8"/>
      <c r="S647" s="8"/>
    </row>
    <row r="648" spans="1:19" ht="15.75" customHeight="1">
      <c r="A648" s="8">
        <v>233075916</v>
      </c>
      <c r="B648" s="8" t="s">
        <v>8304</v>
      </c>
      <c r="C648" s="8" t="s">
        <v>9655</v>
      </c>
      <c r="D648" s="8" t="s">
        <v>2902</v>
      </c>
      <c r="E648" s="9">
        <v>79534152514</v>
      </c>
      <c r="F648" s="8"/>
      <c r="G648" s="9"/>
      <c r="H648" s="8" t="s">
        <v>8164</v>
      </c>
      <c r="I648" s="8" t="s">
        <v>8165</v>
      </c>
      <c r="J648" s="8"/>
      <c r="K648" s="8"/>
      <c r="L648" s="8"/>
      <c r="M648" s="8"/>
      <c r="N648" s="8"/>
      <c r="O648" s="8"/>
      <c r="P648" s="8"/>
      <c r="Q648" s="8"/>
      <c r="R648" s="8"/>
      <c r="S648" s="8"/>
    </row>
    <row r="649" spans="1:19" ht="15.75" customHeight="1">
      <c r="A649" s="8">
        <v>233078949</v>
      </c>
      <c r="B649" s="8" t="s">
        <v>8304</v>
      </c>
      <c r="C649" s="8" t="s">
        <v>9656</v>
      </c>
      <c r="D649" s="8" t="s">
        <v>2905</v>
      </c>
      <c r="E649" s="9" t="s">
        <v>2906</v>
      </c>
      <c r="F649" s="8"/>
      <c r="G649" s="9"/>
      <c r="H649" s="8" t="s">
        <v>8164</v>
      </c>
      <c r="I649" s="8" t="s">
        <v>8165</v>
      </c>
      <c r="J649" s="8"/>
      <c r="K649" s="8"/>
      <c r="L649" s="8"/>
      <c r="M649" s="8"/>
      <c r="N649" s="8"/>
      <c r="O649" s="8"/>
      <c r="P649" s="8"/>
      <c r="Q649" s="8"/>
      <c r="R649" s="8"/>
      <c r="S649" s="8"/>
    </row>
    <row r="650" spans="1:19" ht="15.75" customHeight="1">
      <c r="A650" s="8">
        <v>233087870</v>
      </c>
      <c r="B650" s="8" t="s">
        <v>9657</v>
      </c>
      <c r="C650" s="8" t="s">
        <v>9658</v>
      </c>
      <c r="D650" s="8" t="s">
        <v>2909</v>
      </c>
      <c r="E650" s="9" t="s">
        <v>2910</v>
      </c>
      <c r="F650" s="8" t="s">
        <v>9659</v>
      </c>
      <c r="G650" s="9">
        <v>0</v>
      </c>
      <c r="H650" s="8" t="s">
        <v>9660</v>
      </c>
      <c r="I650" s="8" t="s">
        <v>9661</v>
      </c>
      <c r="J650" s="8"/>
      <c r="K650" s="8"/>
      <c r="L650" s="8"/>
      <c r="M650" s="8"/>
      <c r="N650" s="8"/>
      <c r="O650" s="8"/>
      <c r="P650" s="8"/>
      <c r="Q650" s="8"/>
      <c r="R650" s="8"/>
      <c r="S650" s="8"/>
    </row>
    <row r="651" spans="1:19" ht="15.75" customHeight="1">
      <c r="A651" s="8">
        <v>233113481</v>
      </c>
      <c r="B651" s="8" t="s">
        <v>9564</v>
      </c>
      <c r="C651" s="8" t="s">
        <v>9662</v>
      </c>
      <c r="D651" s="8" t="s">
        <v>2913</v>
      </c>
      <c r="E651" s="9" t="s">
        <v>2914</v>
      </c>
      <c r="F651" s="8"/>
      <c r="G651" s="9"/>
      <c r="H651" s="8" t="s">
        <v>8164</v>
      </c>
      <c r="I651" s="8" t="s">
        <v>8165</v>
      </c>
      <c r="J651" s="8"/>
      <c r="K651" s="8"/>
      <c r="L651" s="8"/>
      <c r="M651" s="8"/>
      <c r="N651" s="8"/>
      <c r="O651" s="8"/>
      <c r="P651" s="8"/>
      <c r="Q651" s="8"/>
      <c r="R651" s="8"/>
      <c r="S651" s="8"/>
    </row>
    <row r="652" spans="1:19" ht="15.75" customHeight="1">
      <c r="A652" s="8">
        <v>233120141</v>
      </c>
      <c r="B652" s="8" t="s">
        <v>8614</v>
      </c>
      <c r="C652" s="8" t="s">
        <v>9663</v>
      </c>
      <c r="D652" s="8" t="s">
        <v>2917</v>
      </c>
      <c r="E652" s="9">
        <v>79121164370</v>
      </c>
      <c r="F652" s="8" t="s">
        <v>9664</v>
      </c>
      <c r="G652" s="9">
        <v>42</v>
      </c>
      <c r="H652" s="8" t="s">
        <v>8164</v>
      </c>
      <c r="I652" s="8" t="s">
        <v>8165</v>
      </c>
      <c r="J652" s="8"/>
      <c r="K652" s="8"/>
      <c r="L652" s="8"/>
      <c r="M652" s="8"/>
      <c r="N652" s="8"/>
      <c r="O652" s="8"/>
      <c r="P652" s="8"/>
      <c r="Q652" s="8"/>
      <c r="R652" s="8"/>
      <c r="S652" s="8"/>
    </row>
    <row r="653" spans="1:19" ht="15.75" customHeight="1">
      <c r="A653" s="8">
        <v>233129191</v>
      </c>
      <c r="B653" s="8" t="s">
        <v>8771</v>
      </c>
      <c r="C653" s="8" t="s">
        <v>9665</v>
      </c>
      <c r="D653" s="8" t="s">
        <v>2921</v>
      </c>
      <c r="E653" s="9">
        <v>79193102777</v>
      </c>
      <c r="F653" s="8" t="s">
        <v>9666</v>
      </c>
      <c r="G653" s="9">
        <v>46</v>
      </c>
      <c r="H653" s="8" t="s">
        <v>8164</v>
      </c>
      <c r="I653" s="8" t="s">
        <v>8441</v>
      </c>
      <c r="J653" s="8"/>
      <c r="K653" s="8"/>
      <c r="L653" s="8"/>
      <c r="M653" s="8"/>
      <c r="N653" s="8"/>
      <c r="O653" s="8"/>
      <c r="P653" s="8"/>
      <c r="Q653" s="8"/>
      <c r="R653" s="8"/>
      <c r="S653" s="8"/>
    </row>
    <row r="654" spans="1:19" ht="15.75" customHeight="1">
      <c r="A654" s="8">
        <v>233130148</v>
      </c>
      <c r="B654" s="8" t="s">
        <v>8304</v>
      </c>
      <c r="C654" s="8" t="s">
        <v>9667</v>
      </c>
      <c r="D654" s="8" t="s">
        <v>2924</v>
      </c>
      <c r="E654" s="9" t="s">
        <v>2925</v>
      </c>
      <c r="F654" s="8"/>
      <c r="G654" s="9"/>
      <c r="H654" s="8" t="s">
        <v>8164</v>
      </c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</row>
    <row r="655" spans="1:19" ht="15.75" customHeight="1">
      <c r="A655" s="8">
        <v>233130803</v>
      </c>
      <c r="B655" s="8" t="s">
        <v>9668</v>
      </c>
      <c r="C655" s="8" t="s">
        <v>9669</v>
      </c>
      <c r="D655" s="8" t="s">
        <v>2928</v>
      </c>
      <c r="E655" s="9">
        <v>79887666448</v>
      </c>
      <c r="F655" s="8"/>
      <c r="G655" s="9"/>
      <c r="H655" s="8" t="s">
        <v>8164</v>
      </c>
      <c r="I655" s="8" t="s">
        <v>8174</v>
      </c>
      <c r="J655" s="8"/>
      <c r="K655" s="8"/>
      <c r="L655" s="8"/>
      <c r="M655" s="8"/>
      <c r="N655" s="8"/>
      <c r="O655" s="8"/>
      <c r="P655" s="8"/>
      <c r="Q655" s="8"/>
      <c r="R655" s="8"/>
      <c r="S655" s="8"/>
    </row>
    <row r="656" spans="1:19" ht="15.75" customHeight="1">
      <c r="A656" s="8">
        <v>233135062</v>
      </c>
      <c r="B656" s="8" t="s">
        <v>8365</v>
      </c>
      <c r="C656" s="8" t="s">
        <v>9670</v>
      </c>
      <c r="D656" s="8" t="s">
        <v>9671</v>
      </c>
      <c r="E656" s="9">
        <v>79150532984</v>
      </c>
      <c r="F656" s="8"/>
      <c r="G656" s="9"/>
      <c r="H656" s="8" t="s">
        <v>8164</v>
      </c>
      <c r="I656" s="8" t="s">
        <v>8165</v>
      </c>
      <c r="J656" s="8"/>
      <c r="K656" s="8"/>
      <c r="L656" s="8"/>
      <c r="M656" s="8"/>
      <c r="N656" s="8"/>
      <c r="O656" s="8"/>
      <c r="P656" s="8"/>
      <c r="Q656" s="8"/>
      <c r="R656" s="8"/>
      <c r="S656" s="8"/>
    </row>
    <row r="657" spans="1:19" ht="15.75" customHeight="1">
      <c r="A657" s="8">
        <v>233138735</v>
      </c>
      <c r="B657" s="8" t="s">
        <v>8717</v>
      </c>
      <c r="C657" s="8" t="s">
        <v>9672</v>
      </c>
      <c r="D657" s="8" t="s">
        <v>2931</v>
      </c>
      <c r="E657" s="9" t="s">
        <v>2932</v>
      </c>
      <c r="F657" s="8" t="s">
        <v>9673</v>
      </c>
      <c r="G657" s="9">
        <v>65</v>
      </c>
      <c r="H657" s="8" t="s">
        <v>8164</v>
      </c>
      <c r="I657" s="8" t="s">
        <v>8165</v>
      </c>
      <c r="J657" s="8"/>
      <c r="K657" s="8"/>
      <c r="L657" s="8"/>
      <c r="M657" s="8"/>
      <c r="N657" s="8"/>
      <c r="O657" s="8"/>
      <c r="P657" s="8"/>
      <c r="Q657" s="8"/>
      <c r="R657" s="8"/>
      <c r="S657" s="8"/>
    </row>
    <row r="658" spans="1:19" ht="15.75" customHeight="1">
      <c r="A658" s="8">
        <v>233144532</v>
      </c>
      <c r="B658" s="8" t="s">
        <v>9674</v>
      </c>
      <c r="C658" s="8" t="s">
        <v>9675</v>
      </c>
      <c r="D658" s="8" t="s">
        <v>2935</v>
      </c>
      <c r="E658" s="9" t="s">
        <v>2936</v>
      </c>
      <c r="F658" s="8" t="s">
        <v>9676</v>
      </c>
      <c r="G658" s="9">
        <v>47</v>
      </c>
      <c r="H658" s="8" t="s">
        <v>9660</v>
      </c>
      <c r="I658" s="8" t="s">
        <v>9661</v>
      </c>
      <c r="J658" s="8"/>
      <c r="K658" s="8"/>
      <c r="L658" s="8"/>
      <c r="M658" s="8"/>
      <c r="N658" s="8"/>
      <c r="O658" s="8"/>
      <c r="P658" s="8"/>
      <c r="Q658" s="8"/>
      <c r="R658" s="8"/>
      <c r="S658" s="8"/>
    </row>
    <row r="659" spans="1:19" ht="15.75" customHeight="1">
      <c r="A659" s="8">
        <v>233227508</v>
      </c>
      <c r="B659" s="8" t="s">
        <v>8365</v>
      </c>
      <c r="C659" s="8" t="s">
        <v>9677</v>
      </c>
      <c r="D659" s="8" t="s">
        <v>2940</v>
      </c>
      <c r="E659" s="9" t="s">
        <v>2941</v>
      </c>
      <c r="F659" s="8" t="s">
        <v>9678</v>
      </c>
      <c r="G659" s="9">
        <v>29</v>
      </c>
      <c r="H659" s="8" t="s">
        <v>9679</v>
      </c>
      <c r="I659" s="8" t="s">
        <v>9680</v>
      </c>
      <c r="J659" s="8"/>
      <c r="K659" s="8"/>
      <c r="L659" s="8"/>
      <c r="M659" s="8"/>
      <c r="N659" s="8"/>
      <c r="O659" s="8"/>
      <c r="P659" s="8"/>
      <c r="Q659" s="8"/>
      <c r="R659" s="8"/>
      <c r="S659" s="8"/>
    </row>
    <row r="660" spans="1:19" ht="15.75" customHeight="1">
      <c r="A660" s="8">
        <v>233231487</v>
      </c>
      <c r="B660" s="8" t="s">
        <v>8304</v>
      </c>
      <c r="C660" s="8" t="s">
        <v>9681</v>
      </c>
      <c r="D660" s="8" t="s">
        <v>2945</v>
      </c>
      <c r="E660" s="9" t="s">
        <v>2946</v>
      </c>
      <c r="F660" s="8" t="s">
        <v>9682</v>
      </c>
      <c r="G660" s="9">
        <v>57</v>
      </c>
      <c r="H660" s="8" t="s">
        <v>8164</v>
      </c>
      <c r="I660" s="8" t="s">
        <v>8191</v>
      </c>
      <c r="J660" s="8"/>
      <c r="K660" s="8"/>
      <c r="L660" s="8"/>
      <c r="M660" s="8"/>
      <c r="N660" s="8"/>
      <c r="O660" s="8"/>
      <c r="P660" s="8"/>
      <c r="Q660" s="8"/>
      <c r="R660" s="8"/>
      <c r="S660" s="8"/>
    </row>
    <row r="661" spans="1:19" ht="15.75" customHeight="1">
      <c r="A661" s="8">
        <v>233234488</v>
      </c>
      <c r="B661" s="8" t="s">
        <v>8643</v>
      </c>
      <c r="C661" s="8" t="s">
        <v>9683</v>
      </c>
      <c r="D661" s="8" t="s">
        <v>2950</v>
      </c>
      <c r="E661" s="9" t="s">
        <v>2951</v>
      </c>
      <c r="F661" s="8"/>
      <c r="G661" s="9"/>
      <c r="H661" s="8" t="s">
        <v>8164</v>
      </c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</row>
    <row r="662" spans="1:19" ht="15.75" customHeight="1">
      <c r="A662" s="8">
        <v>233345943</v>
      </c>
      <c r="B662" s="8" t="s">
        <v>8206</v>
      </c>
      <c r="C662" s="8" t="s">
        <v>9684</v>
      </c>
      <c r="D662" s="8" t="s">
        <v>2954</v>
      </c>
      <c r="E662" s="9">
        <v>79375348929</v>
      </c>
      <c r="F662" s="8" t="s">
        <v>9685</v>
      </c>
      <c r="G662" s="9">
        <v>47</v>
      </c>
      <c r="H662" s="8" t="s">
        <v>8164</v>
      </c>
      <c r="I662" s="8" t="s">
        <v>8208</v>
      </c>
      <c r="J662" s="8"/>
      <c r="K662" s="8"/>
      <c r="L662" s="8"/>
      <c r="M662" s="8"/>
      <c r="N662" s="8"/>
      <c r="O662" s="8"/>
      <c r="P662" s="8"/>
      <c r="Q662" s="8"/>
      <c r="R662" s="8"/>
      <c r="S662" s="8"/>
    </row>
    <row r="663" spans="1:19" ht="15.75" customHeight="1">
      <c r="A663" s="8">
        <v>233469636</v>
      </c>
      <c r="B663" s="8" t="s">
        <v>8452</v>
      </c>
      <c r="C663" s="8" t="s">
        <v>9686</v>
      </c>
      <c r="D663" s="8" t="s">
        <v>2958</v>
      </c>
      <c r="E663" s="9" t="s">
        <v>2959</v>
      </c>
      <c r="F663" s="8" t="s">
        <v>9687</v>
      </c>
      <c r="G663" s="9">
        <v>33</v>
      </c>
      <c r="H663" s="8" t="s">
        <v>8164</v>
      </c>
      <c r="I663" s="8" t="s">
        <v>9341</v>
      </c>
      <c r="J663" s="8" t="s">
        <v>9688</v>
      </c>
      <c r="K663" s="8"/>
      <c r="L663" s="8"/>
      <c r="M663" s="8"/>
      <c r="N663" s="8"/>
      <c r="O663" s="8"/>
      <c r="P663" s="8"/>
      <c r="Q663" s="8"/>
      <c r="R663" s="8"/>
      <c r="S663" s="8"/>
    </row>
    <row r="664" spans="1:19" ht="15.75" customHeight="1">
      <c r="A664" s="8">
        <v>233490337</v>
      </c>
      <c r="B664" s="8"/>
      <c r="C664" s="8"/>
      <c r="D664" s="8" t="s">
        <v>2962</v>
      </c>
      <c r="E664" s="9"/>
      <c r="F664" s="8"/>
      <c r="G664" s="9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</row>
    <row r="665" spans="1:19" ht="15.75" customHeight="1">
      <c r="A665" s="8">
        <v>233541462</v>
      </c>
      <c r="B665" s="8" t="s">
        <v>8479</v>
      </c>
      <c r="C665" s="8" t="s">
        <v>9689</v>
      </c>
      <c r="D665" s="8" t="s">
        <v>9690</v>
      </c>
      <c r="E665" s="9" t="s">
        <v>9691</v>
      </c>
      <c r="F665" s="8"/>
      <c r="G665" s="9"/>
      <c r="H665" s="8" t="s">
        <v>8158</v>
      </c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</row>
    <row r="666" spans="1:19" ht="15.75" customHeight="1">
      <c r="A666" s="8">
        <v>233545721</v>
      </c>
      <c r="B666" s="8" t="s">
        <v>9145</v>
      </c>
      <c r="C666" s="8" t="s">
        <v>9692</v>
      </c>
      <c r="D666" s="8" t="s">
        <v>2965</v>
      </c>
      <c r="E666" s="9" t="s">
        <v>2966</v>
      </c>
      <c r="F666" s="8" t="s">
        <v>9693</v>
      </c>
      <c r="G666" s="9">
        <v>39</v>
      </c>
      <c r="H666" s="8" t="s">
        <v>8164</v>
      </c>
      <c r="I666" s="8" t="s">
        <v>8165</v>
      </c>
      <c r="J666" s="8"/>
      <c r="K666" s="8"/>
      <c r="L666" s="8"/>
      <c r="M666" s="8"/>
      <c r="N666" s="8"/>
      <c r="O666" s="8"/>
      <c r="P666" s="8"/>
      <c r="Q666" s="8"/>
      <c r="R666" s="8"/>
      <c r="S666" s="8"/>
    </row>
    <row r="667" spans="1:19" ht="15.75" customHeight="1">
      <c r="A667" s="8">
        <v>233572646</v>
      </c>
      <c r="B667" s="8" t="s">
        <v>9694</v>
      </c>
      <c r="C667" s="8" t="s">
        <v>9695</v>
      </c>
      <c r="D667" s="8" t="s">
        <v>2969</v>
      </c>
      <c r="E667" s="9" t="s">
        <v>2970</v>
      </c>
      <c r="F667" s="8" t="s">
        <v>9696</v>
      </c>
      <c r="G667" s="9"/>
      <c r="H667" s="8" t="s">
        <v>8386</v>
      </c>
      <c r="I667" s="8" t="s">
        <v>9697</v>
      </c>
      <c r="J667" s="8"/>
      <c r="K667" s="8"/>
      <c r="L667" s="8"/>
      <c r="M667" s="8"/>
      <c r="N667" s="8"/>
      <c r="O667" s="8"/>
      <c r="P667" s="8"/>
      <c r="Q667" s="8"/>
      <c r="R667" s="8"/>
      <c r="S667" s="8"/>
    </row>
    <row r="668" spans="1:19" ht="15.75" customHeight="1">
      <c r="A668" s="8">
        <v>233630536</v>
      </c>
      <c r="B668" s="8" t="s">
        <v>8782</v>
      </c>
      <c r="C668" s="8" t="s">
        <v>9535</v>
      </c>
      <c r="D668" s="8" t="s">
        <v>9698</v>
      </c>
      <c r="E668" s="9">
        <v>79042945702</v>
      </c>
      <c r="F668" s="8"/>
      <c r="G668" s="9"/>
      <c r="H668" s="8" t="s">
        <v>8164</v>
      </c>
      <c r="I668" s="8" t="s">
        <v>8165</v>
      </c>
      <c r="J668" s="8"/>
      <c r="K668" s="8"/>
      <c r="L668" s="8"/>
      <c r="M668" s="8"/>
      <c r="N668" s="8"/>
      <c r="O668" s="8"/>
      <c r="P668" s="8"/>
      <c r="Q668" s="8"/>
      <c r="R668" s="8"/>
      <c r="S668" s="8"/>
    </row>
    <row r="669" spans="1:19" ht="15.75" customHeight="1">
      <c r="A669" s="8">
        <v>233637925</v>
      </c>
      <c r="B669" s="8" t="s">
        <v>8197</v>
      </c>
      <c r="C669" s="8" t="s">
        <v>9699</v>
      </c>
      <c r="D669" s="8" t="s">
        <v>2973</v>
      </c>
      <c r="E669" s="9" t="s">
        <v>2974</v>
      </c>
      <c r="F669" s="8"/>
      <c r="G669" s="9"/>
      <c r="H669" s="8" t="s">
        <v>8164</v>
      </c>
      <c r="I669" s="8" t="s">
        <v>8165</v>
      </c>
      <c r="J669" s="8"/>
      <c r="K669" s="8"/>
      <c r="L669" s="8"/>
      <c r="M669" s="8"/>
      <c r="N669" s="8"/>
      <c r="O669" s="8"/>
      <c r="P669" s="8"/>
      <c r="Q669" s="8"/>
      <c r="R669" s="8"/>
      <c r="S669" s="8"/>
    </row>
    <row r="670" spans="1:19" ht="15.75" customHeight="1">
      <c r="A670" s="8">
        <v>233644078</v>
      </c>
      <c r="B670" s="8" t="s">
        <v>9700</v>
      </c>
      <c r="C670" s="8" t="s">
        <v>9701</v>
      </c>
      <c r="D670" s="8" t="s">
        <v>2977</v>
      </c>
      <c r="E670" s="9" t="s">
        <v>2978</v>
      </c>
      <c r="F670" s="8" t="s">
        <v>9702</v>
      </c>
      <c r="G670" s="9">
        <v>20</v>
      </c>
      <c r="H670" s="8" t="s">
        <v>8164</v>
      </c>
      <c r="I670" s="8" t="s">
        <v>8165</v>
      </c>
      <c r="J670" s="8"/>
      <c r="K670" s="8"/>
      <c r="L670" s="8"/>
      <c r="M670" s="8"/>
      <c r="N670" s="8"/>
      <c r="O670" s="8"/>
      <c r="P670" s="8"/>
      <c r="Q670" s="8"/>
      <c r="R670" s="8"/>
      <c r="S670" s="8"/>
    </row>
    <row r="671" spans="1:19" ht="15.75" customHeight="1">
      <c r="A671" s="8">
        <v>233667645</v>
      </c>
      <c r="B671" s="8"/>
      <c r="C671" s="8"/>
      <c r="D671" s="8" t="s">
        <v>2981</v>
      </c>
      <c r="E671" s="9"/>
      <c r="F671" s="8"/>
      <c r="G671" s="9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</row>
    <row r="672" spans="1:19" ht="15.75" customHeight="1">
      <c r="A672" s="8">
        <v>233668282</v>
      </c>
      <c r="B672" s="8"/>
      <c r="C672" s="8"/>
      <c r="D672" s="8" t="s">
        <v>2984</v>
      </c>
      <c r="E672" s="9"/>
      <c r="F672" s="8"/>
      <c r="G672" s="9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</row>
    <row r="673" spans="1:19" ht="15.75" customHeight="1">
      <c r="A673" s="8">
        <v>233668450</v>
      </c>
      <c r="B673" s="8" t="s">
        <v>8721</v>
      </c>
      <c r="C673" s="8" t="s">
        <v>9703</v>
      </c>
      <c r="D673" s="8" t="s">
        <v>2987</v>
      </c>
      <c r="E673" s="9">
        <v>79516412681</v>
      </c>
      <c r="F673" s="8"/>
      <c r="G673" s="9"/>
      <c r="H673" s="8" t="s">
        <v>8158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</row>
    <row r="674" spans="1:19" ht="15.75" customHeight="1">
      <c r="A674" s="8">
        <v>233668562</v>
      </c>
      <c r="B674" s="8" t="s">
        <v>7818</v>
      </c>
      <c r="C674" s="8" t="s">
        <v>9704</v>
      </c>
      <c r="D674" s="8" t="s">
        <v>2991</v>
      </c>
      <c r="E674" s="9" t="s">
        <v>2992</v>
      </c>
      <c r="F674" s="8" t="s">
        <v>9705</v>
      </c>
      <c r="G674" s="9">
        <v>35</v>
      </c>
      <c r="H674" s="8" t="s">
        <v>8164</v>
      </c>
      <c r="I674" s="8" t="s">
        <v>8165</v>
      </c>
      <c r="J674" s="8"/>
      <c r="K674" s="8"/>
      <c r="L674" s="8"/>
      <c r="M674" s="8"/>
      <c r="N674" s="8"/>
      <c r="O674" s="8"/>
      <c r="P674" s="8"/>
      <c r="Q674" s="8"/>
      <c r="R674" s="8"/>
      <c r="S674" s="8"/>
    </row>
    <row r="675" spans="1:19" ht="15.75" customHeight="1">
      <c r="A675" s="8">
        <v>233668714</v>
      </c>
      <c r="B675" s="8" t="s">
        <v>8596</v>
      </c>
      <c r="C675" s="8" t="s">
        <v>9706</v>
      </c>
      <c r="D675" s="8" t="s">
        <v>2995</v>
      </c>
      <c r="E675" s="9" t="s">
        <v>2996</v>
      </c>
      <c r="F675" s="8"/>
      <c r="G675" s="9"/>
      <c r="H675" s="8" t="s">
        <v>8164</v>
      </c>
      <c r="I675" s="8" t="s">
        <v>8165</v>
      </c>
      <c r="J675" s="8"/>
      <c r="K675" s="8"/>
      <c r="L675" s="8"/>
      <c r="M675" s="8"/>
      <c r="N675" s="8"/>
      <c r="O675" s="8"/>
      <c r="P675" s="8"/>
      <c r="Q675" s="8"/>
      <c r="R675" s="8"/>
      <c r="S675" s="8"/>
    </row>
    <row r="676" spans="1:19" ht="15.75" customHeight="1">
      <c r="A676" s="8">
        <v>233669183</v>
      </c>
      <c r="B676" s="8" t="s">
        <v>9707</v>
      </c>
      <c r="C676" s="8" t="s">
        <v>9708</v>
      </c>
      <c r="D676" s="8" t="s">
        <v>2999</v>
      </c>
      <c r="E676" s="9" t="s">
        <v>3000</v>
      </c>
      <c r="F676" s="8"/>
      <c r="G676" s="9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</row>
    <row r="677" spans="1:19" ht="15.75" customHeight="1">
      <c r="A677" s="8">
        <v>233670046</v>
      </c>
      <c r="B677" s="8" t="s">
        <v>8234</v>
      </c>
      <c r="C677" s="8" t="s">
        <v>9709</v>
      </c>
      <c r="D677" s="8" t="s">
        <v>3003</v>
      </c>
      <c r="E677" s="9">
        <v>79850813339</v>
      </c>
      <c r="F677" s="8" t="s">
        <v>9710</v>
      </c>
      <c r="G677" s="9">
        <v>44</v>
      </c>
      <c r="H677" s="8" t="s">
        <v>8356</v>
      </c>
      <c r="I677" s="8" t="s">
        <v>9711</v>
      </c>
      <c r="J677" s="8"/>
      <c r="K677" s="8"/>
      <c r="L677" s="8"/>
      <c r="M677" s="8"/>
      <c r="N677" s="8"/>
      <c r="O677" s="8"/>
      <c r="P677" s="8"/>
      <c r="Q677" s="8"/>
      <c r="R677" s="8"/>
      <c r="S677" s="8"/>
    </row>
    <row r="678" spans="1:19" ht="15.75" customHeight="1">
      <c r="A678" s="8">
        <v>233670784</v>
      </c>
      <c r="B678" s="8"/>
      <c r="C678" s="8"/>
      <c r="D678" s="8" t="s">
        <v>3006</v>
      </c>
      <c r="E678" s="9"/>
      <c r="F678" s="8"/>
      <c r="G678" s="9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</row>
    <row r="679" spans="1:19" ht="15.75" customHeight="1">
      <c r="A679" s="8">
        <v>233670890</v>
      </c>
      <c r="B679" s="8"/>
      <c r="C679" s="8"/>
      <c r="D679" s="8" t="s">
        <v>3009</v>
      </c>
      <c r="E679" s="9"/>
      <c r="F679" s="8"/>
      <c r="G679" s="9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</row>
    <row r="680" spans="1:19" ht="15.75" customHeight="1">
      <c r="A680" s="8">
        <v>233671311</v>
      </c>
      <c r="B680" s="8"/>
      <c r="C680" s="8"/>
      <c r="D680" s="8" t="s">
        <v>3012</v>
      </c>
      <c r="E680" s="9"/>
      <c r="F680" s="8"/>
      <c r="G680" s="9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</row>
    <row r="681" spans="1:19" ht="15.75" customHeight="1">
      <c r="A681" s="8">
        <v>233671413</v>
      </c>
      <c r="B681" s="8"/>
      <c r="C681" s="8"/>
      <c r="D681" s="8" t="s">
        <v>3015</v>
      </c>
      <c r="E681" s="9"/>
      <c r="F681" s="8"/>
      <c r="G681" s="9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</row>
    <row r="682" spans="1:19" ht="15.75" customHeight="1">
      <c r="A682" s="8">
        <v>233677042</v>
      </c>
      <c r="B682" s="8"/>
      <c r="C682" s="8"/>
      <c r="D682" s="8" t="s">
        <v>3018</v>
      </c>
      <c r="E682" s="9"/>
      <c r="F682" s="8"/>
      <c r="G682" s="9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</row>
    <row r="683" spans="1:19" ht="15.75" customHeight="1">
      <c r="A683" s="8">
        <v>233679985</v>
      </c>
      <c r="B683" s="8"/>
      <c r="C683" s="8"/>
      <c r="D683" s="8" t="s">
        <v>3021</v>
      </c>
      <c r="E683" s="9"/>
      <c r="F683" s="8"/>
      <c r="G683" s="9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</row>
    <row r="684" spans="1:19" ht="15.75" customHeight="1">
      <c r="A684" s="8">
        <v>233683429</v>
      </c>
      <c r="B684" s="8"/>
      <c r="C684" s="8"/>
      <c r="D684" s="8" t="s">
        <v>3024</v>
      </c>
      <c r="E684" s="9"/>
      <c r="F684" s="8"/>
      <c r="G684" s="9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</row>
    <row r="685" spans="1:19" ht="15.75" customHeight="1">
      <c r="A685" s="8">
        <v>233685181</v>
      </c>
      <c r="B685" s="8"/>
      <c r="C685" s="8"/>
      <c r="D685" s="8" t="s">
        <v>3027</v>
      </c>
      <c r="E685" s="9"/>
      <c r="F685" s="8"/>
      <c r="G685" s="9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</row>
    <row r="686" spans="1:19" ht="15.75" customHeight="1">
      <c r="A686" s="8">
        <v>233693948</v>
      </c>
      <c r="B686" s="8" t="s">
        <v>8197</v>
      </c>
      <c r="C686" s="8" t="s">
        <v>9712</v>
      </c>
      <c r="D686" s="8" t="s">
        <v>3030</v>
      </c>
      <c r="E686" s="9" t="s">
        <v>3031</v>
      </c>
      <c r="F686" s="8" t="s">
        <v>9713</v>
      </c>
      <c r="G686" s="9">
        <v>47</v>
      </c>
      <c r="H686" s="8" t="s">
        <v>8164</v>
      </c>
      <c r="I686" s="8" t="s">
        <v>8165</v>
      </c>
      <c r="J686" s="8"/>
      <c r="K686" s="8"/>
      <c r="L686" s="8"/>
      <c r="M686" s="8"/>
      <c r="N686" s="8"/>
      <c r="O686" s="8"/>
      <c r="P686" s="8"/>
      <c r="Q686" s="8"/>
      <c r="R686" s="8"/>
      <c r="S686" s="8"/>
    </row>
    <row r="687" spans="1:19" ht="15.75" customHeight="1">
      <c r="A687" s="8">
        <v>233699873</v>
      </c>
      <c r="B687" s="8" t="s">
        <v>8373</v>
      </c>
      <c r="C687" s="8" t="s">
        <v>8695</v>
      </c>
      <c r="D687" s="8" t="s">
        <v>3034</v>
      </c>
      <c r="E687" s="9" t="s">
        <v>3035</v>
      </c>
      <c r="F687" s="8" t="s">
        <v>9714</v>
      </c>
      <c r="G687" s="9">
        <v>32</v>
      </c>
      <c r="H687" s="8" t="s">
        <v>8789</v>
      </c>
      <c r="I687" s="8" t="s">
        <v>9715</v>
      </c>
      <c r="J687" s="8"/>
      <c r="K687" s="8"/>
      <c r="L687" s="8"/>
      <c r="M687" s="8"/>
      <c r="N687" s="8"/>
      <c r="O687" s="8"/>
      <c r="P687" s="8"/>
      <c r="Q687" s="8"/>
      <c r="R687" s="8"/>
      <c r="S687" s="8"/>
    </row>
    <row r="688" spans="1:19" ht="15.75" customHeight="1">
      <c r="A688" s="8">
        <v>233741451</v>
      </c>
      <c r="B688" s="8"/>
      <c r="C688" s="8"/>
      <c r="D688" s="8" t="s">
        <v>3040</v>
      </c>
      <c r="E688" s="9"/>
      <c r="F688" s="8"/>
      <c r="G688" s="9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</row>
    <row r="689" spans="1:19" ht="15.75" customHeight="1">
      <c r="A689" s="8">
        <v>233745373</v>
      </c>
      <c r="B689" s="8" t="s">
        <v>7399</v>
      </c>
      <c r="C689" s="8" t="s">
        <v>9716</v>
      </c>
      <c r="D689" s="8" t="s">
        <v>3043</v>
      </c>
      <c r="E689" s="9">
        <v>79818530288</v>
      </c>
      <c r="F689" s="8" t="s">
        <v>9717</v>
      </c>
      <c r="G689" s="9">
        <v>44</v>
      </c>
      <c r="H689" s="8" t="s">
        <v>8164</v>
      </c>
      <c r="I689" s="8" t="s">
        <v>8208</v>
      </c>
      <c r="J689" s="8"/>
      <c r="K689" s="8"/>
      <c r="L689" s="8"/>
      <c r="M689" s="8"/>
      <c r="N689" s="8"/>
      <c r="O689" s="8"/>
      <c r="P689" s="8"/>
      <c r="Q689" s="8"/>
      <c r="R689" s="8"/>
      <c r="S689" s="8"/>
    </row>
    <row r="690" spans="1:19" ht="15.75" customHeight="1">
      <c r="A690" s="8">
        <v>233747803</v>
      </c>
      <c r="B690" s="8" t="s">
        <v>9718</v>
      </c>
      <c r="C690" s="8" t="s">
        <v>9719</v>
      </c>
      <c r="D690" s="8" t="s">
        <v>9720</v>
      </c>
      <c r="E690" s="9" t="s">
        <v>9721</v>
      </c>
      <c r="F690" s="8"/>
      <c r="G690" s="9"/>
      <c r="H690" s="8" t="s">
        <v>8551</v>
      </c>
      <c r="I690" s="8" t="s">
        <v>9722</v>
      </c>
      <c r="J690" s="8" t="s">
        <v>9723</v>
      </c>
      <c r="K690" s="8"/>
      <c r="L690" s="8" t="s">
        <v>8167</v>
      </c>
      <c r="M690" s="8" t="s">
        <v>8176</v>
      </c>
      <c r="N690" s="8"/>
      <c r="O690" s="8"/>
      <c r="P690" s="8" t="s">
        <v>8171</v>
      </c>
      <c r="Q690" s="8" t="s">
        <v>8161</v>
      </c>
      <c r="R690" s="8"/>
      <c r="S690" s="8"/>
    </row>
    <row r="691" spans="1:19" ht="15.75" customHeight="1">
      <c r="A691" s="8">
        <v>233819381</v>
      </c>
      <c r="B691" s="8"/>
      <c r="C691" s="8"/>
      <c r="D691" s="8" t="s">
        <v>9724</v>
      </c>
      <c r="E691" s="9"/>
      <c r="F691" s="8"/>
      <c r="G691" s="9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</row>
    <row r="692" spans="1:19" ht="15.75" customHeight="1">
      <c r="A692" s="8">
        <v>233844419</v>
      </c>
      <c r="B692" s="8" t="s">
        <v>8619</v>
      </c>
      <c r="C692" s="8" t="s">
        <v>9725</v>
      </c>
      <c r="D692" s="8" t="s">
        <v>3046</v>
      </c>
      <c r="E692" s="9" t="s">
        <v>3047</v>
      </c>
      <c r="F692" s="8"/>
      <c r="G692" s="9"/>
      <c r="H692" s="8" t="s">
        <v>8164</v>
      </c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</row>
    <row r="693" spans="1:19" ht="15.75" customHeight="1">
      <c r="A693" s="8">
        <v>233866127</v>
      </c>
      <c r="B693" s="8"/>
      <c r="C693" s="8"/>
      <c r="D693" s="8" t="s">
        <v>3051</v>
      </c>
      <c r="E693" s="9"/>
      <c r="F693" s="8"/>
      <c r="G693" s="9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</row>
    <row r="694" spans="1:19" ht="15.75" customHeight="1">
      <c r="A694" s="8">
        <v>233904760</v>
      </c>
      <c r="B694" s="8" t="s">
        <v>7768</v>
      </c>
      <c r="C694" s="8" t="s">
        <v>9726</v>
      </c>
      <c r="D694" s="8" t="s">
        <v>3054</v>
      </c>
      <c r="E694" s="9" t="s">
        <v>3055</v>
      </c>
      <c r="F694" s="8" t="s">
        <v>9727</v>
      </c>
      <c r="G694" s="9">
        <v>38</v>
      </c>
      <c r="H694" s="8" t="s">
        <v>8164</v>
      </c>
      <c r="I694" s="8" t="s">
        <v>9728</v>
      </c>
      <c r="J694" s="8"/>
      <c r="K694" s="8"/>
      <c r="L694" s="8"/>
      <c r="M694" s="8"/>
      <c r="N694" s="8"/>
      <c r="O694" s="8"/>
      <c r="P694" s="8"/>
      <c r="Q694" s="8"/>
      <c r="R694" s="8"/>
      <c r="S694" s="8"/>
    </row>
    <row r="695" spans="1:19" ht="15.75" customHeight="1">
      <c r="A695" s="8">
        <v>233918964</v>
      </c>
      <c r="B695" s="8" t="s">
        <v>8365</v>
      </c>
      <c r="C695" s="8" t="s">
        <v>9729</v>
      </c>
      <c r="D695" s="8" t="s">
        <v>3058</v>
      </c>
      <c r="E695" s="9" t="s">
        <v>3059</v>
      </c>
      <c r="F695" s="8"/>
      <c r="G695" s="9"/>
      <c r="H695" s="8" t="s">
        <v>8158</v>
      </c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</row>
    <row r="696" spans="1:19" ht="15.75" customHeight="1">
      <c r="A696" s="8">
        <v>233921265</v>
      </c>
      <c r="B696" s="8"/>
      <c r="C696" s="8"/>
      <c r="D696" s="8" t="s">
        <v>3062</v>
      </c>
      <c r="E696" s="9"/>
      <c r="F696" s="8"/>
      <c r="G696" s="9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</row>
    <row r="697" spans="1:19" ht="15.75" customHeight="1">
      <c r="A697" s="8">
        <v>233955133</v>
      </c>
      <c r="B697" s="8"/>
      <c r="C697" s="8"/>
      <c r="D697" s="8" t="s">
        <v>3065</v>
      </c>
      <c r="E697" s="9"/>
      <c r="F697" s="8"/>
      <c r="G697" s="9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</row>
    <row r="698" spans="1:19" ht="15.75" customHeight="1">
      <c r="A698" s="8">
        <v>233955392</v>
      </c>
      <c r="B698" s="8" t="s">
        <v>9197</v>
      </c>
      <c r="C698" s="8" t="s">
        <v>9730</v>
      </c>
      <c r="D698" s="8" t="s">
        <v>3068</v>
      </c>
      <c r="E698" s="9" t="s">
        <v>3069</v>
      </c>
      <c r="F698" s="8" t="s">
        <v>9381</v>
      </c>
      <c r="G698" s="9">
        <v>50</v>
      </c>
      <c r="H698" s="8" t="s">
        <v>8164</v>
      </c>
      <c r="I698" s="8" t="s">
        <v>8277</v>
      </c>
      <c r="J698" s="8"/>
      <c r="K698" s="8"/>
      <c r="L698" s="8"/>
      <c r="M698" s="8"/>
      <c r="N698" s="8"/>
      <c r="O698" s="8"/>
      <c r="P698" s="8"/>
      <c r="Q698" s="8"/>
      <c r="R698" s="8"/>
      <c r="S698" s="8"/>
    </row>
    <row r="699" spans="1:19" ht="15.75" customHeight="1">
      <c r="A699" s="8">
        <v>233974151</v>
      </c>
      <c r="B699" s="8" t="s">
        <v>9731</v>
      </c>
      <c r="C699" s="8" t="s">
        <v>9732</v>
      </c>
      <c r="D699" s="8" t="s">
        <v>3072</v>
      </c>
      <c r="E699" s="9" t="s">
        <v>3073</v>
      </c>
      <c r="F699" s="8" t="s">
        <v>9733</v>
      </c>
      <c r="G699" s="9">
        <v>34</v>
      </c>
      <c r="H699" s="8" t="s">
        <v>9226</v>
      </c>
      <c r="I699" s="8" t="s">
        <v>8786</v>
      </c>
      <c r="J699" s="8"/>
      <c r="K699" s="8"/>
      <c r="L699" s="8"/>
      <c r="M699" s="8"/>
      <c r="N699" s="8"/>
      <c r="O699" s="8"/>
      <c r="P699" s="8"/>
      <c r="Q699" s="8"/>
      <c r="R699" s="8"/>
      <c r="S699" s="8"/>
    </row>
    <row r="700" spans="1:19" ht="15.75" customHeight="1">
      <c r="A700" s="8">
        <v>233975039</v>
      </c>
      <c r="B700" s="8" t="s">
        <v>8434</v>
      </c>
      <c r="C700" s="8" t="s">
        <v>9734</v>
      </c>
      <c r="D700" s="8" t="s">
        <v>3076</v>
      </c>
      <c r="E700" s="9" t="s">
        <v>3077</v>
      </c>
      <c r="F700" s="8" t="s">
        <v>9735</v>
      </c>
      <c r="G700" s="9">
        <v>37</v>
      </c>
      <c r="H700" s="8" t="s">
        <v>8164</v>
      </c>
      <c r="I700" s="8" t="s">
        <v>8165</v>
      </c>
      <c r="J700" s="8"/>
      <c r="K700" s="8"/>
      <c r="L700" s="8"/>
      <c r="M700" s="8"/>
      <c r="N700" s="8"/>
      <c r="O700" s="8"/>
      <c r="P700" s="8"/>
      <c r="Q700" s="8"/>
      <c r="R700" s="8"/>
      <c r="S700" s="8"/>
    </row>
    <row r="701" spans="1:19" ht="15.75" customHeight="1">
      <c r="A701" s="8">
        <v>233984454</v>
      </c>
      <c r="B701" s="8"/>
      <c r="C701" s="8"/>
      <c r="D701" s="8" t="s">
        <v>9736</v>
      </c>
      <c r="E701" s="9"/>
      <c r="F701" s="8"/>
      <c r="G701" s="9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</row>
    <row r="702" spans="1:19" ht="15.75" customHeight="1">
      <c r="A702" s="8">
        <v>233991573</v>
      </c>
      <c r="B702" s="8" t="s">
        <v>9358</v>
      </c>
      <c r="C702" s="8" t="s">
        <v>9737</v>
      </c>
      <c r="D702" s="8" t="s">
        <v>3080</v>
      </c>
      <c r="E702" s="9">
        <v>79823581182</v>
      </c>
      <c r="F702" s="8" t="s">
        <v>9738</v>
      </c>
      <c r="G702" s="9">
        <v>62</v>
      </c>
      <c r="H702" s="8" t="s">
        <v>8164</v>
      </c>
      <c r="I702" s="8" t="s">
        <v>8441</v>
      </c>
      <c r="J702" s="8"/>
      <c r="K702" s="8"/>
      <c r="L702" s="8"/>
      <c r="M702" s="8"/>
      <c r="N702" s="8"/>
      <c r="O702" s="8"/>
      <c r="P702" s="8"/>
      <c r="Q702" s="8"/>
      <c r="R702" s="8"/>
      <c r="S702" s="8"/>
    </row>
    <row r="703" spans="1:19" ht="15.75" customHeight="1">
      <c r="A703" s="8">
        <v>233998853</v>
      </c>
      <c r="B703" s="8" t="s">
        <v>9194</v>
      </c>
      <c r="C703" s="8" t="s">
        <v>9739</v>
      </c>
      <c r="D703" s="8" t="s">
        <v>3083</v>
      </c>
      <c r="E703" s="9" t="s">
        <v>3084</v>
      </c>
      <c r="F703" s="8"/>
      <c r="G703" s="9"/>
      <c r="H703" s="8" t="s">
        <v>8164</v>
      </c>
      <c r="I703" s="8" t="s">
        <v>8759</v>
      </c>
      <c r="J703" s="8"/>
      <c r="K703" s="8"/>
      <c r="L703" s="8"/>
      <c r="M703" s="8"/>
      <c r="N703" s="8"/>
      <c r="O703" s="8"/>
      <c r="P703" s="8"/>
      <c r="Q703" s="8"/>
      <c r="R703" s="8"/>
      <c r="S703" s="8"/>
    </row>
    <row r="704" spans="1:19" ht="15.75" customHeight="1">
      <c r="A704" s="8">
        <v>234002163</v>
      </c>
      <c r="B704" s="8"/>
      <c r="C704" s="8"/>
      <c r="D704" s="8" t="s">
        <v>3087</v>
      </c>
      <c r="E704" s="9"/>
      <c r="F704" s="8"/>
      <c r="G704" s="9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</row>
    <row r="705" spans="1:19" ht="15.75" customHeight="1">
      <c r="A705" s="8">
        <v>234008427</v>
      </c>
      <c r="B705" s="8"/>
      <c r="C705" s="8"/>
      <c r="D705" s="8" t="s">
        <v>3090</v>
      </c>
      <c r="E705" s="9"/>
      <c r="F705" s="8"/>
      <c r="G705" s="9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</row>
    <row r="706" spans="1:19" ht="15.75" customHeight="1">
      <c r="A706" s="8">
        <v>234030284</v>
      </c>
      <c r="B706" s="8" t="s">
        <v>9740</v>
      </c>
      <c r="C706" s="8" t="s">
        <v>9741</v>
      </c>
      <c r="D706" s="8" t="s">
        <v>3093</v>
      </c>
      <c r="E706" s="9">
        <v>26646856</v>
      </c>
      <c r="F706" s="8"/>
      <c r="G706" s="9"/>
      <c r="H706" s="8" t="s">
        <v>8558</v>
      </c>
      <c r="I706" s="8" t="s">
        <v>8559</v>
      </c>
      <c r="J706" s="8"/>
      <c r="K706" s="8"/>
      <c r="L706" s="8"/>
      <c r="M706" s="8"/>
      <c r="N706" s="8"/>
      <c r="O706" s="8"/>
      <c r="P706" s="8"/>
      <c r="Q706" s="8"/>
      <c r="R706" s="8"/>
      <c r="S706" s="8"/>
    </row>
    <row r="707" spans="1:19" ht="15.75" customHeight="1">
      <c r="A707" s="8">
        <v>234055980</v>
      </c>
      <c r="B707" s="8" t="s">
        <v>8206</v>
      </c>
      <c r="C707" s="8" t="s">
        <v>9742</v>
      </c>
      <c r="D707" s="8" t="s">
        <v>3096</v>
      </c>
      <c r="E707" s="9">
        <v>79501273168</v>
      </c>
      <c r="F707" s="8"/>
      <c r="G707" s="9"/>
      <c r="H707" s="8" t="s">
        <v>8164</v>
      </c>
      <c r="I707" s="8" t="s">
        <v>9743</v>
      </c>
      <c r="J707" s="8"/>
      <c r="K707" s="8"/>
      <c r="L707" s="8"/>
      <c r="M707" s="8"/>
      <c r="N707" s="8"/>
      <c r="O707" s="8"/>
      <c r="P707" s="8"/>
      <c r="Q707" s="8"/>
      <c r="R707" s="8"/>
      <c r="S707" s="8"/>
    </row>
    <row r="708" spans="1:19" ht="15.75" customHeight="1">
      <c r="A708" s="8">
        <v>234065474</v>
      </c>
      <c r="B708" s="8" t="s">
        <v>8369</v>
      </c>
      <c r="C708" s="8" t="s">
        <v>9523</v>
      </c>
      <c r="D708" s="8" t="s">
        <v>3099</v>
      </c>
      <c r="E708" s="9" t="s">
        <v>3100</v>
      </c>
      <c r="F708" s="8"/>
      <c r="G708" s="9"/>
      <c r="H708" s="8" t="s">
        <v>8164</v>
      </c>
      <c r="I708" s="8" t="s">
        <v>9222</v>
      </c>
      <c r="J708" s="8"/>
      <c r="K708" s="8"/>
      <c r="L708" s="8"/>
      <c r="M708" s="8"/>
      <c r="N708" s="8"/>
      <c r="O708" s="8"/>
      <c r="P708" s="8"/>
      <c r="Q708" s="8"/>
      <c r="R708" s="8"/>
      <c r="S708" s="8"/>
    </row>
    <row r="709" spans="1:19" ht="15.75" customHeight="1">
      <c r="A709" s="8">
        <v>234069530</v>
      </c>
      <c r="B709" s="8" t="s">
        <v>8874</v>
      </c>
      <c r="C709" s="8" t="s">
        <v>8874</v>
      </c>
      <c r="D709" s="8" t="s">
        <v>3103</v>
      </c>
      <c r="E709" s="9">
        <v>79841682372</v>
      </c>
      <c r="F709" s="8" t="s">
        <v>9744</v>
      </c>
      <c r="G709" s="9">
        <v>28</v>
      </c>
      <c r="H709" s="8" t="s">
        <v>8789</v>
      </c>
      <c r="I709" s="8" t="s">
        <v>9745</v>
      </c>
      <c r="J709" s="8"/>
      <c r="K709" s="8"/>
      <c r="L709" s="8"/>
      <c r="M709" s="8"/>
      <c r="N709" s="8"/>
      <c r="O709" s="8"/>
      <c r="P709" s="8"/>
      <c r="Q709" s="8"/>
      <c r="R709" s="8"/>
      <c r="S709" s="8"/>
    </row>
    <row r="710" spans="1:19" ht="15.75" customHeight="1">
      <c r="A710" s="8">
        <v>234070586</v>
      </c>
      <c r="B710" s="8" t="s">
        <v>9746</v>
      </c>
      <c r="C710" s="8" t="s">
        <v>9747</v>
      </c>
      <c r="D710" s="8" t="s">
        <v>3106</v>
      </c>
      <c r="E710" s="9" t="s">
        <v>3107</v>
      </c>
      <c r="F710" s="8"/>
      <c r="G710" s="9"/>
      <c r="H710" s="8" t="s">
        <v>8164</v>
      </c>
      <c r="I710" s="8" t="s">
        <v>8214</v>
      </c>
      <c r="J710" s="8"/>
      <c r="K710" s="8"/>
      <c r="L710" s="8"/>
      <c r="M710" s="8"/>
      <c r="N710" s="8"/>
      <c r="O710" s="8"/>
      <c r="P710" s="8"/>
      <c r="Q710" s="8"/>
      <c r="R710" s="8"/>
      <c r="S710" s="8"/>
    </row>
    <row r="711" spans="1:19" ht="15.75" customHeight="1">
      <c r="A711" s="8">
        <v>234184237</v>
      </c>
      <c r="B711" s="8"/>
      <c r="C711" s="8"/>
      <c r="D711" s="8" t="s">
        <v>3110</v>
      </c>
      <c r="E711" s="9"/>
      <c r="F711" s="8"/>
      <c r="G711" s="9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</row>
    <row r="712" spans="1:19" ht="15.75" customHeight="1">
      <c r="A712" s="8">
        <v>234265590</v>
      </c>
      <c r="B712" s="8" t="s">
        <v>8206</v>
      </c>
      <c r="C712" s="8" t="s">
        <v>9748</v>
      </c>
      <c r="D712" s="8" t="s">
        <v>3113</v>
      </c>
      <c r="E712" s="9" t="s">
        <v>3114</v>
      </c>
      <c r="F712" s="8" t="s">
        <v>9749</v>
      </c>
      <c r="G712" s="9">
        <v>52</v>
      </c>
      <c r="H712" s="8" t="s">
        <v>8267</v>
      </c>
      <c r="I712" s="8" t="s">
        <v>9750</v>
      </c>
      <c r="J712" s="8"/>
      <c r="K712" s="8"/>
      <c r="L712" s="8"/>
      <c r="M712" s="8"/>
      <c r="N712" s="8"/>
      <c r="O712" s="8"/>
      <c r="P712" s="8"/>
      <c r="Q712" s="8"/>
      <c r="R712" s="8"/>
      <c r="S712" s="8"/>
    </row>
    <row r="713" spans="1:19" ht="15.75" customHeight="1">
      <c r="A713" s="8">
        <v>234271214</v>
      </c>
      <c r="B713" s="8" t="s">
        <v>7399</v>
      </c>
      <c r="C713" s="8" t="s">
        <v>9751</v>
      </c>
      <c r="D713" s="8" t="s">
        <v>3118</v>
      </c>
      <c r="E713" s="9" t="s">
        <v>3119</v>
      </c>
      <c r="F713" s="8"/>
      <c r="G713" s="9"/>
      <c r="H713" s="8" t="s">
        <v>8164</v>
      </c>
      <c r="I713" s="8" t="s">
        <v>8915</v>
      </c>
      <c r="J713" s="8"/>
      <c r="K713" s="8"/>
      <c r="L713" s="8"/>
      <c r="M713" s="8"/>
      <c r="N713" s="8"/>
      <c r="O713" s="8"/>
      <c r="P713" s="8"/>
      <c r="Q713" s="8"/>
      <c r="R713" s="8"/>
      <c r="S713" s="8"/>
    </row>
    <row r="714" spans="1:19" ht="15.75" customHeight="1">
      <c r="A714" s="8">
        <v>234289671</v>
      </c>
      <c r="B714" s="8" t="s">
        <v>9752</v>
      </c>
      <c r="C714" s="8" t="s">
        <v>9753</v>
      </c>
      <c r="D714" s="8" t="s">
        <v>3125</v>
      </c>
      <c r="E714" s="9">
        <v>29439885</v>
      </c>
      <c r="F714" s="8" t="s">
        <v>9754</v>
      </c>
      <c r="G714" s="9">
        <v>53</v>
      </c>
      <c r="H714" s="8" t="s">
        <v>8827</v>
      </c>
      <c r="I714" s="8" t="s">
        <v>9755</v>
      </c>
      <c r="J714" s="8"/>
      <c r="K714" s="8"/>
      <c r="L714" s="8"/>
      <c r="M714" s="8"/>
      <c r="N714" s="8"/>
      <c r="O714" s="8"/>
      <c r="P714" s="8"/>
      <c r="Q714" s="8"/>
      <c r="R714" s="8"/>
      <c r="S714" s="8"/>
    </row>
    <row r="715" spans="1:19" ht="15.75" customHeight="1">
      <c r="A715" s="8">
        <v>234294278</v>
      </c>
      <c r="B715" s="8" t="s">
        <v>7768</v>
      </c>
      <c r="C715" s="8" t="s">
        <v>9756</v>
      </c>
      <c r="D715" s="8" t="s">
        <v>9757</v>
      </c>
      <c r="E715" s="9">
        <v>79525944882</v>
      </c>
      <c r="F715" s="8"/>
      <c r="G715" s="9"/>
      <c r="H715" s="8" t="s">
        <v>8164</v>
      </c>
      <c r="I715" s="8" t="s">
        <v>8165</v>
      </c>
      <c r="J715" s="8"/>
      <c r="K715" s="8"/>
      <c r="L715" s="8"/>
      <c r="M715" s="8"/>
      <c r="N715" s="8"/>
      <c r="O715" s="8"/>
      <c r="P715" s="8"/>
      <c r="Q715" s="8"/>
      <c r="R715" s="8"/>
      <c r="S715" s="8"/>
    </row>
    <row r="716" spans="1:19" ht="15.75" customHeight="1">
      <c r="A716" s="8">
        <v>234298201</v>
      </c>
      <c r="B716" s="8" t="s">
        <v>8721</v>
      </c>
      <c r="C716" s="8" t="s">
        <v>9758</v>
      </c>
      <c r="D716" s="8" t="s">
        <v>3129</v>
      </c>
      <c r="E716" s="9" t="s">
        <v>3130</v>
      </c>
      <c r="F716" s="8"/>
      <c r="G716" s="9"/>
      <c r="H716" s="8" t="s">
        <v>8164</v>
      </c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</row>
    <row r="717" spans="1:19" ht="15.75" customHeight="1">
      <c r="A717" s="8">
        <v>234298284</v>
      </c>
      <c r="B717" s="8" t="s">
        <v>8304</v>
      </c>
      <c r="C717" s="8" t="s">
        <v>9759</v>
      </c>
      <c r="D717" s="8" t="s">
        <v>3133</v>
      </c>
      <c r="E717" s="9" t="s">
        <v>3134</v>
      </c>
      <c r="F717" s="8"/>
      <c r="G717" s="9"/>
      <c r="H717" s="8" t="s">
        <v>8164</v>
      </c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</row>
    <row r="718" spans="1:19" ht="15.75" customHeight="1">
      <c r="A718" s="8">
        <v>234302291</v>
      </c>
      <c r="B718" s="8" t="s">
        <v>8479</v>
      </c>
      <c r="C718" s="8" t="s">
        <v>9760</v>
      </c>
      <c r="D718" s="8" t="s">
        <v>3137</v>
      </c>
      <c r="E718" s="9" t="s">
        <v>3138</v>
      </c>
      <c r="F718" s="8" t="s">
        <v>9761</v>
      </c>
      <c r="G718" s="9">
        <v>41</v>
      </c>
      <c r="H718" s="8" t="s">
        <v>8158</v>
      </c>
      <c r="I718" s="8" t="s">
        <v>8165</v>
      </c>
      <c r="J718" s="8"/>
      <c r="K718" s="8"/>
      <c r="L718" s="8"/>
      <c r="M718" s="8"/>
      <c r="N718" s="8"/>
      <c r="O718" s="8"/>
      <c r="P718" s="8"/>
      <c r="Q718" s="8"/>
      <c r="R718" s="8"/>
      <c r="S718" s="8"/>
    </row>
    <row r="719" spans="1:19" ht="15.75" customHeight="1">
      <c r="A719" s="8">
        <v>234305064</v>
      </c>
      <c r="B719" s="8" t="s">
        <v>9194</v>
      </c>
      <c r="C719" s="8" t="s">
        <v>9762</v>
      </c>
      <c r="D719" s="8" t="s">
        <v>3142</v>
      </c>
      <c r="E719" s="9">
        <v>79514340132</v>
      </c>
      <c r="F719" s="8"/>
      <c r="G719" s="9"/>
      <c r="H719" s="8" t="s">
        <v>8164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</row>
    <row r="720" spans="1:19" ht="15.75" customHeight="1">
      <c r="A720" s="8">
        <v>234314223</v>
      </c>
      <c r="B720" s="8"/>
      <c r="C720" s="8"/>
      <c r="D720" s="8" t="s">
        <v>3145</v>
      </c>
      <c r="E720" s="9"/>
      <c r="F720" s="8" t="s">
        <v>9763</v>
      </c>
      <c r="G720" s="9">
        <v>51</v>
      </c>
      <c r="H720" s="8" t="s">
        <v>8164</v>
      </c>
      <c r="I720" s="8" t="s">
        <v>8915</v>
      </c>
      <c r="J720" s="8"/>
      <c r="K720" s="8"/>
      <c r="L720" s="8"/>
      <c r="M720" s="8"/>
      <c r="N720" s="8"/>
      <c r="O720" s="8"/>
      <c r="P720" s="8"/>
      <c r="Q720" s="8"/>
      <c r="R720" s="8"/>
      <c r="S720" s="8"/>
    </row>
    <row r="721" spans="1:19" ht="15.75" customHeight="1">
      <c r="A721" s="8">
        <v>234321383</v>
      </c>
      <c r="B721" s="8" t="s">
        <v>8694</v>
      </c>
      <c r="C721" s="8" t="s">
        <v>9764</v>
      </c>
      <c r="D721" s="8" t="s">
        <v>9765</v>
      </c>
      <c r="E721" s="9">
        <v>3270224288</v>
      </c>
      <c r="F721" s="8"/>
      <c r="G721" s="9"/>
      <c r="H721" s="8" t="s">
        <v>8471</v>
      </c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</row>
    <row r="722" spans="1:19" ht="15.75" customHeight="1">
      <c r="A722" s="8">
        <v>234322752</v>
      </c>
      <c r="B722" s="8"/>
      <c r="C722" s="8"/>
      <c r="D722" s="8" t="s">
        <v>3148</v>
      </c>
      <c r="E722" s="9"/>
      <c r="F722" s="8"/>
      <c r="G722" s="9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</row>
    <row r="723" spans="1:19" ht="15.75" customHeight="1">
      <c r="A723" s="8">
        <v>234377625</v>
      </c>
      <c r="B723" s="8"/>
      <c r="C723" s="8"/>
      <c r="D723" s="8" t="s">
        <v>3151</v>
      </c>
      <c r="E723" s="9"/>
      <c r="F723" s="8"/>
      <c r="G723" s="9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</row>
    <row r="724" spans="1:19" ht="15.75" customHeight="1">
      <c r="A724" s="8">
        <v>234378608</v>
      </c>
      <c r="B724" s="8" t="s">
        <v>8325</v>
      </c>
      <c r="C724" s="8" t="s">
        <v>9766</v>
      </c>
      <c r="D724" s="8" t="s">
        <v>9767</v>
      </c>
      <c r="E724" s="9" t="s">
        <v>9768</v>
      </c>
      <c r="F724" s="8"/>
      <c r="G724" s="9"/>
      <c r="H724" s="8" t="s">
        <v>8183</v>
      </c>
      <c r="I724" s="8" t="s">
        <v>8972</v>
      </c>
      <c r="J724" s="8"/>
      <c r="K724" s="8"/>
      <c r="L724" s="8"/>
      <c r="M724" s="8"/>
      <c r="N724" s="8"/>
      <c r="O724" s="8"/>
      <c r="P724" s="8"/>
      <c r="Q724" s="8"/>
      <c r="R724" s="8"/>
      <c r="S724" s="8"/>
    </row>
    <row r="725" spans="1:19" ht="15.75" customHeight="1">
      <c r="A725" s="8">
        <v>234386044</v>
      </c>
      <c r="B725" s="8"/>
      <c r="C725" s="8"/>
      <c r="D725" s="8" t="s">
        <v>3154</v>
      </c>
      <c r="E725" s="9"/>
      <c r="F725" s="8"/>
      <c r="G725" s="9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</row>
    <row r="726" spans="1:19" ht="15.75" customHeight="1">
      <c r="A726" s="8">
        <v>234395671</v>
      </c>
      <c r="B726" s="8" t="s">
        <v>3156</v>
      </c>
      <c r="C726" s="8"/>
      <c r="D726" s="8" t="s">
        <v>3157</v>
      </c>
      <c r="E726" s="9"/>
      <c r="F726" s="8"/>
      <c r="G726" s="9"/>
      <c r="H726" s="8" t="s">
        <v>9769</v>
      </c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</row>
    <row r="727" spans="1:19" ht="15.75" customHeight="1">
      <c r="A727" s="8">
        <v>234396538</v>
      </c>
      <c r="B727" s="8" t="s">
        <v>7399</v>
      </c>
      <c r="C727" s="8" t="s">
        <v>9770</v>
      </c>
      <c r="D727" s="8" t="s">
        <v>3160</v>
      </c>
      <c r="E727" s="9"/>
      <c r="F727" s="8"/>
      <c r="G727" s="9"/>
      <c r="H727" s="8" t="s">
        <v>8789</v>
      </c>
      <c r="I727" s="8" t="s">
        <v>8538</v>
      </c>
      <c r="J727" s="8"/>
      <c r="K727" s="8"/>
      <c r="L727" s="8"/>
      <c r="M727" s="8"/>
      <c r="N727" s="8"/>
      <c r="O727" s="8"/>
      <c r="P727" s="8"/>
      <c r="Q727" s="8"/>
      <c r="R727" s="8"/>
      <c r="S727" s="8"/>
    </row>
    <row r="728" spans="1:19" ht="15.75" customHeight="1">
      <c r="A728" s="8">
        <v>234396732</v>
      </c>
      <c r="B728" s="8" t="s">
        <v>9771</v>
      </c>
      <c r="C728" s="8" t="s">
        <v>9772</v>
      </c>
      <c r="D728" s="8" t="s">
        <v>3163</v>
      </c>
      <c r="E728" s="9">
        <v>4083904563</v>
      </c>
      <c r="F728" s="8" t="s">
        <v>9773</v>
      </c>
      <c r="G728" s="9">
        <v>0</v>
      </c>
      <c r="H728" s="8" t="s">
        <v>9769</v>
      </c>
      <c r="I728" s="8" t="s">
        <v>9774</v>
      </c>
      <c r="J728" s="8"/>
      <c r="K728" s="8"/>
      <c r="L728" s="8"/>
      <c r="M728" s="8"/>
      <c r="N728" s="8"/>
      <c r="O728" s="8"/>
      <c r="P728" s="8"/>
      <c r="Q728" s="8"/>
      <c r="R728" s="8"/>
      <c r="S728" s="8"/>
    </row>
    <row r="729" spans="1:19" ht="15.75" customHeight="1">
      <c r="A729" s="8">
        <v>234400310</v>
      </c>
      <c r="B729" s="8"/>
      <c r="C729" s="8"/>
      <c r="D729" s="8" t="s">
        <v>3166</v>
      </c>
      <c r="E729" s="9"/>
      <c r="F729" s="8"/>
      <c r="G729" s="9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</row>
    <row r="730" spans="1:19" ht="15.75" customHeight="1">
      <c r="A730" s="8">
        <v>234408481</v>
      </c>
      <c r="B730" s="8"/>
      <c r="C730" s="8"/>
      <c r="D730" s="8" t="s">
        <v>3169</v>
      </c>
      <c r="E730" s="9"/>
      <c r="F730" s="8"/>
      <c r="G730" s="9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</row>
    <row r="731" spans="1:19" ht="15.75" customHeight="1">
      <c r="A731" s="8">
        <v>234412970</v>
      </c>
      <c r="B731" s="8"/>
      <c r="C731" s="8"/>
      <c r="D731" s="8" t="s">
        <v>3172</v>
      </c>
      <c r="E731" s="9"/>
      <c r="F731" s="8"/>
      <c r="G731" s="9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</row>
    <row r="732" spans="1:19" ht="15.75" customHeight="1">
      <c r="A732" s="8">
        <v>234416081</v>
      </c>
      <c r="B732" s="8"/>
      <c r="C732" s="8"/>
      <c r="D732" s="8" t="s">
        <v>3175</v>
      </c>
      <c r="E732" s="9"/>
      <c r="F732" s="8"/>
      <c r="G732" s="9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</row>
    <row r="733" spans="1:19" ht="15.75" customHeight="1">
      <c r="A733" s="8">
        <v>234416481</v>
      </c>
      <c r="B733" s="8" t="s">
        <v>9775</v>
      </c>
      <c r="C733" s="8" t="s">
        <v>9776</v>
      </c>
      <c r="D733" s="8" t="s">
        <v>3178</v>
      </c>
      <c r="E733" s="9" t="s">
        <v>3179</v>
      </c>
      <c r="F733" s="8"/>
      <c r="G733" s="9"/>
      <c r="H733" s="8" t="s">
        <v>8164</v>
      </c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</row>
    <row r="734" spans="1:19" ht="15.75" customHeight="1">
      <c r="A734" s="8">
        <v>234419861</v>
      </c>
      <c r="B734" s="8" t="s">
        <v>8283</v>
      </c>
      <c r="C734" s="8" t="s">
        <v>9681</v>
      </c>
      <c r="D734" s="8" t="s">
        <v>3182</v>
      </c>
      <c r="E734" s="9" t="s">
        <v>3183</v>
      </c>
      <c r="F734" s="8"/>
      <c r="G734" s="9"/>
      <c r="H734" s="8" t="s">
        <v>8164</v>
      </c>
      <c r="I734" s="8" t="s">
        <v>8165</v>
      </c>
      <c r="J734" s="8"/>
      <c r="K734" s="8"/>
      <c r="L734" s="8"/>
      <c r="M734" s="8"/>
      <c r="N734" s="8"/>
      <c r="O734" s="8"/>
      <c r="P734" s="8"/>
      <c r="Q734" s="8"/>
      <c r="R734" s="8"/>
      <c r="S734" s="8"/>
    </row>
    <row r="735" spans="1:19" ht="15.75" customHeight="1">
      <c r="A735" s="8">
        <v>234493992</v>
      </c>
      <c r="B735" s="8" t="s">
        <v>8234</v>
      </c>
      <c r="C735" s="8" t="s">
        <v>9777</v>
      </c>
      <c r="D735" s="8" t="s">
        <v>3186</v>
      </c>
      <c r="E735" s="9" t="s">
        <v>3187</v>
      </c>
      <c r="F735" s="8"/>
      <c r="G735" s="9"/>
      <c r="H735" s="8" t="s">
        <v>8164</v>
      </c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</row>
    <row r="736" spans="1:19" ht="15.75" customHeight="1">
      <c r="A736" s="8">
        <v>234503214</v>
      </c>
      <c r="B736" s="8"/>
      <c r="C736" s="8"/>
      <c r="D736" s="8" t="s">
        <v>3190</v>
      </c>
      <c r="E736" s="9"/>
      <c r="F736" s="8"/>
      <c r="G736" s="9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</row>
    <row r="737" spans="1:19" ht="15.75" customHeight="1">
      <c r="A737" s="8">
        <v>234510076</v>
      </c>
      <c r="B737" s="8" t="s">
        <v>8390</v>
      </c>
      <c r="C737" s="8" t="s">
        <v>9778</v>
      </c>
      <c r="D737" s="8" t="s">
        <v>3193</v>
      </c>
      <c r="E737" s="9" t="s">
        <v>3194</v>
      </c>
      <c r="F737" s="8"/>
      <c r="G737" s="9"/>
      <c r="H737" s="8" t="s">
        <v>8343</v>
      </c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</row>
    <row r="738" spans="1:19" ht="15.75" customHeight="1">
      <c r="A738" s="8">
        <v>234512445</v>
      </c>
      <c r="B738" s="8" t="s">
        <v>8283</v>
      </c>
      <c r="C738" s="8" t="s">
        <v>9779</v>
      </c>
      <c r="D738" s="8" t="s">
        <v>3197</v>
      </c>
      <c r="E738" s="9">
        <v>79220319160</v>
      </c>
      <c r="F738" s="8"/>
      <c r="G738" s="9"/>
      <c r="H738" s="8" t="s">
        <v>8164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</row>
    <row r="739" spans="1:19" ht="15.75" customHeight="1">
      <c r="A739" s="8">
        <v>234589018</v>
      </c>
      <c r="B739" s="8" t="s">
        <v>8279</v>
      </c>
      <c r="C739" s="8" t="s">
        <v>9780</v>
      </c>
      <c r="D739" s="8" t="s">
        <v>9781</v>
      </c>
      <c r="E739" s="9" t="s">
        <v>9782</v>
      </c>
      <c r="F739" s="8"/>
      <c r="G739" s="9"/>
      <c r="H739" s="8" t="s">
        <v>8164</v>
      </c>
      <c r="I739" s="8" t="s">
        <v>8915</v>
      </c>
      <c r="J739" s="8"/>
      <c r="K739" s="8"/>
      <c r="L739" s="8"/>
      <c r="M739" s="8"/>
      <c r="N739" s="8"/>
      <c r="O739" s="8"/>
      <c r="P739" s="8"/>
      <c r="Q739" s="8"/>
      <c r="R739" s="8"/>
      <c r="S739" s="8"/>
    </row>
    <row r="740" spans="1:19" ht="15.75" customHeight="1">
      <c r="A740" s="8">
        <v>234602864</v>
      </c>
      <c r="B740" s="8"/>
      <c r="C740" s="8"/>
      <c r="D740" s="8" t="s">
        <v>3201</v>
      </c>
      <c r="E740" s="9"/>
      <c r="F740" s="8"/>
      <c r="G740" s="9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</row>
    <row r="741" spans="1:19" ht="15.75" customHeight="1">
      <c r="A741" s="8">
        <v>234606277</v>
      </c>
      <c r="B741" s="8"/>
      <c r="C741" s="8"/>
      <c r="D741" s="8" t="s">
        <v>3204</v>
      </c>
      <c r="E741" s="9"/>
      <c r="F741" s="8"/>
      <c r="G741" s="9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</row>
    <row r="742" spans="1:19" ht="15.75" customHeight="1">
      <c r="A742" s="8">
        <v>234607146</v>
      </c>
      <c r="B742" s="8"/>
      <c r="C742" s="8"/>
      <c r="D742" s="8" t="s">
        <v>3207</v>
      </c>
      <c r="E742" s="9"/>
      <c r="F742" s="8"/>
      <c r="G742" s="9"/>
      <c r="H742" s="8" t="s">
        <v>8158</v>
      </c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</row>
    <row r="743" spans="1:19" ht="15.75" customHeight="1">
      <c r="A743" s="8">
        <v>234635409</v>
      </c>
      <c r="B743" s="8" t="s">
        <v>9783</v>
      </c>
      <c r="C743" s="8" t="s">
        <v>9784</v>
      </c>
      <c r="D743" s="8" t="s">
        <v>3210</v>
      </c>
      <c r="E743" s="9">
        <v>79165248412</v>
      </c>
      <c r="F743" s="8" t="s">
        <v>9785</v>
      </c>
      <c r="G743" s="9">
        <v>48</v>
      </c>
      <c r="H743" s="8" t="s">
        <v>9786</v>
      </c>
      <c r="I743" s="8" t="s">
        <v>9787</v>
      </c>
      <c r="J743" s="8"/>
      <c r="K743" s="8"/>
      <c r="L743" s="8"/>
      <c r="M743" s="8"/>
      <c r="N743" s="8"/>
      <c r="O743" s="8"/>
      <c r="P743" s="8"/>
      <c r="Q743" s="8"/>
      <c r="R743" s="8"/>
      <c r="S743" s="8"/>
    </row>
    <row r="744" spans="1:19" ht="15.75" customHeight="1">
      <c r="A744" s="8">
        <v>234643265</v>
      </c>
      <c r="B744" s="8" t="s">
        <v>8717</v>
      </c>
      <c r="C744" s="8" t="s">
        <v>9788</v>
      </c>
      <c r="D744" s="8" t="s">
        <v>3213</v>
      </c>
      <c r="E744" s="9" t="s">
        <v>3214</v>
      </c>
      <c r="F744" s="8" t="s">
        <v>9789</v>
      </c>
      <c r="G744" s="9">
        <v>43</v>
      </c>
      <c r="H744" s="8" t="s">
        <v>8164</v>
      </c>
      <c r="I744" s="8" t="s">
        <v>9790</v>
      </c>
      <c r="J744" s="8" t="s">
        <v>9791</v>
      </c>
      <c r="K744" s="8"/>
      <c r="L744" s="8"/>
      <c r="M744" s="8" t="s">
        <v>8176</v>
      </c>
      <c r="N744" s="8"/>
      <c r="O744" s="8"/>
      <c r="P744" s="8"/>
      <c r="Q744" s="8"/>
      <c r="R744" s="8"/>
      <c r="S744" s="8"/>
    </row>
    <row r="745" spans="1:19" ht="15.75" customHeight="1">
      <c r="A745" s="8">
        <v>234647447</v>
      </c>
      <c r="B745" s="8"/>
      <c r="C745" s="8"/>
      <c r="D745" s="8" t="s">
        <v>3217</v>
      </c>
      <c r="E745" s="9"/>
      <c r="F745" s="8"/>
      <c r="G745" s="9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</row>
    <row r="746" spans="1:19" ht="15.75" customHeight="1">
      <c r="A746" s="8">
        <v>234652278</v>
      </c>
      <c r="B746" s="8"/>
      <c r="C746" s="8"/>
      <c r="D746" s="8" t="s">
        <v>3220</v>
      </c>
      <c r="E746" s="9"/>
      <c r="F746" s="8"/>
      <c r="G746" s="9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</row>
    <row r="747" spans="1:19" ht="15.75" customHeight="1">
      <c r="A747" s="8">
        <v>234671086</v>
      </c>
      <c r="B747" s="8" t="s">
        <v>9792</v>
      </c>
      <c r="C747" s="8" t="s">
        <v>9793</v>
      </c>
      <c r="D747" s="8" t="s">
        <v>3223</v>
      </c>
      <c r="E747" s="9" t="s">
        <v>3224</v>
      </c>
      <c r="F747" s="8" t="s">
        <v>9794</v>
      </c>
      <c r="G747" s="9">
        <v>34</v>
      </c>
      <c r="H747" s="8" t="s">
        <v>9769</v>
      </c>
      <c r="I747" s="8" t="s">
        <v>9795</v>
      </c>
      <c r="J747" s="8"/>
      <c r="K747" s="8"/>
      <c r="L747" s="8"/>
      <c r="M747" s="8"/>
      <c r="N747" s="8"/>
      <c r="O747" s="8"/>
      <c r="P747" s="8"/>
      <c r="Q747" s="8"/>
      <c r="R747" s="8"/>
      <c r="S747" s="8"/>
    </row>
    <row r="748" spans="1:19" ht="15.75" customHeight="1">
      <c r="A748" s="8">
        <v>234677533</v>
      </c>
      <c r="B748" s="8" t="s">
        <v>8304</v>
      </c>
      <c r="C748" s="8" t="s">
        <v>9796</v>
      </c>
      <c r="D748" s="8" t="s">
        <v>3227</v>
      </c>
      <c r="E748" s="9">
        <v>79517899501</v>
      </c>
      <c r="F748" s="8" t="s">
        <v>9797</v>
      </c>
      <c r="G748" s="9">
        <v>55</v>
      </c>
      <c r="H748" s="8" t="s">
        <v>8164</v>
      </c>
      <c r="I748" s="8" t="s">
        <v>8441</v>
      </c>
      <c r="J748" s="8"/>
      <c r="K748" s="8"/>
      <c r="L748" s="8"/>
      <c r="M748" s="8"/>
      <c r="N748" s="8"/>
      <c r="O748" s="8"/>
      <c r="P748" s="8"/>
      <c r="Q748" s="8"/>
      <c r="R748" s="8"/>
      <c r="S748" s="8"/>
    </row>
    <row r="749" spans="1:19" ht="15.75" customHeight="1">
      <c r="A749" s="8">
        <v>234680188</v>
      </c>
      <c r="B749" s="8" t="s">
        <v>9798</v>
      </c>
      <c r="C749" s="8" t="s">
        <v>9799</v>
      </c>
      <c r="D749" s="8" t="s">
        <v>3231</v>
      </c>
      <c r="E749" s="9" t="s">
        <v>3232</v>
      </c>
      <c r="F749" s="8" t="s">
        <v>9800</v>
      </c>
      <c r="G749" s="9">
        <v>17</v>
      </c>
      <c r="H749" s="8" t="s">
        <v>8164</v>
      </c>
      <c r="I749" s="8" t="s">
        <v>8464</v>
      </c>
      <c r="J749" s="8" t="s">
        <v>9801</v>
      </c>
      <c r="K749" s="8"/>
      <c r="L749" s="8"/>
      <c r="M749" s="8"/>
      <c r="N749" s="8"/>
      <c r="O749" s="8"/>
      <c r="P749" s="8"/>
      <c r="Q749" s="8"/>
      <c r="R749" s="8"/>
      <c r="S749" s="8"/>
    </row>
    <row r="750" spans="1:19" ht="15.75" customHeight="1">
      <c r="A750" s="8">
        <v>234708010</v>
      </c>
      <c r="B750" s="8"/>
      <c r="C750" s="8"/>
      <c r="D750" s="8" t="s">
        <v>3236</v>
      </c>
      <c r="E750" s="9"/>
      <c r="F750" s="8"/>
      <c r="G750" s="9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</row>
    <row r="751" spans="1:19" ht="15.75" customHeight="1">
      <c r="A751" s="8">
        <v>234726827</v>
      </c>
      <c r="B751" s="8" t="s">
        <v>9802</v>
      </c>
      <c r="C751" s="8" t="s">
        <v>9803</v>
      </c>
      <c r="D751" s="8" t="s">
        <v>3239</v>
      </c>
      <c r="E751" s="9" t="s">
        <v>3240</v>
      </c>
      <c r="F751" s="8"/>
      <c r="G751" s="9"/>
      <c r="H751" s="8" t="s">
        <v>8164</v>
      </c>
      <c r="I751" s="8" t="s">
        <v>8191</v>
      </c>
      <c r="J751" s="8"/>
      <c r="K751" s="8"/>
      <c r="L751" s="8"/>
      <c r="M751" s="8"/>
      <c r="N751" s="8"/>
      <c r="O751" s="8"/>
      <c r="P751" s="8"/>
      <c r="Q751" s="8"/>
      <c r="R751" s="8"/>
      <c r="S751" s="8"/>
    </row>
    <row r="752" spans="1:19" ht="15.75" customHeight="1">
      <c r="A752" s="8">
        <v>234746325</v>
      </c>
      <c r="B752" s="8" t="s">
        <v>8338</v>
      </c>
      <c r="C752" s="8" t="s">
        <v>9804</v>
      </c>
      <c r="D752" s="8" t="s">
        <v>3244</v>
      </c>
      <c r="E752" s="9" t="s">
        <v>3245</v>
      </c>
      <c r="F752" s="8" t="s">
        <v>9805</v>
      </c>
      <c r="G752" s="9">
        <v>0</v>
      </c>
      <c r="H752" s="8" t="s">
        <v>8164</v>
      </c>
      <c r="I752" s="8" t="s">
        <v>8165</v>
      </c>
      <c r="J752" s="8"/>
      <c r="K752" s="8"/>
      <c r="L752" s="8"/>
      <c r="M752" s="8"/>
      <c r="N752" s="8"/>
      <c r="O752" s="8"/>
      <c r="P752" s="8"/>
      <c r="Q752" s="8"/>
      <c r="R752" s="8"/>
      <c r="S752" s="8"/>
    </row>
    <row r="753" spans="1:19" ht="15.75" customHeight="1">
      <c r="A753" s="8">
        <v>234775619</v>
      </c>
      <c r="B753" s="8" t="s">
        <v>8365</v>
      </c>
      <c r="C753" s="8" t="s">
        <v>9806</v>
      </c>
      <c r="D753" s="8" t="s">
        <v>3252</v>
      </c>
      <c r="E753" s="9">
        <v>79655482822</v>
      </c>
      <c r="F753" s="8"/>
      <c r="G753" s="9"/>
      <c r="H753" s="8" t="s">
        <v>8158</v>
      </c>
      <c r="I753" s="8" t="s">
        <v>8165</v>
      </c>
      <c r="J753" s="8"/>
      <c r="K753" s="8"/>
      <c r="L753" s="8"/>
      <c r="M753" s="8"/>
      <c r="N753" s="8"/>
      <c r="O753" s="8"/>
      <c r="P753" s="8"/>
      <c r="Q753" s="8"/>
      <c r="R753" s="8"/>
      <c r="S753" s="8"/>
    </row>
    <row r="754" spans="1:19" ht="15.75" customHeight="1">
      <c r="A754" s="8">
        <v>234815554</v>
      </c>
      <c r="B754" s="8" t="s">
        <v>8760</v>
      </c>
      <c r="C754" s="8" t="s">
        <v>9807</v>
      </c>
      <c r="D754" s="8" t="s">
        <v>3255</v>
      </c>
      <c r="E754" s="9">
        <v>79514440327</v>
      </c>
      <c r="F754" s="8"/>
      <c r="G754" s="9"/>
      <c r="H754" s="8" t="s">
        <v>8164</v>
      </c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</row>
    <row r="755" spans="1:19" ht="15.75" customHeight="1">
      <c r="A755" s="8">
        <v>234850902</v>
      </c>
      <c r="B755" s="8" t="s">
        <v>8304</v>
      </c>
      <c r="C755" s="8" t="s">
        <v>9808</v>
      </c>
      <c r="D755" s="8" t="s">
        <v>3259</v>
      </c>
      <c r="E755" s="9" t="s">
        <v>3260</v>
      </c>
      <c r="F755" s="8" t="s">
        <v>9809</v>
      </c>
      <c r="G755" s="9">
        <v>29</v>
      </c>
      <c r="H755" s="8" t="s">
        <v>8164</v>
      </c>
      <c r="I755" s="8" t="s">
        <v>8699</v>
      </c>
      <c r="J755" s="8"/>
      <c r="K755" s="8"/>
      <c r="L755" s="8"/>
      <c r="M755" s="8"/>
      <c r="N755" s="8"/>
      <c r="O755" s="8"/>
      <c r="P755" s="8"/>
      <c r="Q755" s="8"/>
      <c r="R755" s="8"/>
      <c r="S755" s="8"/>
    </row>
    <row r="756" spans="1:19" ht="15.75" customHeight="1">
      <c r="A756" s="8">
        <v>234852354</v>
      </c>
      <c r="B756" s="8"/>
      <c r="C756" s="8"/>
      <c r="D756" s="8" t="s">
        <v>3263</v>
      </c>
      <c r="E756" s="9"/>
      <c r="F756" s="8"/>
      <c r="G756" s="9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</row>
    <row r="757" spans="1:19" ht="15.75" customHeight="1">
      <c r="A757" s="8">
        <v>234865677</v>
      </c>
      <c r="B757" s="8"/>
      <c r="C757" s="8"/>
      <c r="D757" s="8" t="s">
        <v>3266</v>
      </c>
      <c r="E757" s="9"/>
      <c r="F757" s="8"/>
      <c r="G757" s="9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</row>
    <row r="758" spans="1:19" ht="15.75" customHeight="1">
      <c r="A758" s="8">
        <v>234871534</v>
      </c>
      <c r="B758" s="8"/>
      <c r="C758" s="8"/>
      <c r="D758" s="8" t="s">
        <v>3269</v>
      </c>
      <c r="E758" s="9"/>
      <c r="F758" s="8"/>
      <c r="G758" s="9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</row>
    <row r="759" spans="1:19" ht="15.75" customHeight="1">
      <c r="A759" s="8">
        <v>234885794</v>
      </c>
      <c r="B759" s="8"/>
      <c r="C759" s="8"/>
      <c r="D759" s="8" t="s">
        <v>3272</v>
      </c>
      <c r="E759" s="9"/>
      <c r="F759" s="8"/>
      <c r="G759" s="9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</row>
    <row r="760" spans="1:19" ht="15.75" customHeight="1">
      <c r="A760" s="8">
        <v>234888621</v>
      </c>
      <c r="B760" s="8" t="s">
        <v>7768</v>
      </c>
      <c r="C760" s="8" t="s">
        <v>9810</v>
      </c>
      <c r="D760" s="8" t="s">
        <v>3276</v>
      </c>
      <c r="E760" s="9">
        <v>79142173349</v>
      </c>
      <c r="F760" s="8"/>
      <c r="G760" s="9"/>
      <c r="H760" s="8" t="s">
        <v>8164</v>
      </c>
      <c r="I760" s="8" t="s">
        <v>8165</v>
      </c>
      <c r="J760" s="8"/>
      <c r="K760" s="8"/>
      <c r="L760" s="8"/>
      <c r="M760" s="8"/>
      <c r="N760" s="8"/>
      <c r="O760" s="8"/>
      <c r="P760" s="8"/>
      <c r="Q760" s="8"/>
      <c r="R760" s="8"/>
      <c r="S760" s="8"/>
    </row>
    <row r="761" spans="1:19" ht="15.75" customHeight="1">
      <c r="A761" s="8">
        <v>234890880</v>
      </c>
      <c r="B761" s="8" t="s">
        <v>9130</v>
      </c>
      <c r="C761" s="8" t="s">
        <v>9811</v>
      </c>
      <c r="D761" s="8" t="s">
        <v>9812</v>
      </c>
      <c r="E761" s="9">
        <v>8583536253</v>
      </c>
      <c r="F761" s="8"/>
      <c r="G761" s="9"/>
      <c r="H761" s="8" t="s">
        <v>9769</v>
      </c>
      <c r="I761" s="8" t="s">
        <v>9813</v>
      </c>
      <c r="J761" s="8"/>
      <c r="K761" s="8"/>
      <c r="L761" s="8"/>
      <c r="M761" s="8"/>
      <c r="N761" s="8"/>
      <c r="O761" s="8"/>
      <c r="P761" s="8"/>
      <c r="Q761" s="8"/>
      <c r="R761" s="8"/>
      <c r="S761" s="8"/>
    </row>
    <row r="762" spans="1:19" ht="15.75" customHeight="1">
      <c r="A762" s="8">
        <v>234893376</v>
      </c>
      <c r="B762" s="8"/>
      <c r="C762" s="8"/>
      <c r="D762" s="8" t="s">
        <v>3280</v>
      </c>
      <c r="E762" s="9"/>
      <c r="F762" s="8"/>
      <c r="G762" s="9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</row>
    <row r="763" spans="1:19" ht="15.75" customHeight="1">
      <c r="A763" s="8">
        <v>234897315</v>
      </c>
      <c r="B763" s="8" t="s">
        <v>8581</v>
      </c>
      <c r="C763" s="8" t="s">
        <v>9814</v>
      </c>
      <c r="D763" s="8" t="s">
        <v>3283</v>
      </c>
      <c r="E763" s="9">
        <v>79320172184</v>
      </c>
      <c r="F763" s="8"/>
      <c r="G763" s="9"/>
      <c r="H763" s="8" t="s">
        <v>8164</v>
      </c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</row>
    <row r="764" spans="1:19" ht="15.75" customHeight="1">
      <c r="A764" s="8">
        <v>234908082</v>
      </c>
      <c r="B764" s="8"/>
      <c r="C764" s="8"/>
      <c r="D764" s="8" t="s">
        <v>3286</v>
      </c>
      <c r="E764" s="9"/>
      <c r="F764" s="8"/>
      <c r="G764" s="9"/>
      <c r="H764" s="8" t="s">
        <v>8158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</row>
    <row r="765" spans="1:19" ht="15.75" customHeight="1">
      <c r="A765" s="8">
        <v>234909761</v>
      </c>
      <c r="B765" s="8"/>
      <c r="C765" s="8"/>
      <c r="D765" s="8" t="s">
        <v>9815</v>
      </c>
      <c r="E765" s="9"/>
      <c r="F765" s="8"/>
      <c r="G765" s="9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</row>
    <row r="766" spans="1:19" ht="15.75" customHeight="1">
      <c r="A766" s="8">
        <v>234925372</v>
      </c>
      <c r="B766" s="8"/>
      <c r="C766" s="8"/>
      <c r="D766" s="8" t="s">
        <v>3290</v>
      </c>
      <c r="E766" s="9"/>
      <c r="F766" s="8"/>
      <c r="G766" s="9"/>
      <c r="H766" s="8" t="s">
        <v>8164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</row>
    <row r="767" spans="1:19" ht="15.75" customHeight="1">
      <c r="A767" s="8">
        <v>234944225</v>
      </c>
      <c r="B767" s="8" t="s">
        <v>8431</v>
      </c>
      <c r="C767" s="8" t="s">
        <v>9816</v>
      </c>
      <c r="D767" s="8" t="s">
        <v>3295</v>
      </c>
      <c r="E767" s="9">
        <v>79144126464</v>
      </c>
      <c r="F767" s="8" t="s">
        <v>9817</v>
      </c>
      <c r="G767" s="9">
        <v>48</v>
      </c>
      <c r="H767" s="8" t="s">
        <v>8164</v>
      </c>
      <c r="I767" s="8" t="s">
        <v>8165</v>
      </c>
      <c r="J767" s="8"/>
      <c r="K767" s="8"/>
      <c r="L767" s="8"/>
      <c r="M767" s="8"/>
      <c r="N767" s="8"/>
      <c r="O767" s="8"/>
      <c r="P767" s="8"/>
      <c r="Q767" s="8"/>
      <c r="R767" s="8"/>
      <c r="S767" s="8"/>
    </row>
    <row r="768" spans="1:19" ht="15.75" customHeight="1">
      <c r="A768" s="8">
        <v>234998334</v>
      </c>
      <c r="B768" s="8"/>
      <c r="C768" s="8"/>
      <c r="D768" s="8" t="s">
        <v>3303</v>
      </c>
      <c r="E768" s="9"/>
      <c r="F768" s="8"/>
      <c r="G768" s="9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</row>
    <row r="769" spans="1:19" ht="15.75" customHeight="1">
      <c r="A769" s="8">
        <v>235030694</v>
      </c>
      <c r="B769" s="8" t="s">
        <v>9246</v>
      </c>
      <c r="C769" s="8" t="s">
        <v>9818</v>
      </c>
      <c r="D769" s="8" t="s">
        <v>3306</v>
      </c>
      <c r="E769" s="9" t="s">
        <v>3307</v>
      </c>
      <c r="F769" s="8"/>
      <c r="G769" s="9"/>
      <c r="H769" s="8" t="s">
        <v>8222</v>
      </c>
      <c r="I769" s="8" t="s">
        <v>8412</v>
      </c>
      <c r="J769" s="8"/>
      <c r="K769" s="8"/>
      <c r="L769" s="8"/>
      <c r="M769" s="8"/>
      <c r="N769" s="8"/>
      <c r="O769" s="8"/>
      <c r="P769" s="8"/>
      <c r="Q769" s="8"/>
      <c r="R769" s="8"/>
      <c r="S769" s="8"/>
    </row>
    <row r="770" spans="1:19" ht="15.75" customHeight="1">
      <c r="A770" s="8">
        <v>235030962</v>
      </c>
      <c r="B770" s="8" t="s">
        <v>8577</v>
      </c>
      <c r="C770" s="8" t="s">
        <v>9819</v>
      </c>
      <c r="D770" s="8" t="s">
        <v>3311</v>
      </c>
      <c r="E770" s="9" t="s">
        <v>3312</v>
      </c>
      <c r="F770" s="8"/>
      <c r="G770" s="9"/>
      <c r="H770" s="8" t="s">
        <v>8222</v>
      </c>
      <c r="I770" s="8" t="s">
        <v>8412</v>
      </c>
      <c r="J770" s="8"/>
      <c r="K770" s="8"/>
      <c r="L770" s="8"/>
      <c r="M770" s="8"/>
      <c r="N770" s="8"/>
      <c r="O770" s="8"/>
      <c r="P770" s="8"/>
      <c r="Q770" s="8"/>
      <c r="R770" s="8"/>
      <c r="S770" s="8"/>
    </row>
    <row r="771" spans="1:19" ht="15.75" customHeight="1">
      <c r="A771" s="8">
        <v>235054304</v>
      </c>
      <c r="B771" s="8" t="s">
        <v>8407</v>
      </c>
      <c r="C771" s="8" t="s">
        <v>9820</v>
      </c>
      <c r="D771" s="8" t="s">
        <v>9821</v>
      </c>
      <c r="E771" s="9" t="s">
        <v>9822</v>
      </c>
      <c r="F771" s="8"/>
      <c r="G771" s="9"/>
      <c r="H771" s="8" t="s">
        <v>8164</v>
      </c>
      <c r="I771" s="8"/>
      <c r="J771" s="8" t="s">
        <v>9823</v>
      </c>
      <c r="K771" s="8"/>
      <c r="L771" s="8"/>
      <c r="M771" s="8"/>
      <c r="N771" s="8"/>
      <c r="O771" s="8"/>
      <c r="P771" s="8" t="s">
        <v>8171</v>
      </c>
      <c r="Q771" s="8"/>
      <c r="R771" s="8"/>
      <c r="S771" s="8"/>
    </row>
    <row r="772" spans="1:19" ht="15.75" customHeight="1">
      <c r="A772" s="8">
        <v>235081820</v>
      </c>
      <c r="B772" s="8"/>
      <c r="C772" s="8"/>
      <c r="D772" s="8" t="s">
        <v>3315</v>
      </c>
      <c r="E772" s="9"/>
      <c r="F772" s="8"/>
      <c r="G772" s="9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</row>
    <row r="773" spans="1:19" ht="15.75" customHeight="1">
      <c r="A773" s="8">
        <v>235087003</v>
      </c>
      <c r="B773" s="8" t="s">
        <v>8206</v>
      </c>
      <c r="C773" s="8" t="s">
        <v>9824</v>
      </c>
      <c r="D773" s="8" t="s">
        <v>3318</v>
      </c>
      <c r="E773" s="9" t="s">
        <v>3319</v>
      </c>
      <c r="F773" s="8"/>
      <c r="G773" s="9"/>
      <c r="H773" s="8" t="s">
        <v>8222</v>
      </c>
      <c r="I773" s="8" t="s">
        <v>8412</v>
      </c>
      <c r="J773" s="8"/>
      <c r="K773" s="8"/>
      <c r="L773" s="8"/>
      <c r="M773" s="8"/>
      <c r="N773" s="8"/>
      <c r="O773" s="8"/>
      <c r="P773" s="8"/>
      <c r="Q773" s="8"/>
      <c r="R773" s="8"/>
      <c r="S773" s="8"/>
    </row>
    <row r="774" spans="1:19" ht="15.75" customHeight="1">
      <c r="A774" s="8">
        <v>235094064</v>
      </c>
      <c r="B774" s="8"/>
      <c r="C774" s="8"/>
      <c r="D774" s="8" t="s">
        <v>9825</v>
      </c>
      <c r="E774" s="9"/>
      <c r="F774" s="8"/>
      <c r="G774" s="9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</row>
    <row r="775" spans="1:19" ht="15.75" customHeight="1">
      <c r="A775" s="8">
        <v>235098973</v>
      </c>
      <c r="B775" s="8"/>
      <c r="C775" s="8"/>
      <c r="D775" s="8" t="s">
        <v>9826</v>
      </c>
      <c r="E775" s="9"/>
      <c r="F775" s="8"/>
      <c r="G775" s="9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</row>
    <row r="776" spans="1:19" ht="15.75" customHeight="1">
      <c r="A776" s="8">
        <v>235105057</v>
      </c>
      <c r="B776" s="8"/>
      <c r="C776" s="8"/>
      <c r="D776" s="8" t="s">
        <v>3322</v>
      </c>
      <c r="E776" s="9"/>
      <c r="F776" s="8"/>
      <c r="G776" s="9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</row>
    <row r="777" spans="1:19" ht="15.75" customHeight="1">
      <c r="A777" s="8">
        <v>235141327</v>
      </c>
      <c r="B777" s="8" t="s">
        <v>8373</v>
      </c>
      <c r="C777" s="8" t="s">
        <v>9827</v>
      </c>
      <c r="D777" s="8" t="s">
        <v>3325</v>
      </c>
      <c r="E777" s="9">
        <v>79052320935</v>
      </c>
      <c r="F777" s="8" t="s">
        <v>9828</v>
      </c>
      <c r="G777" s="9">
        <v>60</v>
      </c>
      <c r="H777" s="8" t="s">
        <v>9829</v>
      </c>
      <c r="I777" s="8" t="s">
        <v>8208</v>
      </c>
      <c r="J777" s="8"/>
      <c r="K777" s="8"/>
      <c r="L777" s="8"/>
      <c r="M777" s="8"/>
      <c r="N777" s="8"/>
      <c r="O777" s="8"/>
      <c r="P777" s="8"/>
      <c r="Q777" s="8"/>
      <c r="R777" s="8"/>
      <c r="S777" s="8"/>
    </row>
    <row r="778" spans="1:19" ht="15.75" customHeight="1">
      <c r="A778" s="8">
        <v>235171656</v>
      </c>
      <c r="B778" s="8"/>
      <c r="C778" s="8"/>
      <c r="D778" s="8" t="s">
        <v>3328</v>
      </c>
      <c r="E778" s="9"/>
      <c r="F778" s="8"/>
      <c r="G778" s="9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</row>
    <row r="779" spans="1:19" ht="15.75" customHeight="1">
      <c r="A779" s="8">
        <v>235172756</v>
      </c>
      <c r="B779" s="8"/>
      <c r="C779" s="8"/>
      <c r="D779" s="8" t="s">
        <v>3331</v>
      </c>
      <c r="E779" s="9"/>
      <c r="F779" s="8"/>
      <c r="G779" s="9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</row>
    <row r="780" spans="1:19" ht="15.75" customHeight="1">
      <c r="A780" s="8">
        <v>235190847</v>
      </c>
      <c r="B780" s="8" t="s">
        <v>9830</v>
      </c>
      <c r="C780" s="8" t="s">
        <v>9831</v>
      </c>
      <c r="D780" s="8" t="s">
        <v>3334</v>
      </c>
      <c r="E780" s="9" t="s">
        <v>3335</v>
      </c>
      <c r="F780" s="8" t="s">
        <v>9832</v>
      </c>
      <c r="G780" s="9">
        <v>32</v>
      </c>
      <c r="H780" s="8" t="s">
        <v>8183</v>
      </c>
      <c r="I780" s="8" t="s">
        <v>9614</v>
      </c>
      <c r="J780" s="8"/>
      <c r="K780" s="8"/>
      <c r="L780" s="8"/>
      <c r="M780" s="8"/>
      <c r="N780" s="8"/>
      <c r="O780" s="8"/>
      <c r="P780" s="8"/>
      <c r="Q780" s="8"/>
      <c r="R780" s="8"/>
      <c r="S780" s="8"/>
    </row>
    <row r="781" spans="1:19" ht="15.75" customHeight="1">
      <c r="A781" s="8">
        <v>235193919</v>
      </c>
      <c r="B781" s="8"/>
      <c r="C781" s="8"/>
      <c r="D781" s="8" t="s">
        <v>3338</v>
      </c>
      <c r="E781" s="9"/>
      <c r="F781" s="8"/>
      <c r="G781" s="9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</row>
    <row r="782" spans="1:19" ht="15.75" customHeight="1">
      <c r="A782" s="8">
        <v>235197675</v>
      </c>
      <c r="B782" s="8" t="s">
        <v>9833</v>
      </c>
      <c r="C782" s="8" t="s">
        <v>9834</v>
      </c>
      <c r="D782" s="8" t="s">
        <v>3341</v>
      </c>
      <c r="E782" s="9" t="s">
        <v>3342</v>
      </c>
      <c r="F782" s="8" t="s">
        <v>9835</v>
      </c>
      <c r="G782" s="9">
        <v>22</v>
      </c>
      <c r="H782" s="8" t="s">
        <v>8179</v>
      </c>
      <c r="I782" s="8" t="s">
        <v>8180</v>
      </c>
      <c r="J782" s="8"/>
      <c r="K782" s="8"/>
      <c r="L782" s="8"/>
      <c r="M782" s="8"/>
      <c r="N782" s="8"/>
      <c r="O782" s="8"/>
      <c r="P782" s="8"/>
      <c r="Q782" s="8"/>
      <c r="R782" s="8"/>
      <c r="S782" s="8"/>
    </row>
    <row r="783" spans="1:19" ht="15.75" customHeight="1">
      <c r="A783" s="8">
        <v>235265377</v>
      </c>
      <c r="B783" s="8" t="s">
        <v>9836</v>
      </c>
      <c r="C783" s="8" t="s">
        <v>9837</v>
      </c>
      <c r="D783" s="8" t="s">
        <v>3346</v>
      </c>
      <c r="E783" s="9" t="s">
        <v>3347</v>
      </c>
      <c r="F783" s="8"/>
      <c r="G783" s="9"/>
      <c r="H783" s="8" t="s">
        <v>8164</v>
      </c>
      <c r="I783" s="8" t="s">
        <v>8191</v>
      </c>
      <c r="J783" s="8"/>
      <c r="K783" s="8"/>
      <c r="L783" s="8"/>
      <c r="M783" s="8"/>
      <c r="N783" s="8"/>
      <c r="O783" s="8"/>
      <c r="P783" s="8"/>
      <c r="Q783" s="8"/>
      <c r="R783" s="8"/>
      <c r="S783" s="8"/>
    </row>
    <row r="784" spans="1:19" ht="15.75" customHeight="1">
      <c r="A784" s="8">
        <v>235314244</v>
      </c>
      <c r="B784" s="8" t="s">
        <v>8682</v>
      </c>
      <c r="C784" s="8" t="s">
        <v>9838</v>
      </c>
      <c r="D784" s="8" t="s">
        <v>3352</v>
      </c>
      <c r="E784" s="9" t="s">
        <v>3353</v>
      </c>
      <c r="F784" s="8"/>
      <c r="G784" s="9"/>
      <c r="H784" s="8" t="s">
        <v>8158</v>
      </c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</row>
    <row r="785" spans="1:19" ht="15.75" customHeight="1">
      <c r="A785" s="8">
        <v>235320048</v>
      </c>
      <c r="B785" s="8" t="s">
        <v>7875</v>
      </c>
      <c r="C785" s="8" t="s">
        <v>9839</v>
      </c>
      <c r="D785" s="8" t="s">
        <v>3356</v>
      </c>
      <c r="E785" s="9">
        <v>255470691</v>
      </c>
      <c r="F785" s="8"/>
      <c r="G785" s="9"/>
      <c r="H785" s="8" t="s">
        <v>8222</v>
      </c>
      <c r="I785" s="8" t="s">
        <v>8412</v>
      </c>
      <c r="J785" s="8"/>
      <c r="K785" s="8"/>
      <c r="L785" s="8"/>
      <c r="M785" s="8"/>
      <c r="N785" s="8"/>
      <c r="O785" s="8"/>
      <c r="P785" s="8"/>
      <c r="Q785" s="8"/>
      <c r="R785" s="8"/>
      <c r="S785" s="8"/>
    </row>
    <row r="786" spans="1:19" ht="15.75" customHeight="1">
      <c r="A786" s="8">
        <v>235339626</v>
      </c>
      <c r="B786" s="8"/>
      <c r="C786" s="8"/>
      <c r="D786" s="8" t="s">
        <v>3359</v>
      </c>
      <c r="E786" s="9"/>
      <c r="F786" s="8"/>
      <c r="G786" s="9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</row>
    <row r="787" spans="1:19" ht="15.75" customHeight="1">
      <c r="A787" s="8">
        <v>235382046</v>
      </c>
      <c r="B787" s="8" t="s">
        <v>8206</v>
      </c>
      <c r="C787" s="8" t="s">
        <v>9840</v>
      </c>
      <c r="D787" s="8" t="s">
        <v>3363</v>
      </c>
      <c r="E787" s="9" t="s">
        <v>3364</v>
      </c>
      <c r="F787" s="8"/>
      <c r="G787" s="9"/>
      <c r="H787" s="8" t="s">
        <v>8164</v>
      </c>
      <c r="I787" s="8" t="s">
        <v>8165</v>
      </c>
      <c r="J787" s="8"/>
      <c r="K787" s="8"/>
      <c r="L787" s="8"/>
      <c r="M787" s="8"/>
      <c r="N787" s="8"/>
      <c r="O787" s="8"/>
      <c r="P787" s="8"/>
      <c r="Q787" s="8"/>
      <c r="R787" s="8"/>
      <c r="S787" s="8"/>
    </row>
    <row r="788" spans="1:19" ht="15.75" customHeight="1">
      <c r="A788" s="8">
        <v>235490238</v>
      </c>
      <c r="B788" s="8" t="s">
        <v>8252</v>
      </c>
      <c r="C788" s="8" t="s">
        <v>9841</v>
      </c>
      <c r="D788" s="8" t="s">
        <v>3368</v>
      </c>
      <c r="E788" s="9" t="s">
        <v>3369</v>
      </c>
      <c r="F788" s="8"/>
      <c r="G788" s="9"/>
      <c r="H788" s="8" t="s">
        <v>8164</v>
      </c>
      <c r="I788" s="8" t="s">
        <v>8165</v>
      </c>
      <c r="J788" s="8"/>
      <c r="K788" s="8"/>
      <c r="L788" s="8"/>
      <c r="M788" s="8"/>
      <c r="N788" s="8"/>
      <c r="O788" s="8"/>
      <c r="P788" s="8"/>
      <c r="Q788" s="8"/>
      <c r="R788" s="8"/>
      <c r="S788" s="8"/>
    </row>
    <row r="789" spans="1:19" ht="15.75" customHeight="1">
      <c r="A789" s="8">
        <v>235493680</v>
      </c>
      <c r="B789" s="8" t="s">
        <v>8365</v>
      </c>
      <c r="C789" s="8" t="s">
        <v>9842</v>
      </c>
      <c r="D789" s="8" t="s">
        <v>3372</v>
      </c>
      <c r="E789" s="9" t="s">
        <v>3373</v>
      </c>
      <c r="F789" s="8"/>
      <c r="G789" s="9"/>
      <c r="H789" s="8" t="s">
        <v>8164</v>
      </c>
      <c r="I789" s="8" t="s">
        <v>8165</v>
      </c>
      <c r="J789" s="8"/>
      <c r="K789" s="8"/>
      <c r="L789" s="8"/>
      <c r="M789" s="8"/>
      <c r="N789" s="8"/>
      <c r="O789" s="8"/>
      <c r="P789" s="8"/>
      <c r="Q789" s="8"/>
      <c r="R789" s="8"/>
      <c r="S789" s="8"/>
    </row>
    <row r="790" spans="1:19" ht="15.75" customHeight="1">
      <c r="A790" s="8">
        <v>235663443</v>
      </c>
      <c r="B790" s="8" t="s">
        <v>8465</v>
      </c>
      <c r="C790" s="8" t="s">
        <v>9843</v>
      </c>
      <c r="D790" s="8" t="s">
        <v>3376</v>
      </c>
      <c r="E790" s="9">
        <v>79081041387</v>
      </c>
      <c r="F790" s="8"/>
      <c r="G790" s="9"/>
      <c r="H790" s="8" t="s">
        <v>8164</v>
      </c>
      <c r="I790" s="8" t="s">
        <v>8208</v>
      </c>
      <c r="J790" s="8"/>
      <c r="K790" s="8"/>
      <c r="L790" s="8"/>
      <c r="M790" s="8"/>
      <c r="N790" s="8"/>
      <c r="O790" s="8"/>
      <c r="P790" s="8"/>
      <c r="Q790" s="8"/>
      <c r="R790" s="8"/>
      <c r="S790" s="8"/>
    </row>
    <row r="791" spans="1:19" ht="15.75" customHeight="1">
      <c r="A791" s="8">
        <v>235761241</v>
      </c>
      <c r="B791" s="8"/>
      <c r="C791" s="8"/>
      <c r="D791" s="8" t="s">
        <v>9844</v>
      </c>
      <c r="E791" s="9"/>
      <c r="F791" s="8"/>
      <c r="G791" s="9"/>
      <c r="H791" s="8" t="s">
        <v>8158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</row>
    <row r="792" spans="1:19" ht="15.75" customHeight="1">
      <c r="A792" s="8">
        <v>235762254</v>
      </c>
      <c r="B792" s="8"/>
      <c r="C792" s="8"/>
      <c r="D792" s="8" t="s">
        <v>9845</v>
      </c>
      <c r="E792" s="9"/>
      <c r="F792" s="8"/>
      <c r="G792" s="9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</row>
    <row r="793" spans="1:19" ht="15.75" customHeight="1">
      <c r="A793" s="8">
        <v>235773458</v>
      </c>
      <c r="B793" s="8" t="s">
        <v>9846</v>
      </c>
      <c r="C793" s="8" t="s">
        <v>9847</v>
      </c>
      <c r="D793" s="8" t="s">
        <v>3381</v>
      </c>
      <c r="E793" s="9">
        <v>14246534044</v>
      </c>
      <c r="F793" s="8" t="s">
        <v>9848</v>
      </c>
      <c r="G793" s="9">
        <v>46</v>
      </c>
      <c r="H793" s="8" t="s">
        <v>9849</v>
      </c>
      <c r="I793" s="8" t="s">
        <v>9850</v>
      </c>
      <c r="J793" s="8"/>
      <c r="K793" s="8"/>
      <c r="L793" s="8"/>
      <c r="M793" s="8"/>
      <c r="N793" s="8"/>
      <c r="O793" s="8"/>
      <c r="P793" s="8"/>
      <c r="Q793" s="8"/>
      <c r="R793" s="8"/>
      <c r="S793" s="8"/>
    </row>
    <row r="794" spans="1:19" ht="15.75" customHeight="1">
      <c r="A794" s="8">
        <v>235775715</v>
      </c>
      <c r="B794" s="8"/>
      <c r="C794" s="8"/>
      <c r="D794" s="8" t="s">
        <v>3384</v>
      </c>
      <c r="E794" s="9"/>
      <c r="F794" s="8"/>
      <c r="G794" s="9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</row>
    <row r="795" spans="1:19" ht="15.75" customHeight="1">
      <c r="A795" s="8">
        <v>235777786</v>
      </c>
      <c r="B795" s="8"/>
      <c r="C795" s="8"/>
      <c r="D795" s="8" t="s">
        <v>3387</v>
      </c>
      <c r="E795" s="9"/>
      <c r="F795" s="8"/>
      <c r="G795" s="9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</row>
    <row r="796" spans="1:19" ht="15.75" customHeight="1">
      <c r="A796" s="8">
        <v>235780313</v>
      </c>
      <c r="B796" s="8"/>
      <c r="C796" s="8"/>
      <c r="D796" s="8" t="s">
        <v>3390</v>
      </c>
      <c r="E796" s="9"/>
      <c r="F796" s="8"/>
      <c r="G796" s="9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</row>
    <row r="797" spans="1:19" ht="15.75" customHeight="1">
      <c r="A797" s="8">
        <v>235780768</v>
      </c>
      <c r="B797" s="8" t="s">
        <v>8365</v>
      </c>
      <c r="C797" s="8" t="s">
        <v>9851</v>
      </c>
      <c r="D797" s="8" t="s">
        <v>3393</v>
      </c>
      <c r="E797" s="9">
        <v>79125253457</v>
      </c>
      <c r="F797" s="8"/>
      <c r="G797" s="9"/>
      <c r="H797" s="8" t="s">
        <v>8158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</row>
    <row r="798" spans="1:19" ht="15.75" customHeight="1">
      <c r="A798" s="8">
        <v>235780999</v>
      </c>
      <c r="B798" s="8"/>
      <c r="C798" s="8"/>
      <c r="D798" s="8" t="s">
        <v>3396</v>
      </c>
      <c r="E798" s="9"/>
      <c r="F798" s="8"/>
      <c r="G798" s="9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</row>
    <row r="799" spans="1:19" ht="15.75" customHeight="1">
      <c r="A799" s="8">
        <v>235786236</v>
      </c>
      <c r="B799" s="8"/>
      <c r="C799" s="8"/>
      <c r="D799" s="8" t="s">
        <v>3399</v>
      </c>
      <c r="E799" s="9"/>
      <c r="F799" s="8"/>
      <c r="G799" s="9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</row>
    <row r="800" spans="1:19" ht="15.75" customHeight="1">
      <c r="A800" s="8">
        <v>235787742</v>
      </c>
      <c r="B800" s="8"/>
      <c r="C800" s="8"/>
      <c r="D800" s="8" t="s">
        <v>3402</v>
      </c>
      <c r="E800" s="9"/>
      <c r="F800" s="8"/>
      <c r="G800" s="9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</row>
    <row r="801" spans="1:19" ht="15.75" customHeight="1">
      <c r="A801" s="8">
        <v>235791338</v>
      </c>
      <c r="B801" s="8"/>
      <c r="C801" s="8"/>
      <c r="D801" s="8" t="s">
        <v>3405</v>
      </c>
      <c r="E801" s="9"/>
      <c r="F801" s="8"/>
      <c r="G801" s="9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</row>
    <row r="802" spans="1:19" ht="15.75" customHeight="1">
      <c r="A802" s="8">
        <v>235791698</v>
      </c>
      <c r="B802" s="8"/>
      <c r="C802" s="8"/>
      <c r="D802" s="8" t="s">
        <v>3408</v>
      </c>
      <c r="E802" s="9"/>
      <c r="F802" s="8"/>
      <c r="G802" s="9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</row>
    <row r="803" spans="1:19" ht="15.75" customHeight="1">
      <c r="A803" s="8">
        <v>235795870</v>
      </c>
      <c r="B803" s="8"/>
      <c r="C803" s="8"/>
      <c r="D803" s="8" t="s">
        <v>3411</v>
      </c>
      <c r="E803" s="9"/>
      <c r="F803" s="8"/>
      <c r="G803" s="9"/>
      <c r="H803" s="8" t="s">
        <v>8158</v>
      </c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</row>
    <row r="804" spans="1:19" ht="15.75" customHeight="1">
      <c r="A804" s="8">
        <v>235798456</v>
      </c>
      <c r="B804" s="8"/>
      <c r="C804" s="8"/>
      <c r="D804" s="8" t="s">
        <v>3414</v>
      </c>
      <c r="E804" s="9"/>
      <c r="F804" s="8"/>
      <c r="G804" s="9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</row>
    <row r="805" spans="1:19" ht="15.75" customHeight="1">
      <c r="A805" s="8">
        <v>235798605</v>
      </c>
      <c r="B805" s="8"/>
      <c r="C805" s="8"/>
      <c r="D805" s="8" t="s">
        <v>3417</v>
      </c>
      <c r="E805" s="9"/>
      <c r="F805" s="8"/>
      <c r="G805" s="9"/>
      <c r="H805" s="8" t="s">
        <v>8158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</row>
    <row r="806" spans="1:19" ht="15.75" customHeight="1">
      <c r="A806" s="8">
        <v>235801113</v>
      </c>
      <c r="B806" s="8" t="s">
        <v>9852</v>
      </c>
      <c r="C806" s="8" t="s">
        <v>9853</v>
      </c>
      <c r="D806" s="8" t="s">
        <v>3420</v>
      </c>
      <c r="E806" s="9"/>
      <c r="F806" s="8"/>
      <c r="G806" s="9"/>
      <c r="H806" s="8" t="s">
        <v>8158</v>
      </c>
      <c r="I806" s="8" t="s">
        <v>9854</v>
      </c>
      <c r="J806" s="8"/>
      <c r="K806" s="8"/>
      <c r="L806" s="8"/>
      <c r="M806" s="8"/>
      <c r="N806" s="8"/>
      <c r="O806" s="8"/>
      <c r="P806" s="8"/>
      <c r="Q806" s="8"/>
      <c r="R806" s="8"/>
      <c r="S806" s="8"/>
    </row>
    <row r="807" spans="1:19" ht="15.75" customHeight="1">
      <c r="A807" s="8">
        <v>235801141</v>
      </c>
      <c r="B807" s="8" t="s">
        <v>9855</v>
      </c>
      <c r="C807" s="8" t="s">
        <v>9856</v>
      </c>
      <c r="D807" s="8" t="s">
        <v>3425</v>
      </c>
      <c r="E807" s="9">
        <v>19293395969</v>
      </c>
      <c r="F807" s="8" t="s">
        <v>9857</v>
      </c>
      <c r="G807" s="9">
        <v>47</v>
      </c>
      <c r="H807" s="8" t="s">
        <v>9858</v>
      </c>
      <c r="I807" s="8" t="s">
        <v>9859</v>
      </c>
      <c r="J807" s="8"/>
      <c r="K807" s="8"/>
      <c r="L807" s="8"/>
      <c r="M807" s="8"/>
      <c r="N807" s="8"/>
      <c r="O807" s="8"/>
      <c r="P807" s="8"/>
      <c r="Q807" s="8"/>
      <c r="R807" s="8"/>
      <c r="S807" s="8"/>
    </row>
    <row r="808" spans="1:19" ht="15.75" customHeight="1">
      <c r="A808" s="8">
        <v>235812356</v>
      </c>
      <c r="B808" s="8"/>
      <c r="C808" s="8"/>
      <c r="D808" s="8" t="s">
        <v>3428</v>
      </c>
      <c r="E808" s="9"/>
      <c r="F808" s="8"/>
      <c r="G808" s="9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</row>
    <row r="809" spans="1:19" ht="15.75" customHeight="1">
      <c r="A809" s="8">
        <v>235820899</v>
      </c>
      <c r="B809" s="8"/>
      <c r="C809" s="8"/>
      <c r="D809" s="8" t="s">
        <v>3431</v>
      </c>
      <c r="E809" s="9"/>
      <c r="F809" s="8"/>
      <c r="G809" s="9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</row>
    <row r="810" spans="1:19" ht="15.75" customHeight="1">
      <c r="A810" s="8">
        <v>235826444</v>
      </c>
      <c r="B810" s="8"/>
      <c r="C810" s="8"/>
      <c r="D810" s="8" t="s">
        <v>3434</v>
      </c>
      <c r="E810" s="9"/>
      <c r="F810" s="8"/>
      <c r="G810" s="9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</row>
    <row r="811" spans="1:19" ht="15.75" customHeight="1">
      <c r="A811" s="8">
        <v>235828309</v>
      </c>
      <c r="B811" s="8"/>
      <c r="C811" s="8"/>
      <c r="D811" s="8" t="s">
        <v>3437</v>
      </c>
      <c r="E811" s="9"/>
      <c r="F811" s="8"/>
      <c r="G811" s="9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</row>
    <row r="812" spans="1:19" ht="15.75" customHeight="1">
      <c r="A812" s="8">
        <v>235828682</v>
      </c>
      <c r="B812" s="8"/>
      <c r="C812" s="8"/>
      <c r="D812" s="8" t="s">
        <v>3440</v>
      </c>
      <c r="E812" s="9"/>
      <c r="F812" s="8"/>
      <c r="G812" s="9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</row>
    <row r="813" spans="1:19" ht="15.75" customHeight="1">
      <c r="A813" s="8">
        <v>235830669</v>
      </c>
      <c r="B813" s="8"/>
      <c r="C813" s="8"/>
      <c r="D813" s="8" t="s">
        <v>3443</v>
      </c>
      <c r="E813" s="9"/>
      <c r="F813" s="8"/>
      <c r="G813" s="9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</row>
    <row r="814" spans="1:19" ht="15.75" customHeight="1">
      <c r="A814" s="8">
        <v>235836150</v>
      </c>
      <c r="B814" s="8"/>
      <c r="C814" s="8"/>
      <c r="D814" s="8" t="s">
        <v>3446</v>
      </c>
      <c r="E814" s="9"/>
      <c r="F814" s="8"/>
      <c r="G814" s="9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</row>
    <row r="815" spans="1:19" ht="15.75" customHeight="1">
      <c r="A815" s="8">
        <v>235843495</v>
      </c>
      <c r="B815" s="8"/>
      <c r="C815" s="8"/>
      <c r="D815" s="8" t="s">
        <v>3449</v>
      </c>
      <c r="E815" s="9"/>
      <c r="F815" s="8"/>
      <c r="G815" s="9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</row>
    <row r="816" spans="1:19" ht="15.75" customHeight="1">
      <c r="A816" s="8">
        <v>235844921</v>
      </c>
      <c r="B816" s="8"/>
      <c r="C816" s="8"/>
      <c r="D816" s="8" t="s">
        <v>3452</v>
      </c>
      <c r="E816" s="9"/>
      <c r="F816" s="8"/>
      <c r="G816" s="9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</row>
    <row r="817" spans="1:19" ht="15.75" customHeight="1">
      <c r="A817" s="8">
        <v>235845539</v>
      </c>
      <c r="B817" s="8"/>
      <c r="C817" s="8"/>
      <c r="D817" s="8" t="s">
        <v>9860</v>
      </c>
      <c r="E817" s="9"/>
      <c r="F817" s="8"/>
      <c r="G817" s="9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</row>
    <row r="818" spans="1:19" ht="15.75" customHeight="1">
      <c r="A818" s="8">
        <v>235848596</v>
      </c>
      <c r="B818" s="8"/>
      <c r="C818" s="8"/>
      <c r="D818" s="8" t="s">
        <v>3455</v>
      </c>
      <c r="E818" s="9"/>
      <c r="F818" s="8"/>
      <c r="G818" s="9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</row>
    <row r="819" spans="1:19" ht="15.75" customHeight="1">
      <c r="A819" s="8">
        <v>235853266</v>
      </c>
      <c r="B819" s="8" t="s">
        <v>9861</v>
      </c>
      <c r="C819" s="8" t="s">
        <v>9862</v>
      </c>
      <c r="D819" s="8" t="s">
        <v>9863</v>
      </c>
      <c r="E819" s="9" t="s">
        <v>9864</v>
      </c>
      <c r="F819" s="8" t="s">
        <v>9865</v>
      </c>
      <c r="G819" s="9">
        <v>38</v>
      </c>
      <c r="H819" s="8" t="s">
        <v>8158</v>
      </c>
      <c r="I819" s="8" t="s">
        <v>9866</v>
      </c>
      <c r="J819" s="8"/>
      <c r="K819" s="8"/>
      <c r="L819" s="8"/>
      <c r="M819" s="8"/>
      <c r="N819" s="8"/>
      <c r="O819" s="8"/>
      <c r="P819" s="8"/>
      <c r="Q819" s="8"/>
      <c r="R819" s="8"/>
      <c r="S819" s="8"/>
    </row>
    <row r="820" spans="1:19" ht="15.75" customHeight="1">
      <c r="A820" s="8">
        <v>235857515</v>
      </c>
      <c r="B820" s="8"/>
      <c r="C820" s="8"/>
      <c r="D820" s="8" t="s">
        <v>3458</v>
      </c>
      <c r="E820" s="9"/>
      <c r="F820" s="8"/>
      <c r="G820" s="9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</row>
    <row r="821" spans="1:19" ht="15.75" customHeight="1">
      <c r="A821" s="8">
        <v>235859509</v>
      </c>
      <c r="B821" s="8"/>
      <c r="C821" s="8"/>
      <c r="D821" s="8" t="s">
        <v>3461</v>
      </c>
      <c r="E821" s="9"/>
      <c r="F821" s="8"/>
      <c r="G821" s="9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</row>
    <row r="822" spans="1:19" ht="15.75" customHeight="1">
      <c r="A822" s="8">
        <v>235861516</v>
      </c>
      <c r="B822" s="8" t="s">
        <v>9194</v>
      </c>
      <c r="C822" s="8" t="s">
        <v>9867</v>
      </c>
      <c r="D822" s="8" t="s">
        <v>3464</v>
      </c>
      <c r="E822" s="9">
        <v>79997883306</v>
      </c>
      <c r="F822" s="8"/>
      <c r="G822" s="9"/>
      <c r="H822" s="8" t="s">
        <v>8158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</row>
    <row r="823" spans="1:19" ht="15.75" customHeight="1">
      <c r="A823" s="8">
        <v>235861756</v>
      </c>
      <c r="B823" s="8"/>
      <c r="C823" s="8"/>
      <c r="D823" s="8" t="s">
        <v>3467</v>
      </c>
      <c r="E823" s="9"/>
      <c r="F823" s="8"/>
      <c r="G823" s="9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</row>
    <row r="824" spans="1:19" ht="15.75" customHeight="1">
      <c r="A824" s="8">
        <v>235863066</v>
      </c>
      <c r="B824" s="8" t="s">
        <v>9868</v>
      </c>
      <c r="C824" s="8" t="s">
        <v>9869</v>
      </c>
      <c r="D824" s="8" t="s">
        <v>3470</v>
      </c>
      <c r="E824" s="9" t="s">
        <v>3471</v>
      </c>
      <c r="F824" s="8" t="s">
        <v>9870</v>
      </c>
      <c r="G824" s="9">
        <v>38</v>
      </c>
      <c r="H824" s="8" t="s">
        <v>9871</v>
      </c>
      <c r="I824" s="8" t="s">
        <v>9872</v>
      </c>
      <c r="J824" s="8"/>
      <c r="K824" s="8"/>
      <c r="L824" s="8"/>
      <c r="M824" s="8"/>
      <c r="N824" s="8"/>
      <c r="O824" s="8"/>
      <c r="P824" s="8"/>
      <c r="Q824" s="8"/>
      <c r="R824" s="8"/>
      <c r="S824" s="8"/>
    </row>
    <row r="825" spans="1:19" ht="15.75" customHeight="1">
      <c r="A825" s="8">
        <v>235863120</v>
      </c>
      <c r="B825" s="8"/>
      <c r="C825" s="8"/>
      <c r="D825" s="8" t="s">
        <v>3474</v>
      </c>
      <c r="E825" s="9"/>
      <c r="F825" s="8"/>
      <c r="G825" s="9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</row>
    <row r="826" spans="1:19" ht="15.75" customHeight="1">
      <c r="A826" s="8">
        <v>235863446</v>
      </c>
      <c r="B826" s="8"/>
      <c r="C826" s="8"/>
      <c r="D826" s="8" t="s">
        <v>3477</v>
      </c>
      <c r="E826" s="9"/>
      <c r="F826" s="8"/>
      <c r="G826" s="9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</row>
    <row r="827" spans="1:19" ht="15.75" customHeight="1">
      <c r="A827" s="8">
        <v>235864074</v>
      </c>
      <c r="B827" s="8" t="s">
        <v>9873</v>
      </c>
      <c r="C827" s="8" t="s">
        <v>9874</v>
      </c>
      <c r="D827" s="8" t="s">
        <v>3480</v>
      </c>
      <c r="E827" s="9">
        <v>79549400299</v>
      </c>
      <c r="F827" s="8" t="s">
        <v>9875</v>
      </c>
      <c r="G827" s="9">
        <v>47</v>
      </c>
      <c r="H827" s="8" t="s">
        <v>9876</v>
      </c>
      <c r="I827" s="8" t="s">
        <v>9877</v>
      </c>
      <c r="J827" s="8"/>
      <c r="K827" s="8"/>
      <c r="L827" s="8"/>
      <c r="M827" s="8"/>
      <c r="N827" s="8"/>
      <c r="O827" s="8"/>
      <c r="P827" s="8"/>
      <c r="Q827" s="8"/>
      <c r="R827" s="8"/>
      <c r="S827" s="8"/>
    </row>
    <row r="828" spans="1:19" ht="15.75" customHeight="1">
      <c r="A828" s="8">
        <v>235864903</v>
      </c>
      <c r="B828" s="8"/>
      <c r="C828" s="8"/>
      <c r="D828" s="8" t="s">
        <v>3483</v>
      </c>
      <c r="E828" s="9"/>
      <c r="F828" s="8"/>
      <c r="G828" s="9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</row>
    <row r="829" spans="1:19" ht="15.75" customHeight="1">
      <c r="A829" s="8">
        <v>235866361</v>
      </c>
      <c r="B829" s="8"/>
      <c r="C829" s="8"/>
      <c r="D829" s="8" t="s">
        <v>3486</v>
      </c>
      <c r="E829" s="9"/>
      <c r="F829" s="8"/>
      <c r="G829" s="9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</row>
    <row r="830" spans="1:19" ht="15.75" customHeight="1">
      <c r="A830" s="8">
        <v>235866664</v>
      </c>
      <c r="B830" s="8"/>
      <c r="C830" s="8"/>
      <c r="D830" s="8" t="s">
        <v>3489</v>
      </c>
      <c r="E830" s="9"/>
      <c r="F830" s="8"/>
      <c r="G830" s="9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</row>
    <row r="831" spans="1:19" ht="15.75" customHeight="1">
      <c r="A831" s="8">
        <v>235879269</v>
      </c>
      <c r="B831" s="8" t="s">
        <v>9878</v>
      </c>
      <c r="C831" s="8" t="s">
        <v>9879</v>
      </c>
      <c r="D831" s="8" t="s">
        <v>3492</v>
      </c>
      <c r="E831" s="9">
        <v>6469042849</v>
      </c>
      <c r="F831" s="8" t="s">
        <v>9880</v>
      </c>
      <c r="G831" s="9">
        <v>31</v>
      </c>
      <c r="H831" s="8" t="s">
        <v>9769</v>
      </c>
      <c r="I831" s="8" t="s">
        <v>9881</v>
      </c>
      <c r="J831" s="8"/>
      <c r="K831" s="8"/>
      <c r="L831" s="8"/>
      <c r="M831" s="8"/>
      <c r="N831" s="8"/>
      <c r="O831" s="8"/>
      <c r="P831" s="8"/>
      <c r="Q831" s="8"/>
      <c r="R831" s="8"/>
      <c r="S831" s="8"/>
    </row>
    <row r="832" spans="1:19" ht="15.75" customHeight="1">
      <c r="A832" s="8">
        <v>235887216</v>
      </c>
      <c r="B832" s="8" t="s">
        <v>9882</v>
      </c>
      <c r="C832" s="8" t="s">
        <v>9883</v>
      </c>
      <c r="D832" s="8" t="s">
        <v>3495</v>
      </c>
      <c r="E832" s="9" t="s">
        <v>3496</v>
      </c>
      <c r="F832" s="8"/>
      <c r="G832" s="9"/>
      <c r="H832" s="8" t="s">
        <v>8164</v>
      </c>
      <c r="I832" s="8" t="s">
        <v>8165</v>
      </c>
      <c r="J832" s="8"/>
      <c r="K832" s="8"/>
      <c r="L832" s="8"/>
      <c r="M832" s="8"/>
      <c r="N832" s="8"/>
      <c r="O832" s="8"/>
      <c r="P832" s="8"/>
      <c r="Q832" s="8"/>
      <c r="R832" s="8"/>
      <c r="S832" s="8"/>
    </row>
    <row r="833" spans="1:19" ht="15.75" customHeight="1">
      <c r="A833" s="8">
        <v>235890775</v>
      </c>
      <c r="B833" s="8"/>
      <c r="C833" s="8"/>
      <c r="D833" s="8" t="s">
        <v>3501</v>
      </c>
      <c r="E833" s="9"/>
      <c r="F833" s="8"/>
      <c r="G833" s="9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</row>
    <row r="834" spans="1:19" ht="15.75" customHeight="1">
      <c r="A834" s="8">
        <v>235897859</v>
      </c>
      <c r="B834" s="8"/>
      <c r="C834" s="8"/>
      <c r="D834" s="8" t="s">
        <v>3504</v>
      </c>
      <c r="E834" s="9"/>
      <c r="F834" s="8"/>
      <c r="G834" s="9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</row>
    <row r="835" spans="1:19" ht="15.75" customHeight="1">
      <c r="A835" s="8">
        <v>235901459</v>
      </c>
      <c r="B835" s="8"/>
      <c r="C835" s="8"/>
      <c r="D835" s="8" t="s">
        <v>3506</v>
      </c>
      <c r="E835" s="9"/>
      <c r="F835" s="8"/>
      <c r="G835" s="9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</row>
    <row r="836" spans="1:19" ht="15.75" customHeight="1">
      <c r="A836" s="8">
        <v>235906954</v>
      </c>
      <c r="B836" s="8"/>
      <c r="C836" s="8"/>
      <c r="D836" s="8" t="s">
        <v>3509</v>
      </c>
      <c r="E836" s="9"/>
      <c r="F836" s="8"/>
      <c r="G836" s="9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</row>
    <row r="837" spans="1:19" ht="15.75" customHeight="1">
      <c r="A837" s="8">
        <v>235913780</v>
      </c>
      <c r="B837" s="8"/>
      <c r="C837" s="8"/>
      <c r="D837" s="8" t="s">
        <v>3512</v>
      </c>
      <c r="E837" s="9"/>
      <c r="F837" s="8"/>
      <c r="G837" s="9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</row>
    <row r="838" spans="1:19" ht="15.75" customHeight="1">
      <c r="A838" s="8">
        <v>235976920</v>
      </c>
      <c r="B838" s="8"/>
      <c r="C838" s="8"/>
      <c r="D838" s="8" t="s">
        <v>3515</v>
      </c>
      <c r="E838" s="9"/>
      <c r="F838" s="8"/>
      <c r="G838" s="9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</row>
    <row r="839" spans="1:19" ht="15.75" customHeight="1">
      <c r="A839" s="8">
        <v>235990854</v>
      </c>
      <c r="B839" s="8"/>
      <c r="C839" s="8"/>
      <c r="D839" s="8" t="s">
        <v>3518</v>
      </c>
      <c r="E839" s="9"/>
      <c r="F839" s="8"/>
      <c r="G839" s="9"/>
      <c r="H839" s="8" t="s">
        <v>8158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</row>
    <row r="840" spans="1:19" ht="15.75" customHeight="1">
      <c r="A840" s="8">
        <v>235995795</v>
      </c>
      <c r="B840" s="8"/>
      <c r="C840" s="8"/>
      <c r="D840" s="8" t="s">
        <v>3521</v>
      </c>
      <c r="E840" s="9"/>
      <c r="F840" s="8"/>
      <c r="G840" s="9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</row>
    <row r="841" spans="1:19" ht="15.75" customHeight="1">
      <c r="A841" s="8">
        <v>236002175</v>
      </c>
      <c r="B841" s="8"/>
      <c r="C841" s="8"/>
      <c r="D841" s="8" t="s">
        <v>3524</v>
      </c>
      <c r="E841" s="9"/>
      <c r="F841" s="8"/>
      <c r="G841" s="9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</row>
    <row r="842" spans="1:19" ht="15.75" customHeight="1">
      <c r="A842" s="8">
        <v>236040464</v>
      </c>
      <c r="B842" s="8"/>
      <c r="C842" s="8"/>
      <c r="D842" s="8" t="s">
        <v>3527</v>
      </c>
      <c r="E842" s="9"/>
      <c r="F842" s="8"/>
      <c r="G842" s="9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</row>
    <row r="843" spans="1:19" ht="15.75" customHeight="1">
      <c r="A843" s="8">
        <v>236055510</v>
      </c>
      <c r="B843" s="8" t="s">
        <v>8206</v>
      </c>
      <c r="C843" s="8" t="s">
        <v>9884</v>
      </c>
      <c r="D843" s="8" t="s">
        <v>3530</v>
      </c>
      <c r="E843" s="9">
        <v>79312303036</v>
      </c>
      <c r="F843" s="8"/>
      <c r="G843" s="9"/>
      <c r="H843" s="8" t="s">
        <v>8164</v>
      </c>
      <c r="I843" s="8" t="s">
        <v>8208</v>
      </c>
      <c r="J843" s="8"/>
      <c r="K843" s="8"/>
      <c r="L843" s="8"/>
      <c r="M843" s="8"/>
      <c r="N843" s="8"/>
      <c r="O843" s="8"/>
      <c r="P843" s="8"/>
      <c r="Q843" s="8"/>
      <c r="R843" s="8"/>
      <c r="S843" s="8"/>
    </row>
    <row r="844" spans="1:19" ht="15.75" customHeight="1">
      <c r="A844" s="8">
        <v>236059972</v>
      </c>
      <c r="B844" s="8"/>
      <c r="C844" s="8"/>
      <c r="D844" s="8" t="s">
        <v>3533</v>
      </c>
      <c r="E844" s="9"/>
      <c r="F844" s="8"/>
      <c r="G844" s="9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</row>
    <row r="845" spans="1:19" ht="15.75" customHeight="1">
      <c r="A845" s="8">
        <v>236062283</v>
      </c>
      <c r="B845" s="8"/>
      <c r="C845" s="8"/>
      <c r="D845" s="8" t="s">
        <v>3536</v>
      </c>
      <c r="E845" s="9"/>
      <c r="F845" s="8"/>
      <c r="G845" s="9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</row>
    <row r="846" spans="1:19" ht="15.75" customHeight="1">
      <c r="A846" s="8">
        <v>236066090</v>
      </c>
      <c r="B846" s="8"/>
      <c r="C846" s="8"/>
      <c r="D846" s="8" t="s">
        <v>3539</v>
      </c>
      <c r="E846" s="9"/>
      <c r="F846" s="8"/>
      <c r="G846" s="9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</row>
    <row r="847" spans="1:19" ht="15.75" customHeight="1">
      <c r="A847" s="8">
        <v>236069274</v>
      </c>
      <c r="B847" s="8"/>
      <c r="C847" s="8"/>
      <c r="D847" s="8" t="s">
        <v>3542</v>
      </c>
      <c r="E847" s="9"/>
      <c r="F847" s="8"/>
      <c r="G847" s="9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</row>
    <row r="848" spans="1:19" ht="15.75" customHeight="1">
      <c r="A848" s="8">
        <v>236074629</v>
      </c>
      <c r="B848" s="8" t="s">
        <v>9885</v>
      </c>
      <c r="C848" s="8" t="s">
        <v>9886</v>
      </c>
      <c r="D848" s="8" t="s">
        <v>3545</v>
      </c>
      <c r="E848" s="9" t="s">
        <v>3546</v>
      </c>
      <c r="F848" s="8"/>
      <c r="G848" s="9"/>
      <c r="H848" s="8" t="s">
        <v>8222</v>
      </c>
      <c r="I848" s="8" t="s">
        <v>8412</v>
      </c>
      <c r="J848" s="8"/>
      <c r="K848" s="8"/>
      <c r="L848" s="8"/>
      <c r="M848" s="8"/>
      <c r="N848" s="8"/>
      <c r="O848" s="8"/>
      <c r="P848" s="8"/>
      <c r="Q848" s="8"/>
      <c r="R848" s="8"/>
      <c r="S848" s="8"/>
    </row>
    <row r="849" spans="1:19" ht="15.75" customHeight="1">
      <c r="A849" s="8">
        <v>236074806</v>
      </c>
      <c r="B849" s="8"/>
      <c r="C849" s="8"/>
      <c r="D849" s="8" t="s">
        <v>3549</v>
      </c>
      <c r="E849" s="9"/>
      <c r="F849" s="8"/>
      <c r="G849" s="9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</row>
    <row r="850" spans="1:19" ht="15.75" customHeight="1">
      <c r="A850" s="8">
        <v>236075318</v>
      </c>
      <c r="B850" s="8"/>
      <c r="C850" s="8"/>
      <c r="D850" s="8" t="s">
        <v>3552</v>
      </c>
      <c r="E850" s="9"/>
      <c r="F850" s="8"/>
      <c r="G850" s="9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</row>
    <row r="851" spans="1:19" ht="15.75" customHeight="1">
      <c r="A851" s="8">
        <v>236086354</v>
      </c>
      <c r="B851" s="8"/>
      <c r="C851" s="8"/>
      <c r="D851" s="8" t="s">
        <v>3555</v>
      </c>
      <c r="E851" s="9"/>
      <c r="F851" s="8"/>
      <c r="G851" s="9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</row>
    <row r="852" spans="1:19" ht="15.75" customHeight="1">
      <c r="A852" s="8">
        <v>236087018</v>
      </c>
      <c r="B852" s="8"/>
      <c r="C852" s="8"/>
      <c r="D852" s="8" t="s">
        <v>3558</v>
      </c>
      <c r="E852" s="9"/>
      <c r="F852" s="8"/>
      <c r="G852" s="9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</row>
    <row r="853" spans="1:19" ht="15.75" customHeight="1">
      <c r="A853" s="8">
        <v>236087545</v>
      </c>
      <c r="B853" s="8"/>
      <c r="C853" s="8"/>
      <c r="D853" s="8" t="s">
        <v>3561</v>
      </c>
      <c r="E853" s="9"/>
      <c r="F853" s="8"/>
      <c r="G853" s="9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</row>
    <row r="854" spans="1:19" ht="15.75" customHeight="1">
      <c r="A854" s="8">
        <v>236087591</v>
      </c>
      <c r="B854" s="8"/>
      <c r="C854" s="8"/>
      <c r="D854" s="8" t="s">
        <v>3564</v>
      </c>
      <c r="E854" s="9"/>
      <c r="F854" s="8"/>
      <c r="G854" s="9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</row>
    <row r="855" spans="1:19" ht="15.75" customHeight="1">
      <c r="A855" s="8">
        <v>236088344</v>
      </c>
      <c r="B855" s="8"/>
      <c r="C855" s="8"/>
      <c r="D855" s="8" t="s">
        <v>3567</v>
      </c>
      <c r="E855" s="9"/>
      <c r="F855" s="8"/>
      <c r="G855" s="9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</row>
    <row r="856" spans="1:19" ht="15.75" customHeight="1">
      <c r="A856" s="8">
        <v>236089562</v>
      </c>
      <c r="B856" s="8"/>
      <c r="C856" s="8"/>
      <c r="D856" s="8" t="s">
        <v>9887</v>
      </c>
      <c r="E856" s="9"/>
      <c r="F856" s="8"/>
      <c r="G856" s="9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</row>
    <row r="857" spans="1:19" ht="15.75" customHeight="1">
      <c r="A857" s="8">
        <v>236090217</v>
      </c>
      <c r="B857" s="8"/>
      <c r="C857" s="8"/>
      <c r="D857" s="8" t="s">
        <v>3570</v>
      </c>
      <c r="E857" s="9"/>
      <c r="F857" s="8"/>
      <c r="G857" s="9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</row>
    <row r="858" spans="1:19" ht="15.75" customHeight="1">
      <c r="A858" s="8">
        <v>236091188</v>
      </c>
      <c r="B858" s="8"/>
      <c r="C858" s="8"/>
      <c r="D858" s="8" t="s">
        <v>9888</v>
      </c>
      <c r="E858" s="9"/>
      <c r="F858" s="8"/>
      <c r="G858" s="9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</row>
    <row r="859" spans="1:19" ht="15.75" customHeight="1">
      <c r="A859" s="8">
        <v>236092658</v>
      </c>
      <c r="B859" s="8"/>
      <c r="C859" s="8"/>
      <c r="D859" s="8" t="s">
        <v>3573</v>
      </c>
      <c r="E859" s="9"/>
      <c r="F859" s="8"/>
      <c r="G859" s="9"/>
      <c r="H859" s="8" t="s">
        <v>8158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</row>
    <row r="860" spans="1:19" ht="15.75" customHeight="1">
      <c r="A860" s="8">
        <v>236092693</v>
      </c>
      <c r="B860" s="8" t="s">
        <v>9889</v>
      </c>
      <c r="C860" s="8" t="s">
        <v>9890</v>
      </c>
      <c r="D860" s="8" t="s">
        <v>3576</v>
      </c>
      <c r="E860" s="9">
        <v>79277755111</v>
      </c>
      <c r="F860" s="8" t="s">
        <v>9891</v>
      </c>
      <c r="G860" s="9">
        <v>30</v>
      </c>
      <c r="H860" s="8" t="s">
        <v>9876</v>
      </c>
      <c r="I860" s="8" t="s">
        <v>9892</v>
      </c>
      <c r="J860" s="8"/>
      <c r="K860" s="8"/>
      <c r="L860" s="8"/>
      <c r="M860" s="8"/>
      <c r="N860" s="8"/>
      <c r="O860" s="8"/>
      <c r="P860" s="8"/>
      <c r="Q860" s="8"/>
      <c r="R860" s="8"/>
      <c r="S860" s="8"/>
    </row>
    <row r="861" spans="1:19" ht="15.75" customHeight="1">
      <c r="A861" s="8">
        <v>236093018</v>
      </c>
      <c r="B861" s="8"/>
      <c r="C861" s="8"/>
      <c r="D861" s="8" t="s">
        <v>9893</v>
      </c>
      <c r="E861" s="9"/>
      <c r="F861" s="8"/>
      <c r="G861" s="9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</row>
    <row r="862" spans="1:19" ht="15.75" customHeight="1">
      <c r="A862" s="8">
        <v>236094433</v>
      </c>
      <c r="B862" s="8"/>
      <c r="C862" s="8"/>
      <c r="D862" s="8" t="s">
        <v>3579</v>
      </c>
      <c r="E862" s="9"/>
      <c r="F862" s="8"/>
      <c r="G862" s="9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</row>
    <row r="863" spans="1:19" ht="15.75" customHeight="1">
      <c r="A863" s="8">
        <v>236095971</v>
      </c>
      <c r="B863" s="8"/>
      <c r="C863" s="8"/>
      <c r="D863" s="8" t="s">
        <v>3582</v>
      </c>
      <c r="E863" s="9"/>
      <c r="F863" s="8"/>
      <c r="G863" s="9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</row>
    <row r="864" spans="1:19" ht="15.75" customHeight="1">
      <c r="A864" s="8">
        <v>236102165</v>
      </c>
      <c r="B864" s="8"/>
      <c r="C864" s="8"/>
      <c r="D864" s="8" t="s">
        <v>3585</v>
      </c>
      <c r="E864" s="9"/>
      <c r="F864" s="8"/>
      <c r="G864" s="9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</row>
    <row r="865" spans="1:19" ht="15.75" customHeight="1">
      <c r="A865" s="8">
        <v>236102540</v>
      </c>
      <c r="B865" s="8"/>
      <c r="C865" s="8"/>
      <c r="D865" s="8" t="s">
        <v>3588</v>
      </c>
      <c r="E865" s="9"/>
      <c r="F865" s="8"/>
      <c r="G865" s="9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</row>
    <row r="866" spans="1:19" ht="15.75" customHeight="1">
      <c r="A866" s="8">
        <v>236108991</v>
      </c>
      <c r="B866" s="8"/>
      <c r="C866" s="8"/>
      <c r="D866" s="8" t="s">
        <v>3591</v>
      </c>
      <c r="E866" s="9"/>
      <c r="F866" s="8"/>
      <c r="G866" s="9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</row>
    <row r="867" spans="1:19" ht="15.75" customHeight="1">
      <c r="A867" s="8">
        <v>236115262</v>
      </c>
      <c r="B867" s="8"/>
      <c r="C867" s="8"/>
      <c r="D867" s="8" t="s">
        <v>3594</v>
      </c>
      <c r="E867" s="9"/>
      <c r="F867" s="8"/>
      <c r="G867" s="9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</row>
    <row r="868" spans="1:19" ht="15.75" customHeight="1">
      <c r="A868" s="8">
        <v>236127777</v>
      </c>
      <c r="B868" s="8" t="s">
        <v>8197</v>
      </c>
      <c r="C868" s="8" t="s">
        <v>9894</v>
      </c>
      <c r="D868" s="8" t="s">
        <v>3597</v>
      </c>
      <c r="E868" s="9" t="s">
        <v>3598</v>
      </c>
      <c r="F868" s="8" t="s">
        <v>9895</v>
      </c>
      <c r="G868" s="9">
        <v>31</v>
      </c>
      <c r="H868" s="8" t="s">
        <v>8222</v>
      </c>
      <c r="I868" s="8" t="s">
        <v>8412</v>
      </c>
      <c r="J868" s="8"/>
      <c r="K868" s="8"/>
      <c r="L868" s="8"/>
      <c r="M868" s="8"/>
      <c r="N868" s="8"/>
      <c r="O868" s="8"/>
      <c r="P868" s="8"/>
      <c r="Q868" s="8"/>
      <c r="R868" s="8"/>
      <c r="S868" s="8"/>
    </row>
    <row r="869" spans="1:19" ht="15.75" customHeight="1">
      <c r="A869" s="8">
        <v>236132319</v>
      </c>
      <c r="B869" s="8" t="s">
        <v>9896</v>
      </c>
      <c r="C869" s="8" t="s">
        <v>8206</v>
      </c>
      <c r="D869" s="8" t="s">
        <v>3601</v>
      </c>
      <c r="E869" s="9">
        <v>79102500017</v>
      </c>
      <c r="F869" s="8"/>
      <c r="G869" s="9"/>
      <c r="H869" s="8" t="s">
        <v>8164</v>
      </c>
      <c r="I869" s="8" t="s">
        <v>8759</v>
      </c>
      <c r="J869" s="8"/>
      <c r="K869" s="8"/>
      <c r="L869" s="8"/>
      <c r="M869" s="8"/>
      <c r="N869" s="8"/>
      <c r="O869" s="8"/>
      <c r="P869" s="8"/>
      <c r="Q869" s="8"/>
      <c r="R869" s="8"/>
      <c r="S869" s="8"/>
    </row>
    <row r="870" spans="1:19" ht="15.75" customHeight="1">
      <c r="A870" s="8">
        <v>236134189</v>
      </c>
      <c r="B870" s="8" t="s">
        <v>9897</v>
      </c>
      <c r="C870" s="8" t="s">
        <v>9898</v>
      </c>
      <c r="D870" s="8" t="s">
        <v>3604</v>
      </c>
      <c r="E870" s="9">
        <v>8479622660</v>
      </c>
      <c r="F870" s="8" t="s">
        <v>9899</v>
      </c>
      <c r="G870" s="9">
        <v>37</v>
      </c>
      <c r="H870" s="8" t="s">
        <v>9786</v>
      </c>
      <c r="I870" s="8" t="s">
        <v>9900</v>
      </c>
      <c r="J870" s="8"/>
      <c r="K870" s="8"/>
      <c r="L870" s="8"/>
      <c r="M870" s="8"/>
      <c r="N870" s="8"/>
      <c r="O870" s="8"/>
      <c r="P870" s="8"/>
      <c r="Q870" s="8"/>
      <c r="R870" s="8"/>
      <c r="S870" s="8"/>
    </row>
    <row r="871" spans="1:19" ht="15.75" customHeight="1">
      <c r="A871" s="8">
        <v>236160669</v>
      </c>
      <c r="B871" s="8" t="s">
        <v>8206</v>
      </c>
      <c r="C871" s="8" t="s">
        <v>8630</v>
      </c>
      <c r="D871" s="8" t="s">
        <v>3607</v>
      </c>
      <c r="E871" s="9" t="s">
        <v>3608</v>
      </c>
      <c r="F871" s="8" t="s">
        <v>9901</v>
      </c>
      <c r="G871" s="9">
        <v>51</v>
      </c>
      <c r="H871" s="8" t="s">
        <v>8164</v>
      </c>
      <c r="I871" s="8" t="s">
        <v>8423</v>
      </c>
      <c r="J871" s="8" t="s">
        <v>9902</v>
      </c>
      <c r="K871" s="8"/>
      <c r="L871" s="8" t="s">
        <v>8167</v>
      </c>
      <c r="M871" s="8"/>
      <c r="N871" s="8" t="s">
        <v>8169</v>
      </c>
      <c r="O871" s="8"/>
      <c r="P871" s="8" t="s">
        <v>8171</v>
      </c>
      <c r="Q871" s="8"/>
      <c r="R871" s="8"/>
      <c r="S871" s="8"/>
    </row>
    <row r="872" spans="1:19" ht="15.75" customHeight="1">
      <c r="A872" s="8">
        <v>236164686</v>
      </c>
      <c r="B872" s="8"/>
      <c r="C872" s="8"/>
      <c r="D872" s="8" t="s">
        <v>3613</v>
      </c>
      <c r="E872" s="9"/>
      <c r="F872" s="8"/>
      <c r="G872" s="9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</row>
    <row r="873" spans="1:19" ht="15.75" customHeight="1">
      <c r="A873" s="8">
        <v>236183993</v>
      </c>
      <c r="B873" s="8" t="s">
        <v>8581</v>
      </c>
      <c r="C873" s="8" t="s">
        <v>9903</v>
      </c>
      <c r="D873" s="8" t="s">
        <v>3616</v>
      </c>
      <c r="E873" s="9">
        <v>6478082255</v>
      </c>
      <c r="F873" s="8" t="s">
        <v>9904</v>
      </c>
      <c r="G873" s="9">
        <v>76</v>
      </c>
      <c r="H873" s="8" t="s">
        <v>9829</v>
      </c>
      <c r="I873" s="8" t="s">
        <v>9905</v>
      </c>
      <c r="J873" s="8"/>
      <c r="K873" s="8"/>
      <c r="L873" s="8"/>
      <c r="M873" s="8"/>
      <c r="N873" s="8"/>
      <c r="O873" s="8"/>
      <c r="P873" s="8"/>
      <c r="Q873" s="8"/>
      <c r="R873" s="8"/>
      <c r="S873" s="8"/>
    </row>
    <row r="874" spans="1:19" ht="15.75" customHeight="1">
      <c r="A874" s="8">
        <v>236200993</v>
      </c>
      <c r="B874" s="8"/>
      <c r="C874" s="8"/>
      <c r="D874" s="8" t="s">
        <v>3619</v>
      </c>
      <c r="E874" s="9"/>
      <c r="F874" s="8"/>
      <c r="G874" s="9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</row>
    <row r="875" spans="1:19" ht="15.75" customHeight="1">
      <c r="A875" s="8">
        <v>236201634</v>
      </c>
      <c r="B875" s="8"/>
      <c r="C875" s="8"/>
      <c r="D875" s="8" t="s">
        <v>3622</v>
      </c>
      <c r="E875" s="9"/>
      <c r="F875" s="8"/>
      <c r="G875" s="9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</row>
    <row r="876" spans="1:19" ht="15.75" customHeight="1">
      <c r="A876" s="8">
        <v>236201762</v>
      </c>
      <c r="B876" s="8"/>
      <c r="C876" s="8"/>
      <c r="D876" s="8" t="s">
        <v>3625</v>
      </c>
      <c r="E876" s="9"/>
      <c r="F876" s="8"/>
      <c r="G876" s="9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</row>
    <row r="877" spans="1:19" ht="15.75" customHeight="1">
      <c r="A877" s="8">
        <v>236210130</v>
      </c>
      <c r="B877" s="8"/>
      <c r="C877" s="8"/>
      <c r="D877" s="8" t="s">
        <v>3628</v>
      </c>
      <c r="E877" s="9"/>
      <c r="F877" s="8"/>
      <c r="G877" s="9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</row>
    <row r="878" spans="1:19" ht="15.75" customHeight="1">
      <c r="A878" s="8">
        <v>236211078</v>
      </c>
      <c r="B878" s="8" t="s">
        <v>3971</v>
      </c>
      <c r="C878" s="8" t="s">
        <v>9906</v>
      </c>
      <c r="D878" s="8" t="s">
        <v>3631</v>
      </c>
      <c r="E878" s="9">
        <v>2147299890</v>
      </c>
      <c r="F878" s="8" t="s">
        <v>9907</v>
      </c>
      <c r="G878" s="9">
        <v>47</v>
      </c>
      <c r="H878" s="8" t="s">
        <v>9769</v>
      </c>
      <c r="I878" s="8" t="s">
        <v>9908</v>
      </c>
      <c r="J878" s="8"/>
      <c r="K878" s="8"/>
      <c r="L878" s="8"/>
      <c r="M878" s="8"/>
      <c r="N878" s="8"/>
      <c r="O878" s="8"/>
      <c r="P878" s="8"/>
      <c r="Q878" s="8"/>
      <c r="R878" s="8"/>
      <c r="S878" s="8"/>
    </row>
    <row r="879" spans="1:19" ht="15.75" customHeight="1">
      <c r="A879" s="8">
        <v>236223771</v>
      </c>
      <c r="B879" s="8"/>
      <c r="C879" s="8"/>
      <c r="D879" s="8" t="s">
        <v>3634</v>
      </c>
      <c r="E879" s="9"/>
      <c r="F879" s="8"/>
      <c r="G879" s="9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</row>
    <row r="880" spans="1:19" ht="15.75" customHeight="1">
      <c r="A880" s="8">
        <v>236229385</v>
      </c>
      <c r="B880" s="8" t="s">
        <v>8581</v>
      </c>
      <c r="C880" s="8" t="s">
        <v>9909</v>
      </c>
      <c r="D880" s="8" t="s">
        <v>9910</v>
      </c>
      <c r="E880" s="9">
        <v>79269991399</v>
      </c>
      <c r="F880" s="8"/>
      <c r="G880" s="9"/>
      <c r="H880" s="8" t="s">
        <v>8164</v>
      </c>
      <c r="I880" s="8" t="s">
        <v>8165</v>
      </c>
      <c r="J880" s="8"/>
      <c r="K880" s="8"/>
      <c r="L880" s="8"/>
      <c r="M880" s="8"/>
      <c r="N880" s="8"/>
      <c r="O880" s="8"/>
      <c r="P880" s="8"/>
      <c r="Q880" s="8"/>
      <c r="R880" s="8"/>
      <c r="S880" s="8"/>
    </row>
    <row r="881" spans="1:19" ht="15.75" customHeight="1">
      <c r="A881" s="8">
        <v>236233231</v>
      </c>
      <c r="B881" s="8" t="s">
        <v>9911</v>
      </c>
      <c r="C881" s="8" t="s">
        <v>9912</v>
      </c>
      <c r="D881" s="8" t="s">
        <v>3637</v>
      </c>
      <c r="E881" s="9">
        <v>6463631846</v>
      </c>
      <c r="F881" s="8" t="s">
        <v>9193</v>
      </c>
      <c r="G881" s="9">
        <v>19</v>
      </c>
      <c r="H881" s="8" t="s">
        <v>9769</v>
      </c>
      <c r="I881" s="8" t="s">
        <v>9913</v>
      </c>
      <c r="J881" s="8"/>
      <c r="K881" s="8"/>
      <c r="L881" s="8"/>
      <c r="M881" s="8"/>
      <c r="N881" s="8"/>
      <c r="O881" s="8"/>
      <c r="P881" s="8"/>
      <c r="Q881" s="8"/>
      <c r="R881" s="8"/>
      <c r="S881" s="8"/>
    </row>
    <row r="882" spans="1:19" ht="15.75" customHeight="1">
      <c r="A882" s="8">
        <v>236251449</v>
      </c>
      <c r="B882" s="8"/>
      <c r="C882" s="8"/>
      <c r="D882" s="8" t="s">
        <v>3640</v>
      </c>
      <c r="E882" s="9"/>
      <c r="F882" s="8"/>
      <c r="G882" s="9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</row>
    <row r="883" spans="1:19" ht="15.75" customHeight="1">
      <c r="A883" s="8">
        <v>236264015</v>
      </c>
      <c r="B883" s="8"/>
      <c r="C883" s="8"/>
      <c r="D883" s="8" t="s">
        <v>3643</v>
      </c>
      <c r="E883" s="9"/>
      <c r="F883" s="8"/>
      <c r="G883" s="9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</row>
    <row r="884" spans="1:19" ht="15.75" customHeight="1">
      <c r="A884" s="8">
        <v>236284575</v>
      </c>
      <c r="B884" s="8" t="s">
        <v>8760</v>
      </c>
      <c r="C884" s="8" t="s">
        <v>9914</v>
      </c>
      <c r="D884" s="8" t="s">
        <v>3646</v>
      </c>
      <c r="E884" s="9" t="s">
        <v>3647</v>
      </c>
      <c r="F884" s="8" t="s">
        <v>9915</v>
      </c>
      <c r="G884" s="9">
        <v>49</v>
      </c>
      <c r="H884" s="8" t="s">
        <v>9916</v>
      </c>
      <c r="I884" s="8" t="s">
        <v>9917</v>
      </c>
      <c r="J884" s="8"/>
      <c r="K884" s="8"/>
      <c r="L884" s="8"/>
      <c r="M884" s="8"/>
      <c r="N884" s="8"/>
      <c r="O884" s="8"/>
      <c r="P884" s="8"/>
      <c r="Q884" s="8"/>
      <c r="R884" s="8"/>
      <c r="S884" s="8"/>
    </row>
    <row r="885" spans="1:19" ht="15.75" customHeight="1">
      <c r="A885" s="8">
        <v>236297670</v>
      </c>
      <c r="B885" s="8"/>
      <c r="C885" s="8"/>
      <c r="D885" s="8" t="s">
        <v>3650</v>
      </c>
      <c r="E885" s="9"/>
      <c r="F885" s="8"/>
      <c r="G885" s="9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</row>
    <row r="886" spans="1:19" ht="15.75" customHeight="1">
      <c r="A886" s="8">
        <v>236297981</v>
      </c>
      <c r="B886" s="8"/>
      <c r="C886" s="8"/>
      <c r="D886" s="8" t="s">
        <v>3653</v>
      </c>
      <c r="E886" s="9"/>
      <c r="F886" s="8"/>
      <c r="G886" s="9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</row>
    <row r="887" spans="1:19" ht="15.75" customHeight="1">
      <c r="A887" s="8">
        <v>236299001</v>
      </c>
      <c r="B887" s="8"/>
      <c r="C887" s="8"/>
      <c r="D887" s="8" t="s">
        <v>3656</v>
      </c>
      <c r="E887" s="9"/>
      <c r="F887" s="8"/>
      <c r="G887" s="9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</row>
    <row r="888" spans="1:19" ht="15.75" customHeight="1">
      <c r="A888" s="8">
        <v>236299413</v>
      </c>
      <c r="B888" s="8"/>
      <c r="C888" s="8"/>
      <c r="D888" s="8" t="s">
        <v>3659</v>
      </c>
      <c r="E888" s="9"/>
      <c r="F888" s="8"/>
      <c r="G888" s="9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</row>
    <row r="889" spans="1:19" ht="15.75" customHeight="1">
      <c r="A889" s="8">
        <v>236302909</v>
      </c>
      <c r="B889" s="8"/>
      <c r="C889" s="8"/>
      <c r="D889" s="8" t="s">
        <v>3662</v>
      </c>
      <c r="E889" s="9"/>
      <c r="F889" s="8"/>
      <c r="G889" s="9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</row>
    <row r="890" spans="1:19" ht="15.75" customHeight="1">
      <c r="A890" s="8">
        <v>236306233</v>
      </c>
      <c r="B890" s="8"/>
      <c r="C890" s="8"/>
      <c r="D890" s="8" t="s">
        <v>3665</v>
      </c>
      <c r="E890" s="9"/>
      <c r="F890" s="8"/>
      <c r="G890" s="9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</row>
    <row r="891" spans="1:19" ht="15.75" customHeight="1">
      <c r="A891" s="8">
        <v>236307515</v>
      </c>
      <c r="B891" s="8" t="s">
        <v>9918</v>
      </c>
      <c r="C891" s="8" t="s">
        <v>9919</v>
      </c>
      <c r="D891" s="8" t="s">
        <v>3668</v>
      </c>
      <c r="E891" s="9" t="s">
        <v>3669</v>
      </c>
      <c r="F891" s="8"/>
      <c r="G891" s="9"/>
      <c r="H891" s="8" t="s">
        <v>9786</v>
      </c>
      <c r="I891" s="8" t="s">
        <v>9920</v>
      </c>
      <c r="J891" s="8"/>
      <c r="K891" s="8"/>
      <c r="L891" s="8"/>
      <c r="M891" s="8"/>
      <c r="N891" s="8"/>
      <c r="O891" s="8"/>
      <c r="P891" s="8"/>
      <c r="Q891" s="8"/>
      <c r="R891" s="8"/>
      <c r="S891" s="8"/>
    </row>
    <row r="892" spans="1:19" ht="15.75" customHeight="1">
      <c r="A892" s="8">
        <v>236309175</v>
      </c>
      <c r="B892" s="8"/>
      <c r="C892" s="8"/>
      <c r="D892" s="8" t="s">
        <v>3672</v>
      </c>
      <c r="E892" s="9"/>
      <c r="F892" s="8"/>
      <c r="G892" s="9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</row>
    <row r="893" spans="1:19" ht="15.75" customHeight="1">
      <c r="A893" s="8">
        <v>236309325</v>
      </c>
      <c r="B893" s="8"/>
      <c r="C893" s="8"/>
      <c r="D893" s="8" t="s">
        <v>3675</v>
      </c>
      <c r="E893" s="9"/>
      <c r="F893" s="8"/>
      <c r="G893" s="9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</row>
    <row r="894" spans="1:19" ht="15.75" customHeight="1">
      <c r="A894" s="8">
        <v>236309490</v>
      </c>
      <c r="B894" s="8" t="s">
        <v>9921</v>
      </c>
      <c r="C894" s="8" t="s">
        <v>9922</v>
      </c>
      <c r="D894" s="8" t="s">
        <v>3678</v>
      </c>
      <c r="E894" s="9">
        <v>79257556776</v>
      </c>
      <c r="F894" s="8" t="s">
        <v>9923</v>
      </c>
      <c r="G894" s="9">
        <v>38</v>
      </c>
      <c r="H894" s="8" t="s">
        <v>9769</v>
      </c>
      <c r="I894" s="8" t="s">
        <v>9924</v>
      </c>
      <c r="J894" s="8"/>
      <c r="K894" s="8"/>
      <c r="L894" s="8"/>
      <c r="M894" s="8"/>
      <c r="N894" s="8"/>
      <c r="O894" s="8"/>
      <c r="P894" s="8"/>
      <c r="Q894" s="8"/>
      <c r="R894" s="8"/>
      <c r="S894" s="8"/>
    </row>
    <row r="895" spans="1:19" ht="15.75" customHeight="1">
      <c r="A895" s="8">
        <v>236318962</v>
      </c>
      <c r="B895" s="8"/>
      <c r="C895" s="8"/>
      <c r="D895" s="8" t="s">
        <v>3681</v>
      </c>
      <c r="E895" s="9"/>
      <c r="F895" s="8"/>
      <c r="G895" s="9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</row>
    <row r="896" spans="1:19" ht="15.75" customHeight="1">
      <c r="A896" s="8">
        <v>236326681</v>
      </c>
      <c r="B896" s="8"/>
      <c r="C896" s="8"/>
      <c r="D896" s="8" t="s">
        <v>3684</v>
      </c>
      <c r="E896" s="9"/>
      <c r="F896" s="8"/>
      <c r="G896" s="9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</row>
    <row r="897" spans="1:19" ht="15.75" customHeight="1">
      <c r="A897" s="8">
        <v>236328199</v>
      </c>
      <c r="B897" s="8"/>
      <c r="C897" s="8"/>
      <c r="D897" s="8" t="s">
        <v>3687</v>
      </c>
      <c r="E897" s="9"/>
      <c r="F897" s="8"/>
      <c r="G897" s="9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</row>
    <row r="898" spans="1:19" ht="15.75" customHeight="1">
      <c r="A898" s="8">
        <v>236437371</v>
      </c>
      <c r="B898" s="8" t="s">
        <v>9925</v>
      </c>
      <c r="C898" s="8" t="s">
        <v>9926</v>
      </c>
      <c r="D898" s="8" t="s">
        <v>9927</v>
      </c>
      <c r="E898" s="9" t="s">
        <v>9928</v>
      </c>
      <c r="F898" s="8" t="s">
        <v>9929</v>
      </c>
      <c r="G898" s="9">
        <v>20</v>
      </c>
      <c r="H898" s="8" t="s">
        <v>8222</v>
      </c>
      <c r="I898" s="8" t="s">
        <v>8412</v>
      </c>
      <c r="J898" s="8"/>
      <c r="K898" s="8"/>
      <c r="L898" s="8"/>
      <c r="M898" s="8"/>
      <c r="N898" s="8"/>
      <c r="O898" s="8"/>
      <c r="P898" s="8"/>
      <c r="Q898" s="8"/>
      <c r="R898" s="8"/>
      <c r="S898" s="8"/>
    </row>
    <row r="899" spans="1:19" ht="15.75" customHeight="1">
      <c r="A899" s="8">
        <v>236438239</v>
      </c>
      <c r="B899" s="8" t="s">
        <v>8717</v>
      </c>
      <c r="C899" s="8" t="s">
        <v>9930</v>
      </c>
      <c r="D899" s="8" t="s">
        <v>3690</v>
      </c>
      <c r="E899" s="9" t="s">
        <v>3691</v>
      </c>
      <c r="F899" s="8" t="s">
        <v>9931</v>
      </c>
      <c r="G899" s="9">
        <v>20</v>
      </c>
      <c r="H899" s="8" t="s">
        <v>8222</v>
      </c>
      <c r="I899" s="8" t="s">
        <v>8412</v>
      </c>
      <c r="J899" s="8"/>
      <c r="K899" s="8"/>
      <c r="L899" s="8"/>
      <c r="M899" s="8"/>
      <c r="N899" s="8"/>
      <c r="O899" s="8"/>
      <c r="P899" s="8"/>
      <c r="Q899" s="8"/>
      <c r="R899" s="8"/>
      <c r="S899" s="8"/>
    </row>
    <row r="900" spans="1:19" ht="15.75" customHeight="1">
      <c r="A900" s="8">
        <v>236440781</v>
      </c>
      <c r="B900" s="8"/>
      <c r="C900" s="8"/>
      <c r="D900" s="8" t="s">
        <v>3694</v>
      </c>
      <c r="E900" s="9"/>
      <c r="F900" s="8"/>
      <c r="G900" s="9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</row>
    <row r="901" spans="1:19" ht="15.75" customHeight="1">
      <c r="A901" s="8">
        <v>236460714</v>
      </c>
      <c r="B901" s="8"/>
      <c r="C901" s="8"/>
      <c r="D901" s="8" t="s">
        <v>3697</v>
      </c>
      <c r="E901" s="9"/>
      <c r="F901" s="8"/>
      <c r="G901" s="9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</row>
    <row r="902" spans="1:19" ht="15.75" customHeight="1">
      <c r="A902" s="8">
        <v>236469305</v>
      </c>
      <c r="B902" s="8"/>
      <c r="C902" s="8"/>
      <c r="D902" s="8" t="s">
        <v>3700</v>
      </c>
      <c r="E902" s="9"/>
      <c r="F902" s="8"/>
      <c r="G902" s="9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</row>
    <row r="903" spans="1:19" ht="15.75" customHeight="1">
      <c r="A903" s="8">
        <v>236470383</v>
      </c>
      <c r="B903" s="8"/>
      <c r="C903" s="8"/>
      <c r="D903" s="8" t="s">
        <v>3703</v>
      </c>
      <c r="E903" s="9"/>
      <c r="F903" s="8"/>
      <c r="G903" s="9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</row>
    <row r="904" spans="1:19" ht="15.75" customHeight="1">
      <c r="A904" s="8">
        <v>236492624</v>
      </c>
      <c r="B904" s="8"/>
      <c r="C904" s="8"/>
      <c r="D904" s="8" t="s">
        <v>3706</v>
      </c>
      <c r="E904" s="9"/>
      <c r="F904" s="8"/>
      <c r="G904" s="9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</row>
    <row r="905" spans="1:19" ht="15.75" customHeight="1">
      <c r="A905" s="8">
        <v>236511792</v>
      </c>
      <c r="B905" s="8"/>
      <c r="C905" s="8"/>
      <c r="D905" s="8" t="s">
        <v>3709</v>
      </c>
      <c r="E905" s="9"/>
      <c r="F905" s="8"/>
      <c r="G905" s="9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</row>
    <row r="906" spans="1:19" ht="15.75" customHeight="1">
      <c r="A906" s="8">
        <v>236538926</v>
      </c>
      <c r="B906" s="8"/>
      <c r="C906" s="8"/>
      <c r="D906" s="8" t="s">
        <v>3712</v>
      </c>
      <c r="E906" s="9"/>
      <c r="F906" s="8"/>
      <c r="G906" s="9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</row>
    <row r="907" spans="1:19" ht="15.75" customHeight="1">
      <c r="A907" s="8">
        <v>236541172</v>
      </c>
      <c r="B907" s="8"/>
      <c r="C907" s="8"/>
      <c r="D907" s="8" t="s">
        <v>3715</v>
      </c>
      <c r="E907" s="9"/>
      <c r="F907" s="8"/>
      <c r="G907" s="9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</row>
    <row r="908" spans="1:19" ht="15.75" customHeight="1">
      <c r="A908" s="8">
        <v>236543991</v>
      </c>
      <c r="B908" s="8"/>
      <c r="C908" s="8"/>
      <c r="D908" s="8" t="s">
        <v>9932</v>
      </c>
      <c r="E908" s="9"/>
      <c r="F908" s="8"/>
      <c r="G908" s="9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</row>
    <row r="909" spans="1:19" ht="15.75" customHeight="1">
      <c r="A909" s="8">
        <v>236544916</v>
      </c>
      <c r="B909" s="8"/>
      <c r="C909" s="8"/>
      <c r="D909" s="8" t="s">
        <v>3718</v>
      </c>
      <c r="E909" s="9"/>
      <c r="F909" s="8"/>
      <c r="G909" s="9"/>
      <c r="H909" s="8" t="s">
        <v>8158</v>
      </c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</row>
    <row r="910" spans="1:19" ht="15.75" customHeight="1">
      <c r="A910" s="8">
        <v>236551537</v>
      </c>
      <c r="B910" s="8"/>
      <c r="C910" s="8"/>
      <c r="D910" s="8" t="s">
        <v>3721</v>
      </c>
      <c r="E910" s="9"/>
      <c r="F910" s="8"/>
      <c r="G910" s="9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</row>
    <row r="911" spans="1:19" ht="15.75" customHeight="1">
      <c r="A911" s="8">
        <v>236558335</v>
      </c>
      <c r="B911" s="8" t="s">
        <v>9933</v>
      </c>
      <c r="C911" s="8" t="s">
        <v>9934</v>
      </c>
      <c r="D911" s="8" t="s">
        <v>3724</v>
      </c>
      <c r="E911" s="9"/>
      <c r="F911" s="8"/>
      <c r="G911" s="9"/>
      <c r="H911" s="8" t="s">
        <v>8158</v>
      </c>
      <c r="I911" s="8" t="s">
        <v>9935</v>
      </c>
      <c r="J911" s="8"/>
      <c r="K911" s="8"/>
      <c r="L911" s="8"/>
      <c r="M911" s="8"/>
      <c r="N911" s="8"/>
      <c r="O911" s="8"/>
      <c r="P911" s="8"/>
      <c r="Q911" s="8"/>
      <c r="R911" s="8"/>
      <c r="S911" s="8"/>
    </row>
    <row r="912" spans="1:19" ht="15.75" customHeight="1">
      <c r="A912" s="8">
        <v>236563021</v>
      </c>
      <c r="B912" s="8"/>
      <c r="C912" s="8"/>
      <c r="D912" s="8" t="s">
        <v>3727</v>
      </c>
      <c r="E912" s="9"/>
      <c r="F912" s="8"/>
      <c r="G912" s="9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</row>
    <row r="913" spans="1:19" ht="15.75" customHeight="1">
      <c r="A913" s="8">
        <v>236577980</v>
      </c>
      <c r="B913" s="8"/>
      <c r="C913" s="8"/>
      <c r="D913" s="8" t="s">
        <v>3730</v>
      </c>
      <c r="E913" s="9"/>
      <c r="F913" s="8"/>
      <c r="G913" s="9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</row>
    <row r="914" spans="1:19" ht="15.75" customHeight="1">
      <c r="A914" s="8">
        <v>236592047</v>
      </c>
      <c r="B914" s="8" t="s">
        <v>8717</v>
      </c>
      <c r="C914" s="8" t="s">
        <v>9936</v>
      </c>
      <c r="D914" s="8" t="s">
        <v>3733</v>
      </c>
      <c r="E914" s="9" t="s">
        <v>3734</v>
      </c>
      <c r="F914" s="8"/>
      <c r="G914" s="9"/>
      <c r="H914" s="8" t="s">
        <v>8158</v>
      </c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</row>
    <row r="915" spans="1:19" ht="15.75" customHeight="1">
      <c r="A915" s="8">
        <v>236595610</v>
      </c>
      <c r="B915" s="8"/>
      <c r="C915" s="8"/>
      <c r="D915" s="8" t="s">
        <v>3737</v>
      </c>
      <c r="E915" s="9"/>
      <c r="F915" s="8"/>
      <c r="G915" s="9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</row>
    <row r="916" spans="1:19" ht="15.75" customHeight="1">
      <c r="A916" s="8">
        <v>236660022</v>
      </c>
      <c r="B916" s="8"/>
      <c r="C916" s="8"/>
      <c r="D916" s="8" t="s">
        <v>3740</v>
      </c>
      <c r="E916" s="9"/>
      <c r="F916" s="8"/>
      <c r="G916" s="9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</row>
    <row r="917" spans="1:19" ht="15.75" customHeight="1">
      <c r="A917" s="8">
        <v>236678500</v>
      </c>
      <c r="B917" s="8"/>
      <c r="C917" s="8"/>
      <c r="D917" s="8" t="s">
        <v>3743</v>
      </c>
      <c r="E917" s="9"/>
      <c r="F917" s="8"/>
      <c r="G917" s="9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</row>
    <row r="918" spans="1:19" ht="15.75" customHeight="1">
      <c r="A918" s="8">
        <v>236699562</v>
      </c>
      <c r="B918" s="8"/>
      <c r="C918" s="8"/>
      <c r="D918" s="8" t="s">
        <v>3746</v>
      </c>
      <c r="E918" s="9"/>
      <c r="F918" s="8"/>
      <c r="G918" s="9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</row>
    <row r="919" spans="1:19" ht="15.75" customHeight="1">
      <c r="A919" s="8">
        <v>236713763</v>
      </c>
      <c r="B919" s="8"/>
      <c r="C919" s="8"/>
      <c r="D919" s="8" t="s">
        <v>3749</v>
      </c>
      <c r="E919" s="9"/>
      <c r="F919" s="8"/>
      <c r="G919" s="9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</row>
    <row r="920" spans="1:19" ht="15.75" customHeight="1">
      <c r="A920" s="8">
        <v>236728826</v>
      </c>
      <c r="B920" s="8"/>
      <c r="C920" s="8"/>
      <c r="D920" s="8" t="s">
        <v>3752</v>
      </c>
      <c r="E920" s="9"/>
      <c r="F920" s="8"/>
      <c r="G920" s="9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</row>
    <row r="921" spans="1:19" ht="15.75" customHeight="1">
      <c r="A921" s="8">
        <v>236742783</v>
      </c>
      <c r="B921" s="8" t="s">
        <v>9937</v>
      </c>
      <c r="C921" s="8" t="s">
        <v>9938</v>
      </c>
      <c r="D921" s="8" t="s">
        <v>3755</v>
      </c>
      <c r="E921" s="9">
        <v>4169931976</v>
      </c>
      <c r="F921" s="8" t="s">
        <v>9939</v>
      </c>
      <c r="G921" s="9">
        <v>0</v>
      </c>
      <c r="H921" s="8" t="s">
        <v>9940</v>
      </c>
      <c r="I921" s="8" t="s">
        <v>9941</v>
      </c>
      <c r="J921" s="8"/>
      <c r="K921" s="8"/>
      <c r="L921" s="8"/>
      <c r="M921" s="8"/>
      <c r="N921" s="8"/>
      <c r="O921" s="8"/>
      <c r="P921" s="8"/>
      <c r="Q921" s="8"/>
      <c r="R921" s="8"/>
      <c r="S921" s="8"/>
    </row>
    <row r="922" spans="1:19" ht="15.75" customHeight="1">
      <c r="A922" s="8">
        <v>236744624</v>
      </c>
      <c r="B922" s="8" t="s">
        <v>9942</v>
      </c>
      <c r="C922" s="8" t="s">
        <v>9943</v>
      </c>
      <c r="D922" s="8" t="s">
        <v>3758</v>
      </c>
      <c r="E922" s="9">
        <v>5054125577</v>
      </c>
      <c r="F922" s="8" t="s">
        <v>9944</v>
      </c>
      <c r="G922" s="9">
        <v>51</v>
      </c>
      <c r="H922" s="8" t="s">
        <v>9769</v>
      </c>
      <c r="I922" s="8" t="s">
        <v>9945</v>
      </c>
      <c r="J922" s="8"/>
      <c r="K922" s="8"/>
      <c r="L922" s="8"/>
      <c r="M922" s="8"/>
      <c r="N922" s="8"/>
      <c r="O922" s="8"/>
      <c r="P922" s="8"/>
      <c r="Q922" s="8"/>
      <c r="R922" s="8"/>
      <c r="S922" s="8"/>
    </row>
    <row r="923" spans="1:19" ht="15.75" customHeight="1">
      <c r="A923" s="8">
        <v>236830008</v>
      </c>
      <c r="B923" s="8"/>
      <c r="C923" s="8"/>
      <c r="D923" s="8" t="s">
        <v>3761</v>
      </c>
      <c r="E923" s="9"/>
      <c r="F923" s="8"/>
      <c r="G923" s="9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</row>
    <row r="924" spans="1:19" ht="15.75" customHeight="1">
      <c r="A924" s="8">
        <v>236859024</v>
      </c>
      <c r="B924" s="8"/>
      <c r="C924" s="8"/>
      <c r="D924" s="8" t="s">
        <v>3764</v>
      </c>
      <c r="E924" s="9"/>
      <c r="F924" s="8"/>
      <c r="G924" s="9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</row>
    <row r="925" spans="1:19" ht="15.75" customHeight="1">
      <c r="A925" s="8">
        <v>236871974</v>
      </c>
      <c r="B925" s="8" t="s">
        <v>9946</v>
      </c>
      <c r="C925" s="8" t="s">
        <v>9947</v>
      </c>
      <c r="D925" s="8" t="s">
        <v>3767</v>
      </c>
      <c r="E925" s="9" t="s">
        <v>3768</v>
      </c>
      <c r="F925" s="8" t="s">
        <v>9948</v>
      </c>
      <c r="G925" s="9">
        <v>27</v>
      </c>
      <c r="H925" s="8" t="s">
        <v>9769</v>
      </c>
      <c r="I925" s="8" t="s">
        <v>9949</v>
      </c>
      <c r="J925" s="8"/>
      <c r="K925" s="8"/>
      <c r="L925" s="8"/>
      <c r="M925" s="8"/>
      <c r="N925" s="8"/>
      <c r="O925" s="8"/>
      <c r="P925" s="8"/>
      <c r="Q925" s="8"/>
      <c r="R925" s="8"/>
      <c r="S925" s="8"/>
    </row>
    <row r="926" spans="1:19" ht="15.75" customHeight="1">
      <c r="A926" s="8">
        <v>236971035</v>
      </c>
      <c r="B926" s="8" t="s">
        <v>9950</v>
      </c>
      <c r="C926" s="8" t="s">
        <v>9951</v>
      </c>
      <c r="D926" s="8" t="s">
        <v>3771</v>
      </c>
      <c r="E926" s="9" t="s">
        <v>3772</v>
      </c>
      <c r="F926" s="8" t="s">
        <v>9952</v>
      </c>
      <c r="G926" s="9">
        <v>0</v>
      </c>
      <c r="H926" s="8" t="s">
        <v>8509</v>
      </c>
      <c r="I926" s="8" t="s">
        <v>9953</v>
      </c>
      <c r="J926" s="8"/>
      <c r="K926" s="8"/>
      <c r="L926" s="8"/>
      <c r="M926" s="8"/>
      <c r="N926" s="8"/>
      <c r="O926" s="8"/>
      <c r="P926" s="8"/>
      <c r="Q926" s="8"/>
      <c r="R926" s="8"/>
      <c r="S926" s="8"/>
    </row>
    <row r="927" spans="1:19" ht="15.75" customHeight="1">
      <c r="A927" s="8">
        <v>236979103</v>
      </c>
      <c r="B927" s="8" t="s">
        <v>9954</v>
      </c>
      <c r="C927" s="8" t="s">
        <v>9955</v>
      </c>
      <c r="D927" s="8" t="s">
        <v>3775</v>
      </c>
      <c r="E927" s="9" t="s">
        <v>3776</v>
      </c>
      <c r="F927" s="8" t="s">
        <v>9956</v>
      </c>
      <c r="G927" s="9">
        <v>47</v>
      </c>
      <c r="H927" s="8" t="s">
        <v>8164</v>
      </c>
      <c r="I927" s="8" t="s">
        <v>9957</v>
      </c>
      <c r="J927" s="8"/>
      <c r="K927" s="8"/>
      <c r="L927" s="8"/>
      <c r="M927" s="8"/>
      <c r="N927" s="8"/>
      <c r="O927" s="8"/>
      <c r="P927" s="8"/>
      <c r="Q927" s="8"/>
      <c r="R927" s="8"/>
      <c r="S927" s="8"/>
    </row>
    <row r="928" spans="1:19" ht="15.75" customHeight="1">
      <c r="A928" s="8">
        <v>236992069</v>
      </c>
      <c r="B928" s="8" t="s">
        <v>9958</v>
      </c>
      <c r="C928" s="8" t="s">
        <v>9959</v>
      </c>
      <c r="D928" s="8" t="s">
        <v>9960</v>
      </c>
      <c r="E928" s="9">
        <v>79242275941</v>
      </c>
      <c r="F928" s="8"/>
      <c r="G928" s="9"/>
      <c r="H928" s="8" t="s">
        <v>9961</v>
      </c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</row>
    <row r="929" spans="1:19" ht="15.75" customHeight="1">
      <c r="A929" s="8">
        <v>237214145</v>
      </c>
      <c r="B929" s="8" t="s">
        <v>8304</v>
      </c>
      <c r="C929" s="8" t="s">
        <v>9962</v>
      </c>
      <c r="D929" s="8" t="s">
        <v>3782</v>
      </c>
      <c r="E929" s="9" t="s">
        <v>3783</v>
      </c>
      <c r="F929" s="8" t="s">
        <v>9963</v>
      </c>
      <c r="G929" s="9">
        <v>52</v>
      </c>
      <c r="H929" s="8" t="s">
        <v>8164</v>
      </c>
      <c r="I929" s="8" t="s">
        <v>8174</v>
      </c>
      <c r="J929" s="8"/>
      <c r="K929" s="8"/>
      <c r="L929" s="8"/>
      <c r="M929" s="8"/>
      <c r="N929" s="8"/>
      <c r="O929" s="8"/>
      <c r="P929" s="8"/>
      <c r="Q929" s="8"/>
      <c r="R929" s="8"/>
      <c r="S929" s="8"/>
    </row>
    <row r="930" spans="1:19" ht="15.75" customHeight="1">
      <c r="A930" s="8">
        <v>237226726</v>
      </c>
      <c r="B930" s="8" t="s">
        <v>9964</v>
      </c>
      <c r="C930" s="8" t="s">
        <v>9965</v>
      </c>
      <c r="D930" s="8" t="s">
        <v>3786</v>
      </c>
      <c r="E930" s="9">
        <v>20703277</v>
      </c>
      <c r="F930" s="8" t="s">
        <v>9966</v>
      </c>
      <c r="G930" s="9">
        <v>44</v>
      </c>
      <c r="H930" s="8" t="s">
        <v>8558</v>
      </c>
      <c r="I930" s="8" t="s">
        <v>8559</v>
      </c>
      <c r="J930" s="8"/>
      <c r="K930" s="8"/>
      <c r="L930" s="8"/>
      <c r="M930" s="8"/>
      <c r="N930" s="8"/>
      <c r="O930" s="8"/>
      <c r="P930" s="8"/>
      <c r="Q930" s="8"/>
      <c r="R930" s="8"/>
      <c r="S930" s="8"/>
    </row>
    <row r="931" spans="1:19" ht="15.75" customHeight="1">
      <c r="A931" s="8">
        <v>237227198</v>
      </c>
      <c r="B931" s="8" t="s">
        <v>8186</v>
      </c>
      <c r="C931" s="8" t="s">
        <v>9967</v>
      </c>
      <c r="D931" s="8" t="s">
        <v>3789</v>
      </c>
      <c r="E931" s="9" t="s">
        <v>3790</v>
      </c>
      <c r="F931" s="8" t="s">
        <v>9968</v>
      </c>
      <c r="G931" s="9">
        <v>59</v>
      </c>
      <c r="H931" s="8" t="s">
        <v>8164</v>
      </c>
      <c r="I931" s="8" t="s">
        <v>8191</v>
      </c>
      <c r="J931" s="8"/>
      <c r="K931" s="8"/>
      <c r="L931" s="8"/>
      <c r="M931" s="8"/>
      <c r="N931" s="8"/>
      <c r="O931" s="8"/>
      <c r="P931" s="8"/>
      <c r="Q931" s="8"/>
      <c r="R931" s="8"/>
      <c r="S931" s="8"/>
    </row>
    <row r="932" spans="1:19" ht="15.75" customHeight="1">
      <c r="A932" s="8">
        <v>237253123</v>
      </c>
      <c r="B932" s="8" t="s">
        <v>8434</v>
      </c>
      <c r="C932" s="8" t="s">
        <v>9969</v>
      </c>
      <c r="D932" s="8" t="s">
        <v>3794</v>
      </c>
      <c r="E932" s="9">
        <v>79673248815</v>
      </c>
      <c r="F932" s="8"/>
      <c r="G932" s="9"/>
      <c r="H932" s="8" t="s">
        <v>8164</v>
      </c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</row>
    <row r="933" spans="1:19" ht="15.75" customHeight="1">
      <c r="A933" s="8">
        <v>237274613</v>
      </c>
      <c r="B933" s="8" t="s">
        <v>8186</v>
      </c>
      <c r="C933" s="8" t="s">
        <v>9970</v>
      </c>
      <c r="D933" s="8" t="s">
        <v>3797</v>
      </c>
      <c r="E933" s="9" t="s">
        <v>3798</v>
      </c>
      <c r="F933" s="8"/>
      <c r="G933" s="9"/>
      <c r="H933" s="8" t="s">
        <v>8164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</row>
    <row r="934" spans="1:19" ht="15.75" customHeight="1">
      <c r="A934" s="8">
        <v>237288384</v>
      </c>
      <c r="B934" s="8" t="s">
        <v>8866</v>
      </c>
      <c r="C934" s="8" t="s">
        <v>9971</v>
      </c>
      <c r="D934" s="8" t="s">
        <v>3802</v>
      </c>
      <c r="E934" s="9">
        <v>79085855505</v>
      </c>
      <c r="F934" s="8" t="s">
        <v>9972</v>
      </c>
      <c r="G934" s="9">
        <v>40</v>
      </c>
      <c r="H934" s="8" t="s">
        <v>8164</v>
      </c>
      <c r="I934" s="8" t="s">
        <v>8915</v>
      </c>
      <c r="J934" s="8"/>
      <c r="K934" s="8"/>
      <c r="L934" s="8"/>
      <c r="M934" s="8"/>
      <c r="N934" s="8"/>
      <c r="O934" s="8"/>
      <c r="P934" s="8"/>
      <c r="Q934" s="8"/>
      <c r="R934" s="8"/>
      <c r="S934" s="8"/>
    </row>
    <row r="935" spans="1:19" ht="15.75" customHeight="1">
      <c r="A935" s="8">
        <v>237302601</v>
      </c>
      <c r="B935" s="8" t="s">
        <v>8234</v>
      </c>
      <c r="C935" s="8" t="s">
        <v>9973</v>
      </c>
      <c r="D935" s="8" t="s">
        <v>3805</v>
      </c>
      <c r="E935" s="9" t="s">
        <v>3806</v>
      </c>
      <c r="F935" s="8" t="s">
        <v>9974</v>
      </c>
      <c r="G935" s="9">
        <v>28</v>
      </c>
      <c r="H935" s="8" t="s">
        <v>8164</v>
      </c>
      <c r="I935" s="8" t="s">
        <v>8165</v>
      </c>
      <c r="J935" s="8"/>
      <c r="K935" s="8"/>
      <c r="L935" s="8"/>
      <c r="M935" s="8"/>
      <c r="N935" s="8"/>
      <c r="O935" s="8"/>
      <c r="P935" s="8"/>
      <c r="Q935" s="8"/>
      <c r="R935" s="8"/>
      <c r="S935" s="8"/>
    </row>
    <row r="936" spans="1:19" ht="15.75" customHeight="1">
      <c r="A936" s="8">
        <v>237473155</v>
      </c>
      <c r="B936" s="8" t="s">
        <v>8619</v>
      </c>
      <c r="C936" s="8" t="s">
        <v>9303</v>
      </c>
      <c r="D936" s="8" t="s">
        <v>3809</v>
      </c>
      <c r="E936" s="9">
        <v>79134470011</v>
      </c>
      <c r="F936" s="8"/>
      <c r="G936" s="9"/>
      <c r="H936" s="8" t="s">
        <v>8164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</row>
    <row r="937" spans="1:19" ht="15.75" customHeight="1">
      <c r="A937" s="8">
        <v>237553418</v>
      </c>
      <c r="B937" s="8" t="s">
        <v>8390</v>
      </c>
      <c r="C937" s="8" t="s">
        <v>9303</v>
      </c>
      <c r="D937" s="8" t="s">
        <v>3812</v>
      </c>
      <c r="E937" s="9" t="s">
        <v>3813</v>
      </c>
      <c r="F937" s="8"/>
      <c r="G937" s="9"/>
      <c r="H937" s="8" t="s">
        <v>8164</v>
      </c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</row>
    <row r="938" spans="1:19" ht="15.75" customHeight="1">
      <c r="A938" s="8">
        <v>237589268</v>
      </c>
      <c r="B938" s="8" t="s">
        <v>7818</v>
      </c>
      <c r="C938" s="8" t="s">
        <v>9975</v>
      </c>
      <c r="D938" s="8" t="s">
        <v>3818</v>
      </c>
      <c r="E938" s="9" t="s">
        <v>3819</v>
      </c>
      <c r="F938" s="8"/>
      <c r="G938" s="9"/>
      <c r="H938" s="8" t="s">
        <v>8164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</row>
    <row r="939" spans="1:19" ht="15.75" customHeight="1">
      <c r="A939" s="8">
        <v>237625921</v>
      </c>
      <c r="B939" s="8" t="s">
        <v>9976</v>
      </c>
      <c r="C939" s="8" t="s">
        <v>9977</v>
      </c>
      <c r="D939" s="8" t="s">
        <v>3822</v>
      </c>
      <c r="E939" s="9" t="s">
        <v>3823</v>
      </c>
      <c r="F939" s="8"/>
      <c r="G939" s="9"/>
      <c r="H939" s="8" t="s">
        <v>8183</v>
      </c>
      <c r="I939" s="8" t="s">
        <v>8503</v>
      </c>
      <c r="J939" s="8"/>
      <c r="K939" s="8"/>
      <c r="L939" s="8"/>
      <c r="M939" s="8"/>
      <c r="N939" s="8"/>
      <c r="O939" s="8"/>
      <c r="P939" s="8"/>
      <c r="Q939" s="8"/>
      <c r="R939" s="8"/>
      <c r="S939" s="8"/>
    </row>
    <row r="940" spans="1:19" ht="15.75" customHeight="1">
      <c r="A940" s="8">
        <v>237631935</v>
      </c>
      <c r="B940" s="8" t="s">
        <v>8684</v>
      </c>
      <c r="C940" s="8" t="s">
        <v>9978</v>
      </c>
      <c r="D940" s="8" t="s">
        <v>3826</v>
      </c>
      <c r="E940" s="9">
        <v>79818850348</v>
      </c>
      <c r="F940" s="8"/>
      <c r="G940" s="9"/>
      <c r="H940" s="8" t="s">
        <v>8164</v>
      </c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</row>
    <row r="941" spans="1:19" ht="15.75" customHeight="1">
      <c r="A941" s="8">
        <v>237644397</v>
      </c>
      <c r="B941" s="8" t="s">
        <v>8304</v>
      </c>
      <c r="C941" s="8" t="s">
        <v>9979</v>
      </c>
      <c r="D941" s="8" t="s">
        <v>3829</v>
      </c>
      <c r="E941" s="9" t="s">
        <v>3830</v>
      </c>
      <c r="F941" s="8"/>
      <c r="G941" s="9"/>
      <c r="H941" s="8" t="s">
        <v>8164</v>
      </c>
      <c r="I941" s="8" t="s">
        <v>8191</v>
      </c>
      <c r="J941" s="8"/>
      <c r="K941" s="8"/>
      <c r="L941" s="8"/>
      <c r="M941" s="8"/>
      <c r="N941" s="8"/>
      <c r="O941" s="8"/>
      <c r="P941" s="8"/>
      <c r="Q941" s="8"/>
      <c r="R941" s="8"/>
      <c r="S941" s="8"/>
    </row>
    <row r="942" spans="1:19" ht="15.75" customHeight="1">
      <c r="A942" s="8">
        <v>237729083</v>
      </c>
      <c r="B942" s="8" t="s">
        <v>8206</v>
      </c>
      <c r="C942" s="8" t="s">
        <v>9980</v>
      </c>
      <c r="D942" s="8" t="s">
        <v>3833</v>
      </c>
      <c r="E942" s="9" t="s">
        <v>3834</v>
      </c>
      <c r="F942" s="8"/>
      <c r="G942" s="9"/>
      <c r="H942" s="8" t="s">
        <v>8164</v>
      </c>
      <c r="I942" s="8" t="s">
        <v>9560</v>
      </c>
      <c r="J942" s="8"/>
      <c r="K942" s="8"/>
      <c r="L942" s="8"/>
      <c r="M942" s="8"/>
      <c r="N942" s="8"/>
      <c r="O942" s="8"/>
      <c r="P942" s="8"/>
      <c r="Q942" s="8"/>
      <c r="R942" s="8"/>
      <c r="S942" s="8"/>
    </row>
    <row r="943" spans="1:19" ht="15.75" customHeight="1">
      <c r="A943" s="8">
        <v>237749116</v>
      </c>
      <c r="B943" s="8" t="s">
        <v>9981</v>
      </c>
      <c r="C943" s="8" t="s">
        <v>9982</v>
      </c>
      <c r="D943" s="8" t="s">
        <v>3837</v>
      </c>
      <c r="E943" s="9">
        <v>79134667000</v>
      </c>
      <c r="F943" s="8"/>
      <c r="G943" s="9"/>
      <c r="H943" s="8" t="s">
        <v>8164</v>
      </c>
      <c r="I943" s="8" t="s">
        <v>8191</v>
      </c>
      <c r="J943" s="8"/>
      <c r="K943" s="8"/>
      <c r="L943" s="8"/>
      <c r="M943" s="8"/>
      <c r="N943" s="8"/>
      <c r="O943" s="8"/>
      <c r="P943" s="8"/>
      <c r="Q943" s="8"/>
      <c r="R943" s="8"/>
      <c r="S943" s="8"/>
    </row>
    <row r="944" spans="1:19" ht="15.75" customHeight="1">
      <c r="A944" s="8">
        <v>237774441</v>
      </c>
      <c r="B944" s="8" t="s">
        <v>8469</v>
      </c>
      <c r="C944" s="8" t="s">
        <v>9737</v>
      </c>
      <c r="D944" s="8" t="s">
        <v>3840</v>
      </c>
      <c r="E944" s="9" t="s">
        <v>3841</v>
      </c>
      <c r="F944" s="8"/>
      <c r="G944" s="9"/>
      <c r="H944" s="8" t="s">
        <v>8158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</row>
    <row r="945" spans="1:19" ht="15.75" customHeight="1">
      <c r="A945" s="8">
        <v>237776134</v>
      </c>
      <c r="B945" s="8" t="s">
        <v>8325</v>
      </c>
      <c r="C945" s="8" t="s">
        <v>9983</v>
      </c>
      <c r="D945" s="8" t="s">
        <v>3845</v>
      </c>
      <c r="E945" s="9">
        <v>79505244604</v>
      </c>
      <c r="F945" s="8"/>
      <c r="G945" s="9"/>
      <c r="H945" s="8" t="s">
        <v>8164</v>
      </c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</row>
    <row r="946" spans="1:19" ht="15.75" customHeight="1">
      <c r="A946" s="8">
        <v>237784228</v>
      </c>
      <c r="B946" s="8" t="s">
        <v>7768</v>
      </c>
      <c r="C946" s="8" t="s">
        <v>9984</v>
      </c>
      <c r="D946" s="8" t="s">
        <v>3848</v>
      </c>
      <c r="E946" s="9" t="s">
        <v>3849</v>
      </c>
      <c r="F946" s="8"/>
      <c r="G946" s="9"/>
      <c r="H946" s="8" t="s">
        <v>8164</v>
      </c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</row>
    <row r="947" spans="1:19" ht="15.75" customHeight="1">
      <c r="A947" s="8">
        <v>237795708</v>
      </c>
      <c r="B947" s="8" t="s">
        <v>9985</v>
      </c>
      <c r="C947" s="8" t="s">
        <v>9986</v>
      </c>
      <c r="D947" s="8" t="s">
        <v>3852</v>
      </c>
      <c r="E947" s="9" t="s">
        <v>3853</v>
      </c>
      <c r="F947" s="8"/>
      <c r="G947" s="9"/>
      <c r="H947" s="8" t="s">
        <v>8164</v>
      </c>
      <c r="I947" s="8" t="s">
        <v>9987</v>
      </c>
      <c r="J947" s="8"/>
      <c r="K947" s="8"/>
      <c r="L947" s="8"/>
      <c r="M947" s="8"/>
      <c r="N947" s="8"/>
      <c r="O947" s="8"/>
      <c r="P947" s="8"/>
      <c r="Q947" s="8"/>
      <c r="R947" s="8"/>
      <c r="S947" s="8"/>
    </row>
    <row r="948" spans="1:19" ht="15.75" customHeight="1">
      <c r="A948" s="8">
        <v>237799551</v>
      </c>
      <c r="B948" s="8" t="s">
        <v>8304</v>
      </c>
      <c r="C948" s="8" t="s">
        <v>9683</v>
      </c>
      <c r="D948" s="8" t="s">
        <v>3856</v>
      </c>
      <c r="E948" s="9">
        <v>8977877571</v>
      </c>
      <c r="F948" s="8"/>
      <c r="G948" s="9"/>
      <c r="H948" s="8" t="s">
        <v>8164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</row>
    <row r="949" spans="1:19" ht="15.75" customHeight="1">
      <c r="A949" s="8">
        <v>237804653</v>
      </c>
      <c r="B949" s="8" t="s">
        <v>9145</v>
      </c>
      <c r="C949" s="8" t="s">
        <v>9988</v>
      </c>
      <c r="D949" s="8" t="s">
        <v>9989</v>
      </c>
      <c r="E949" s="9" t="s">
        <v>9990</v>
      </c>
      <c r="F949" s="8"/>
      <c r="G949" s="9"/>
      <c r="H949" s="8" t="s">
        <v>8158</v>
      </c>
      <c r="I949" s="8" t="s">
        <v>8165</v>
      </c>
      <c r="J949" s="8"/>
      <c r="K949" s="8"/>
      <c r="L949" s="8"/>
      <c r="M949" s="8"/>
      <c r="N949" s="8"/>
      <c r="O949" s="8"/>
      <c r="P949" s="8"/>
      <c r="Q949" s="8"/>
      <c r="R949" s="8"/>
      <c r="S949" s="8"/>
    </row>
    <row r="950" spans="1:19" ht="15.75" customHeight="1">
      <c r="A950" s="8">
        <v>237819331</v>
      </c>
      <c r="B950" s="8" t="s">
        <v>9991</v>
      </c>
      <c r="C950" s="8" t="s">
        <v>9992</v>
      </c>
      <c r="D950" s="8" t="s">
        <v>3859</v>
      </c>
      <c r="E950" s="9">
        <v>79884150565</v>
      </c>
      <c r="F950" s="8"/>
      <c r="G950" s="9"/>
      <c r="H950" s="8" t="s">
        <v>8164</v>
      </c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</row>
    <row r="951" spans="1:19" ht="15.75" customHeight="1">
      <c r="A951" s="8">
        <v>237837782</v>
      </c>
      <c r="B951" s="8" t="s">
        <v>9491</v>
      </c>
      <c r="C951" s="8" t="s">
        <v>9993</v>
      </c>
      <c r="D951" s="8" t="s">
        <v>3862</v>
      </c>
      <c r="E951" s="9" t="s">
        <v>3863</v>
      </c>
      <c r="F951" s="8"/>
      <c r="G951" s="9"/>
      <c r="H951" s="8" t="s">
        <v>8164</v>
      </c>
      <c r="I951" s="8" t="s">
        <v>8191</v>
      </c>
      <c r="J951" s="8"/>
      <c r="K951" s="8"/>
      <c r="L951" s="8"/>
      <c r="M951" s="8"/>
      <c r="N951" s="8"/>
      <c r="O951" s="8"/>
      <c r="P951" s="8"/>
      <c r="Q951" s="8"/>
      <c r="R951" s="8"/>
      <c r="S951" s="8"/>
    </row>
    <row r="952" spans="1:19" ht="15.75" customHeight="1">
      <c r="A952" s="8">
        <v>237876763</v>
      </c>
      <c r="B952" s="8" t="s">
        <v>8479</v>
      </c>
      <c r="C952" s="8" t="s">
        <v>9994</v>
      </c>
      <c r="D952" s="8" t="s">
        <v>3866</v>
      </c>
      <c r="E952" s="9">
        <v>79891617728</v>
      </c>
      <c r="F952" s="8"/>
      <c r="G952" s="9"/>
      <c r="H952" s="8" t="s">
        <v>8164</v>
      </c>
      <c r="I952" s="8" t="s">
        <v>8214</v>
      </c>
      <c r="J952" s="8"/>
      <c r="K952" s="8"/>
      <c r="L952" s="8"/>
      <c r="M952" s="8"/>
      <c r="N952" s="8"/>
      <c r="O952" s="8"/>
      <c r="P952" s="8"/>
      <c r="Q952" s="8"/>
      <c r="R952" s="8"/>
      <c r="S952" s="8"/>
    </row>
    <row r="953" spans="1:19" ht="15.75" customHeight="1">
      <c r="A953" s="8">
        <v>237902836</v>
      </c>
      <c r="B953" s="8" t="s">
        <v>8365</v>
      </c>
      <c r="C953" s="8" t="s">
        <v>8270</v>
      </c>
      <c r="D953" s="8" t="s">
        <v>9995</v>
      </c>
      <c r="E953" s="9" t="s">
        <v>9996</v>
      </c>
      <c r="F953" s="8"/>
      <c r="G953" s="9"/>
      <c r="H953" s="8" t="s">
        <v>8164</v>
      </c>
      <c r="I953" s="8" t="s">
        <v>8191</v>
      </c>
      <c r="J953" s="8"/>
      <c r="K953" s="8"/>
      <c r="L953" s="8"/>
      <c r="M953" s="8"/>
      <c r="N953" s="8"/>
      <c r="O953" s="8"/>
      <c r="P953" s="8"/>
      <c r="Q953" s="8"/>
      <c r="R953" s="8"/>
      <c r="S953" s="8"/>
    </row>
    <row r="954" spans="1:19" ht="15.75" customHeight="1">
      <c r="A954" s="8">
        <v>237916818</v>
      </c>
      <c r="B954" s="8" t="s">
        <v>8753</v>
      </c>
      <c r="C954" s="8" t="s">
        <v>8754</v>
      </c>
      <c r="D954" s="8" t="s">
        <v>3868</v>
      </c>
      <c r="E954" s="9" t="s">
        <v>630</v>
      </c>
      <c r="F954" s="8"/>
      <c r="G954" s="9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</row>
    <row r="955" spans="1:19" ht="15.75" customHeight="1">
      <c r="A955" s="8">
        <v>237917952</v>
      </c>
      <c r="B955" s="8" t="s">
        <v>9997</v>
      </c>
      <c r="C955" s="8" t="s">
        <v>8578</v>
      </c>
      <c r="D955" s="8" t="s">
        <v>3871</v>
      </c>
      <c r="E955" s="9" t="s">
        <v>3872</v>
      </c>
      <c r="F955" s="8"/>
      <c r="G955" s="9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</row>
    <row r="956" spans="1:19" ht="15.75" customHeight="1">
      <c r="A956" s="8">
        <v>237918471</v>
      </c>
      <c r="B956" s="8" t="s">
        <v>9998</v>
      </c>
      <c r="C956" s="8" t="s">
        <v>9999</v>
      </c>
      <c r="D956" s="8" t="s">
        <v>3875</v>
      </c>
      <c r="E956" s="9" t="s">
        <v>3876</v>
      </c>
      <c r="F956" s="8"/>
      <c r="G956" s="9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</row>
    <row r="957" spans="1:19" ht="15.75" customHeight="1">
      <c r="A957" s="8">
        <v>237919772</v>
      </c>
      <c r="B957" s="8" t="s">
        <v>7768</v>
      </c>
      <c r="C957" s="8" t="s">
        <v>10000</v>
      </c>
      <c r="D957" s="8" t="s">
        <v>3879</v>
      </c>
      <c r="E957" s="9" t="s">
        <v>3880</v>
      </c>
      <c r="F957" s="8"/>
      <c r="G957" s="9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</row>
    <row r="958" spans="1:19" ht="15.75" customHeight="1">
      <c r="A958" s="8">
        <v>237920636</v>
      </c>
      <c r="B958" s="8" t="s">
        <v>10001</v>
      </c>
      <c r="C958" s="8" t="s">
        <v>10002</v>
      </c>
      <c r="D958" s="8" t="s">
        <v>3883</v>
      </c>
      <c r="E958" s="9" t="s">
        <v>3884</v>
      </c>
      <c r="F958" s="8"/>
      <c r="G958" s="9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</row>
    <row r="959" spans="1:19" ht="15.75" customHeight="1">
      <c r="A959" s="8">
        <v>238027332</v>
      </c>
      <c r="B959" s="8" t="s">
        <v>10003</v>
      </c>
      <c r="C959" s="8" t="s">
        <v>10004</v>
      </c>
      <c r="D959" s="8" t="s">
        <v>3888</v>
      </c>
      <c r="E959" s="9" t="s">
        <v>3889</v>
      </c>
      <c r="F959" s="8"/>
      <c r="G959" s="9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</row>
    <row r="960" spans="1:19" ht="15.75" customHeight="1">
      <c r="A960" s="8">
        <v>238047966</v>
      </c>
      <c r="B960" s="8" t="s">
        <v>8721</v>
      </c>
      <c r="C960" s="8" t="s">
        <v>10005</v>
      </c>
      <c r="D960" s="8" t="s">
        <v>3892</v>
      </c>
      <c r="E960" s="9" t="s">
        <v>3893</v>
      </c>
      <c r="F960" s="8"/>
      <c r="G960" s="9"/>
      <c r="H960" s="8" t="s">
        <v>8222</v>
      </c>
      <c r="I960" s="8" t="s">
        <v>10006</v>
      </c>
      <c r="J960" s="8"/>
      <c r="K960" s="8"/>
      <c r="L960" s="8"/>
      <c r="M960" s="8"/>
      <c r="N960" s="8"/>
      <c r="O960" s="8"/>
      <c r="P960" s="8"/>
      <c r="Q960" s="8"/>
      <c r="R960" s="8"/>
      <c r="S960" s="8"/>
    </row>
    <row r="961" spans="1:19" ht="15.75" customHeight="1">
      <c r="A961" s="8">
        <v>238051033</v>
      </c>
      <c r="B961" s="8" t="s">
        <v>8234</v>
      </c>
      <c r="C961" s="8" t="s">
        <v>10007</v>
      </c>
      <c r="D961" s="8" t="s">
        <v>3896</v>
      </c>
      <c r="E961" s="9">
        <v>375293890916</v>
      </c>
      <c r="F961" s="8"/>
      <c r="G961" s="9"/>
      <c r="H961" s="8" t="s">
        <v>8222</v>
      </c>
      <c r="I961" s="8" t="s">
        <v>8412</v>
      </c>
      <c r="J961" s="8"/>
      <c r="K961" s="8"/>
      <c r="L961" s="8"/>
      <c r="M961" s="8"/>
      <c r="N961" s="8"/>
      <c r="O961" s="8"/>
      <c r="P961" s="8"/>
      <c r="Q961" s="8"/>
      <c r="R961" s="8"/>
      <c r="S961" s="8"/>
    </row>
    <row r="962" spans="1:19" ht="15.75" customHeight="1">
      <c r="A962" s="8">
        <v>238058816</v>
      </c>
      <c r="B962" s="8" t="s">
        <v>8694</v>
      </c>
      <c r="C962" s="8" t="s">
        <v>10008</v>
      </c>
      <c r="D962" s="8" t="s">
        <v>3899</v>
      </c>
      <c r="E962" s="9">
        <v>79002607797</v>
      </c>
      <c r="F962" s="8"/>
      <c r="G962" s="9"/>
      <c r="H962" s="8" t="s">
        <v>8164</v>
      </c>
      <c r="I962" s="8" t="s">
        <v>8165</v>
      </c>
      <c r="J962" s="8"/>
      <c r="K962" s="8"/>
      <c r="L962" s="8"/>
      <c r="M962" s="8"/>
      <c r="N962" s="8"/>
      <c r="O962" s="8"/>
      <c r="P962" s="8"/>
      <c r="Q962" s="8"/>
      <c r="R962" s="8"/>
      <c r="S962" s="8"/>
    </row>
    <row r="963" spans="1:19" ht="15.75" customHeight="1">
      <c r="A963" s="8">
        <v>238081543</v>
      </c>
      <c r="B963" s="8" t="s">
        <v>10009</v>
      </c>
      <c r="C963" s="8" t="s">
        <v>10010</v>
      </c>
      <c r="D963" s="8" t="s">
        <v>3902</v>
      </c>
      <c r="E963" s="9" t="s">
        <v>3903</v>
      </c>
      <c r="F963" s="8"/>
      <c r="G963" s="9"/>
      <c r="H963" s="8" t="s">
        <v>8522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</row>
    <row r="964" spans="1:19" ht="15.75" customHeight="1">
      <c r="A964" s="8">
        <v>238108370</v>
      </c>
      <c r="B964" s="8" t="s">
        <v>10011</v>
      </c>
      <c r="C964" s="8" t="s">
        <v>10012</v>
      </c>
      <c r="D964" s="8" t="s">
        <v>3906</v>
      </c>
      <c r="E964" s="9" t="s">
        <v>3907</v>
      </c>
      <c r="F964" s="8" t="s">
        <v>10013</v>
      </c>
      <c r="G964" s="9">
        <v>29</v>
      </c>
      <c r="H964" s="8" t="s">
        <v>8164</v>
      </c>
      <c r="I964" s="8" t="s">
        <v>8414</v>
      </c>
      <c r="J964" s="8" t="s">
        <v>10014</v>
      </c>
      <c r="K964" s="8"/>
      <c r="L964" s="8"/>
      <c r="M964" s="8"/>
      <c r="N964" s="8"/>
      <c r="O964" s="8"/>
      <c r="P964" s="8"/>
      <c r="Q964" s="8"/>
      <c r="R964" s="8"/>
      <c r="S964" s="8"/>
    </row>
    <row r="965" spans="1:19" ht="15.75" customHeight="1">
      <c r="A965" s="8">
        <v>238258104</v>
      </c>
      <c r="B965" s="8" t="s">
        <v>10015</v>
      </c>
      <c r="C965" s="8" t="s">
        <v>10016</v>
      </c>
      <c r="D965" s="8" t="s">
        <v>3910</v>
      </c>
      <c r="E965" s="9" t="s">
        <v>3911</v>
      </c>
      <c r="F965" s="8"/>
      <c r="G965" s="9"/>
      <c r="H965" s="8" t="s">
        <v>10017</v>
      </c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</row>
    <row r="966" spans="1:19" ht="15.75" customHeight="1">
      <c r="A966" s="8">
        <v>238274634</v>
      </c>
      <c r="B966" s="8" t="s">
        <v>10018</v>
      </c>
      <c r="C966" s="8" t="s">
        <v>8331</v>
      </c>
      <c r="D966" s="8" t="s">
        <v>3915</v>
      </c>
      <c r="E966" s="9" t="s">
        <v>3916</v>
      </c>
      <c r="F966" s="8"/>
      <c r="G966" s="9"/>
      <c r="H966" s="8" t="s">
        <v>8164</v>
      </c>
      <c r="I966" s="8"/>
      <c r="J966" s="8" t="s">
        <v>10019</v>
      </c>
      <c r="K966" s="8"/>
      <c r="L966" s="8"/>
      <c r="M966" s="8"/>
      <c r="N966" s="8"/>
      <c r="O966" s="8"/>
      <c r="P966" s="8"/>
      <c r="Q966" s="8" t="s">
        <v>8161</v>
      </c>
      <c r="R966" s="8"/>
      <c r="S966" s="8"/>
    </row>
    <row r="967" spans="1:19" ht="15.75" customHeight="1">
      <c r="A967" s="8">
        <v>238423448</v>
      </c>
      <c r="B967" s="8" t="s">
        <v>7399</v>
      </c>
      <c r="C967" s="8" t="s">
        <v>10020</v>
      </c>
      <c r="D967" s="8" t="s">
        <v>4055</v>
      </c>
      <c r="E967" s="9" t="s">
        <v>3939</v>
      </c>
      <c r="F967" s="8"/>
      <c r="G967" s="9"/>
      <c r="H967" s="8" t="s">
        <v>8158</v>
      </c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</row>
    <row r="968" spans="1:19" ht="15.75" customHeight="1">
      <c r="A968" s="8">
        <v>238464768</v>
      </c>
      <c r="B968" s="8" t="s">
        <v>8365</v>
      </c>
      <c r="C968" s="8" t="s">
        <v>10021</v>
      </c>
      <c r="D968" s="8" t="s">
        <v>3919</v>
      </c>
      <c r="E968" s="9" t="s">
        <v>3920</v>
      </c>
      <c r="F968" s="8"/>
      <c r="G968" s="9"/>
      <c r="H968" s="8" t="s">
        <v>8222</v>
      </c>
      <c r="I968" s="8" t="s">
        <v>10022</v>
      </c>
      <c r="J968" s="8"/>
      <c r="K968" s="8"/>
      <c r="L968" s="8"/>
      <c r="M968" s="8"/>
      <c r="N968" s="8"/>
      <c r="O968" s="8"/>
      <c r="P968" s="8"/>
      <c r="Q968" s="8"/>
      <c r="R968" s="8"/>
      <c r="S968" s="8"/>
    </row>
    <row r="969" spans="1:19" ht="15.75" customHeight="1">
      <c r="A969" s="8">
        <v>238486848</v>
      </c>
      <c r="B969" s="8" t="s">
        <v>8365</v>
      </c>
      <c r="C969" s="8" t="s">
        <v>10023</v>
      </c>
      <c r="D969" s="8" t="s">
        <v>3923</v>
      </c>
      <c r="E969" s="9" t="s">
        <v>3924</v>
      </c>
      <c r="F969" s="8"/>
      <c r="G969" s="9"/>
      <c r="H969" s="8" t="s">
        <v>8222</v>
      </c>
      <c r="I969" s="8" t="s">
        <v>8412</v>
      </c>
      <c r="J969" s="8"/>
      <c r="K969" s="8"/>
      <c r="L969" s="8"/>
      <c r="M969" s="8"/>
      <c r="N969" s="8"/>
      <c r="O969" s="8"/>
      <c r="P969" s="8"/>
      <c r="Q969" s="8"/>
      <c r="R969" s="8"/>
      <c r="S969" s="8"/>
    </row>
    <row r="970" spans="1:19" ht="15.75" customHeight="1">
      <c r="A970" s="8">
        <v>238486982</v>
      </c>
      <c r="B970" s="8" t="s">
        <v>9450</v>
      </c>
      <c r="C970" s="8" t="s">
        <v>10024</v>
      </c>
      <c r="D970" s="8" t="s">
        <v>3927</v>
      </c>
      <c r="E970" s="9" t="s">
        <v>3928</v>
      </c>
      <c r="F970" s="8"/>
      <c r="G970" s="9"/>
      <c r="H970" s="8" t="s">
        <v>8222</v>
      </c>
      <c r="I970" s="8" t="s">
        <v>8412</v>
      </c>
      <c r="J970" s="8"/>
      <c r="K970" s="8"/>
      <c r="L970" s="8"/>
      <c r="M970" s="8"/>
      <c r="N970" s="8"/>
      <c r="O970" s="8"/>
      <c r="P970" s="8"/>
      <c r="Q970" s="8"/>
      <c r="R970" s="8"/>
      <c r="S970" s="8"/>
    </row>
    <row r="971" spans="1:19" ht="15.75" customHeight="1">
      <c r="A971" s="8">
        <v>238521123</v>
      </c>
      <c r="B971" s="8" t="s">
        <v>10025</v>
      </c>
      <c r="C971" s="8" t="s">
        <v>10026</v>
      </c>
      <c r="D971" s="8" t="s">
        <v>3932</v>
      </c>
      <c r="E971" s="9" t="s">
        <v>3933</v>
      </c>
      <c r="F971" s="8"/>
      <c r="G971" s="9"/>
      <c r="H971" s="8" t="s">
        <v>10017</v>
      </c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</row>
    <row r="972" spans="1:19" ht="15.75" customHeight="1">
      <c r="A972" s="8">
        <v>238546870</v>
      </c>
      <c r="B972" s="8" t="s">
        <v>7399</v>
      </c>
      <c r="C972" s="8" t="s">
        <v>10020</v>
      </c>
      <c r="D972" s="8" t="s">
        <v>3938</v>
      </c>
      <c r="E972" s="9" t="s">
        <v>3939</v>
      </c>
      <c r="F972" s="8"/>
      <c r="G972" s="9"/>
      <c r="H972" s="8" t="s">
        <v>8164</v>
      </c>
      <c r="I972" s="8" t="s">
        <v>8165</v>
      </c>
      <c r="J972" s="8"/>
      <c r="K972" s="8"/>
      <c r="L972" s="8"/>
      <c r="M972" s="8"/>
      <c r="N972" s="8"/>
      <c r="O972" s="8"/>
      <c r="P972" s="8"/>
      <c r="Q972" s="8"/>
      <c r="R972" s="8"/>
      <c r="S972" s="8"/>
    </row>
    <row r="973" spans="1:19" ht="15.75" customHeight="1">
      <c r="A973" s="8">
        <v>238559210</v>
      </c>
      <c r="B973" s="8" t="s">
        <v>8944</v>
      </c>
      <c r="C973" s="8" t="s">
        <v>10027</v>
      </c>
      <c r="D973" s="8" t="s">
        <v>3942</v>
      </c>
      <c r="E973" s="9" t="s">
        <v>3943</v>
      </c>
      <c r="F973" s="8"/>
      <c r="G973" s="9"/>
      <c r="H973" s="8" t="s">
        <v>10028</v>
      </c>
      <c r="I973" s="8" t="s">
        <v>8412</v>
      </c>
      <c r="J973" s="8"/>
      <c r="K973" s="8"/>
      <c r="L973" s="8"/>
      <c r="M973" s="8"/>
      <c r="N973" s="8"/>
      <c r="O973" s="8"/>
      <c r="P973" s="8"/>
      <c r="Q973" s="8"/>
      <c r="R973" s="8"/>
      <c r="S973" s="8"/>
    </row>
    <row r="974" spans="1:19" ht="15.75" customHeight="1">
      <c r="A974" s="8">
        <v>238589781</v>
      </c>
      <c r="B974" s="8" t="s">
        <v>10029</v>
      </c>
      <c r="C974" s="8" t="s">
        <v>10030</v>
      </c>
      <c r="D974" s="8" t="s">
        <v>3946</v>
      </c>
      <c r="E974" s="9" t="s">
        <v>3947</v>
      </c>
      <c r="F974" s="8"/>
      <c r="G974" s="9"/>
      <c r="H974" s="8" t="s">
        <v>8164</v>
      </c>
      <c r="I974" s="8" t="s">
        <v>8165</v>
      </c>
      <c r="J974" s="8"/>
      <c r="K974" s="8"/>
      <c r="L974" s="8"/>
      <c r="M974" s="8"/>
      <c r="N974" s="8"/>
      <c r="O974" s="8"/>
      <c r="P974" s="8"/>
      <c r="Q974" s="8"/>
      <c r="R974" s="8"/>
      <c r="S974" s="8"/>
    </row>
    <row r="975" spans="1:19" ht="15.75" customHeight="1">
      <c r="A975" s="8">
        <v>238624348</v>
      </c>
      <c r="B975" s="8" t="s">
        <v>8866</v>
      </c>
      <c r="C975" s="8" t="s">
        <v>8867</v>
      </c>
      <c r="D975" s="8" t="s">
        <v>10031</v>
      </c>
      <c r="E975" s="9" t="s">
        <v>4514</v>
      </c>
      <c r="F975" s="8"/>
      <c r="G975" s="9"/>
      <c r="H975" s="8" t="s">
        <v>8164</v>
      </c>
      <c r="I975" s="8" t="s">
        <v>10032</v>
      </c>
      <c r="J975" s="8"/>
      <c r="K975" s="8"/>
      <c r="L975" s="8"/>
      <c r="M975" s="8"/>
      <c r="N975" s="8"/>
      <c r="O975" s="8"/>
      <c r="P975" s="8"/>
      <c r="Q975" s="8"/>
      <c r="R975" s="8"/>
      <c r="S975" s="8"/>
    </row>
    <row r="976" spans="1:19" ht="15.75" customHeight="1">
      <c r="A976" s="8">
        <v>238705495</v>
      </c>
      <c r="B976" s="8" t="s">
        <v>7768</v>
      </c>
      <c r="C976" s="8" t="s">
        <v>10033</v>
      </c>
      <c r="D976" s="8" t="s">
        <v>3951</v>
      </c>
      <c r="E976" s="9" t="s">
        <v>3952</v>
      </c>
      <c r="F976" s="8" t="s">
        <v>10034</v>
      </c>
      <c r="G976" s="9">
        <v>45</v>
      </c>
      <c r="H976" s="8" t="s">
        <v>8164</v>
      </c>
      <c r="I976" s="8" t="s">
        <v>8277</v>
      </c>
      <c r="J976" s="8"/>
      <c r="K976" s="8"/>
      <c r="L976" s="8"/>
      <c r="M976" s="8"/>
      <c r="N976" s="8"/>
      <c r="O976" s="8"/>
      <c r="P976" s="8"/>
      <c r="Q976" s="8"/>
      <c r="R976" s="8"/>
      <c r="S976" s="8"/>
    </row>
    <row r="977" spans="1:19" ht="15.75" customHeight="1">
      <c r="A977" s="8">
        <v>238757253</v>
      </c>
      <c r="B977" s="8" t="s">
        <v>8321</v>
      </c>
      <c r="C977" s="8" t="s">
        <v>10035</v>
      </c>
      <c r="D977" s="8" t="s">
        <v>3955</v>
      </c>
      <c r="E977" s="9" t="s">
        <v>3956</v>
      </c>
      <c r="F977" s="8"/>
      <c r="G977" s="9"/>
      <c r="H977" s="8" t="s">
        <v>8164</v>
      </c>
      <c r="I977" s="8" t="s">
        <v>9274</v>
      </c>
      <c r="J977" s="8" t="s">
        <v>8259</v>
      </c>
      <c r="K977" s="8"/>
      <c r="L977" s="8" t="s">
        <v>8167</v>
      </c>
      <c r="M977" s="8"/>
      <c r="N977" s="8" t="s">
        <v>8169</v>
      </c>
      <c r="O977" s="8"/>
      <c r="P977" s="8" t="s">
        <v>8171</v>
      </c>
      <c r="Q977" s="8" t="s">
        <v>8161</v>
      </c>
      <c r="R977" s="8"/>
      <c r="S977" s="8"/>
    </row>
    <row r="978" spans="1:19" ht="15.75" customHeight="1">
      <c r="A978" s="8">
        <v>238759348</v>
      </c>
      <c r="B978" s="8" t="s">
        <v>10036</v>
      </c>
      <c r="C978" s="8" t="s">
        <v>10037</v>
      </c>
      <c r="D978" s="8" t="s">
        <v>3959</v>
      </c>
      <c r="E978" s="9" t="s">
        <v>3960</v>
      </c>
      <c r="F978" s="8" t="s">
        <v>10038</v>
      </c>
      <c r="G978" s="9">
        <v>48</v>
      </c>
      <c r="H978" s="8" t="s">
        <v>8164</v>
      </c>
      <c r="I978" s="8" t="s">
        <v>8165</v>
      </c>
      <c r="J978" s="8"/>
      <c r="K978" s="8"/>
      <c r="L978" s="8"/>
      <c r="M978" s="8"/>
      <c r="N978" s="8"/>
      <c r="O978" s="8"/>
      <c r="P978" s="8"/>
      <c r="Q978" s="8"/>
      <c r="R978" s="8"/>
      <c r="S978" s="8"/>
    </row>
    <row r="979" spans="1:19" ht="15.75" customHeight="1">
      <c r="A979" s="8">
        <v>238808205</v>
      </c>
      <c r="B979" s="8" t="s">
        <v>8186</v>
      </c>
      <c r="C979" s="8" t="s">
        <v>10039</v>
      </c>
      <c r="D979" s="8" t="s">
        <v>3963</v>
      </c>
      <c r="E979" s="9">
        <v>79638441814</v>
      </c>
      <c r="F979" s="8" t="s">
        <v>10040</v>
      </c>
      <c r="G979" s="9">
        <v>40</v>
      </c>
      <c r="H979" s="8" t="s">
        <v>8164</v>
      </c>
      <c r="I979" s="8" t="s">
        <v>10041</v>
      </c>
      <c r="J979" s="8"/>
      <c r="K979" s="8"/>
      <c r="L979" s="8"/>
      <c r="M979" s="8"/>
      <c r="N979" s="8"/>
      <c r="O979" s="8"/>
      <c r="P979" s="8"/>
      <c r="Q979" s="8"/>
      <c r="R979" s="8"/>
      <c r="S979" s="8"/>
    </row>
    <row r="980" spans="1:19" ht="15.75" customHeight="1">
      <c r="A980" s="8">
        <v>238818010</v>
      </c>
      <c r="B980" s="8" t="s">
        <v>8866</v>
      </c>
      <c r="C980" s="8" t="s">
        <v>10042</v>
      </c>
      <c r="D980" s="8" t="s">
        <v>3966</v>
      </c>
      <c r="E980" s="9" t="s">
        <v>3967</v>
      </c>
      <c r="F980" s="8"/>
      <c r="G980" s="9"/>
      <c r="H980" s="8" t="s">
        <v>8183</v>
      </c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</row>
    <row r="981" spans="1:19" ht="15.75" customHeight="1">
      <c r="A981" s="8">
        <v>238826658</v>
      </c>
      <c r="B981" s="8" t="s">
        <v>3971</v>
      </c>
      <c r="C981" s="8"/>
      <c r="D981" s="8" t="s">
        <v>3972</v>
      </c>
      <c r="E981" s="9"/>
      <c r="F981" s="8"/>
      <c r="G981" s="9"/>
      <c r="H981" s="8" t="s">
        <v>8158</v>
      </c>
      <c r="I981" s="8" t="s">
        <v>9222</v>
      </c>
      <c r="J981" s="8"/>
      <c r="K981" s="8"/>
      <c r="L981" s="8"/>
      <c r="M981" s="8"/>
      <c r="N981" s="8"/>
      <c r="O981" s="8"/>
      <c r="P981" s="8"/>
      <c r="Q981" s="8"/>
      <c r="R981" s="8"/>
      <c r="S981" s="8"/>
    </row>
    <row r="982" spans="1:19" ht="15.75" customHeight="1">
      <c r="A982" s="8">
        <v>238828633</v>
      </c>
      <c r="B982" s="8" t="s">
        <v>8966</v>
      </c>
      <c r="C982" s="8" t="s">
        <v>10043</v>
      </c>
      <c r="D982" s="8" t="s">
        <v>3975</v>
      </c>
      <c r="E982" s="9" t="s">
        <v>3976</v>
      </c>
      <c r="F982" s="8"/>
      <c r="G982" s="9"/>
      <c r="H982" s="8" t="s">
        <v>8164</v>
      </c>
      <c r="I982" s="8" t="s">
        <v>10044</v>
      </c>
      <c r="J982" s="8"/>
      <c r="K982" s="8"/>
      <c r="L982" s="8"/>
      <c r="M982" s="8"/>
      <c r="N982" s="8"/>
      <c r="O982" s="8"/>
      <c r="P982" s="8"/>
      <c r="Q982" s="8"/>
      <c r="R982" s="8"/>
      <c r="S982" s="8"/>
    </row>
    <row r="983" spans="1:19" ht="15.75" customHeight="1">
      <c r="A983" s="8">
        <v>238982112</v>
      </c>
      <c r="B983" s="8" t="s">
        <v>10045</v>
      </c>
      <c r="C983" s="8" t="s">
        <v>7399</v>
      </c>
      <c r="D983" s="8" t="s">
        <v>10046</v>
      </c>
      <c r="E983" s="9">
        <v>80297194397</v>
      </c>
      <c r="F983" s="8"/>
      <c r="G983" s="9"/>
      <c r="H983" s="8" t="s">
        <v>8222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</row>
    <row r="984" spans="1:19" ht="15.75" customHeight="1">
      <c r="A984" s="8">
        <v>238998920</v>
      </c>
      <c r="B984" s="8" t="s">
        <v>10047</v>
      </c>
      <c r="C984" s="8" t="s">
        <v>8341</v>
      </c>
      <c r="D984" s="8" t="s">
        <v>3980</v>
      </c>
      <c r="E984" s="9" t="s">
        <v>3981</v>
      </c>
      <c r="F984" s="8"/>
      <c r="G984" s="9"/>
      <c r="H984" s="8" t="s">
        <v>8222</v>
      </c>
      <c r="I984" s="8" t="s">
        <v>8412</v>
      </c>
      <c r="J984" s="8"/>
      <c r="K984" s="8"/>
      <c r="L984" s="8"/>
      <c r="M984" s="8"/>
      <c r="N984" s="8"/>
      <c r="O984" s="8"/>
      <c r="P984" s="8"/>
      <c r="Q984" s="8"/>
      <c r="R984" s="8"/>
      <c r="S984" s="8"/>
    </row>
    <row r="985" spans="1:19" ht="15.75" customHeight="1">
      <c r="A985" s="8">
        <v>239138203</v>
      </c>
      <c r="B985" s="8" t="s">
        <v>8643</v>
      </c>
      <c r="C985" s="8" t="s">
        <v>9737</v>
      </c>
      <c r="D985" s="8" t="s">
        <v>3984</v>
      </c>
      <c r="E985" s="9">
        <v>79520813361</v>
      </c>
      <c r="F985" s="8"/>
      <c r="G985" s="9"/>
      <c r="H985" s="8" t="s">
        <v>8164</v>
      </c>
      <c r="I985" s="8"/>
      <c r="J985" s="8"/>
      <c r="K985" s="8"/>
      <c r="L985" s="8"/>
      <c r="M985" s="8"/>
      <c r="N985" s="8"/>
      <c r="O985" s="8"/>
      <c r="P985" s="8"/>
      <c r="Q985" s="8" t="s">
        <v>8161</v>
      </c>
      <c r="R985" s="8"/>
      <c r="S985" s="8"/>
    </row>
    <row r="986" spans="1:19" ht="15.75" customHeight="1">
      <c r="A986" s="8">
        <v>239148559</v>
      </c>
      <c r="B986" s="8" t="s">
        <v>10048</v>
      </c>
      <c r="C986" s="8" t="s">
        <v>9431</v>
      </c>
      <c r="D986" s="8" t="s">
        <v>3987</v>
      </c>
      <c r="E986" s="9">
        <v>79148793315</v>
      </c>
      <c r="F986" s="8" t="s">
        <v>10049</v>
      </c>
      <c r="G986" s="9">
        <v>46</v>
      </c>
      <c r="H986" s="8" t="s">
        <v>8164</v>
      </c>
      <c r="I986" s="8" t="s">
        <v>9743</v>
      </c>
      <c r="J986" s="8"/>
      <c r="K986" s="8"/>
      <c r="L986" s="8"/>
      <c r="M986" s="8"/>
      <c r="N986" s="8"/>
      <c r="O986" s="8"/>
      <c r="P986" s="8"/>
      <c r="Q986" s="8"/>
      <c r="R986" s="8"/>
      <c r="S986" s="8"/>
    </row>
    <row r="987" spans="1:19" ht="15.75" customHeight="1">
      <c r="A987" s="8">
        <v>239152722</v>
      </c>
      <c r="B987" s="8" t="s">
        <v>8479</v>
      </c>
      <c r="C987" s="8" t="s">
        <v>10050</v>
      </c>
      <c r="D987" s="8" t="s">
        <v>3990</v>
      </c>
      <c r="E987" s="9">
        <v>79089028744</v>
      </c>
      <c r="F987" s="8"/>
      <c r="G987" s="9"/>
      <c r="H987" s="8" t="s">
        <v>8164</v>
      </c>
      <c r="I987" s="8" t="s">
        <v>8423</v>
      </c>
      <c r="J987" s="8"/>
      <c r="K987" s="8"/>
      <c r="L987" s="8"/>
      <c r="M987" s="8"/>
      <c r="N987" s="8"/>
      <c r="O987" s="8"/>
      <c r="P987" s="8"/>
      <c r="Q987" s="8"/>
      <c r="R987" s="8"/>
      <c r="S987" s="8"/>
    </row>
    <row r="988" spans="1:19" ht="15.75" customHeight="1">
      <c r="A988" s="8">
        <v>239370324</v>
      </c>
      <c r="B988" s="8" t="s">
        <v>10051</v>
      </c>
      <c r="C988" s="8" t="s">
        <v>10052</v>
      </c>
      <c r="D988" s="8" t="s">
        <v>3994</v>
      </c>
      <c r="E988" s="9" t="s">
        <v>3995</v>
      </c>
      <c r="F988" s="8"/>
      <c r="G988" s="9"/>
      <c r="H988" s="8" t="s">
        <v>8179</v>
      </c>
      <c r="I988" s="8" t="s">
        <v>10053</v>
      </c>
      <c r="J988" s="8"/>
      <c r="K988" s="8"/>
      <c r="L988" s="8"/>
      <c r="M988" s="8"/>
      <c r="N988" s="8"/>
      <c r="O988" s="8"/>
      <c r="P988" s="8"/>
      <c r="Q988" s="8"/>
      <c r="R988" s="8"/>
      <c r="S988" s="8"/>
    </row>
    <row r="989" spans="1:19" ht="15.75" customHeight="1">
      <c r="A989" s="8">
        <v>239444016</v>
      </c>
      <c r="B989" s="8" t="s">
        <v>10054</v>
      </c>
      <c r="C989" s="8" t="s">
        <v>10055</v>
      </c>
      <c r="D989" s="8" t="s">
        <v>4000</v>
      </c>
      <c r="E989" s="9">
        <v>79253904445</v>
      </c>
      <c r="F989" s="8"/>
      <c r="G989" s="9"/>
      <c r="H989" s="8" t="s">
        <v>8164</v>
      </c>
      <c r="I989" s="8" t="s">
        <v>8165</v>
      </c>
      <c r="J989" s="8"/>
      <c r="K989" s="8"/>
      <c r="L989" s="8"/>
      <c r="M989" s="8"/>
      <c r="N989" s="8"/>
      <c r="O989" s="8"/>
      <c r="P989" s="8"/>
      <c r="Q989" s="8"/>
      <c r="R989" s="8"/>
      <c r="S989" s="8"/>
    </row>
    <row r="990" spans="1:19" ht="15.75" customHeight="1">
      <c r="A990" s="8">
        <v>239470369</v>
      </c>
      <c r="B990" s="8" t="s">
        <v>10056</v>
      </c>
      <c r="C990" s="8" t="s">
        <v>10057</v>
      </c>
      <c r="D990" s="8" t="s">
        <v>4003</v>
      </c>
      <c r="E990" s="9" t="s">
        <v>4004</v>
      </c>
      <c r="F990" s="8"/>
      <c r="G990" s="9"/>
      <c r="H990" s="8" t="s">
        <v>9265</v>
      </c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</row>
    <row r="991" spans="1:19" ht="15.75" customHeight="1">
      <c r="A991" s="8">
        <v>239592654</v>
      </c>
      <c r="B991" s="8" t="s">
        <v>8390</v>
      </c>
      <c r="C991" s="8" t="s">
        <v>10058</v>
      </c>
      <c r="D991" s="8" t="s">
        <v>4008</v>
      </c>
      <c r="E991" s="9" t="s">
        <v>4009</v>
      </c>
      <c r="F991" s="8"/>
      <c r="G991" s="9"/>
      <c r="H991" s="8" t="s">
        <v>8164</v>
      </c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</row>
    <row r="992" spans="1:19" ht="15.75" customHeight="1">
      <c r="A992" s="8">
        <v>239641181</v>
      </c>
      <c r="B992" s="8" t="s">
        <v>9437</v>
      </c>
      <c r="C992" s="8" t="s">
        <v>10059</v>
      </c>
      <c r="D992" s="8" t="s">
        <v>4012</v>
      </c>
      <c r="E992" s="9" t="s">
        <v>4013</v>
      </c>
      <c r="F992" s="8"/>
      <c r="G992" s="9"/>
      <c r="H992" s="8" t="s">
        <v>8164</v>
      </c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</row>
    <row r="993" spans="1:19" ht="15.75" customHeight="1">
      <c r="A993" s="8">
        <v>239705101</v>
      </c>
      <c r="B993" s="8" t="s">
        <v>9431</v>
      </c>
      <c r="C993" s="8" t="s">
        <v>10060</v>
      </c>
      <c r="D993" s="8" t="s">
        <v>4017</v>
      </c>
      <c r="E993" s="9" t="s">
        <v>4018</v>
      </c>
      <c r="F993" s="8"/>
      <c r="G993" s="9"/>
      <c r="H993" s="8" t="s">
        <v>8222</v>
      </c>
      <c r="I993" s="8" t="s">
        <v>8412</v>
      </c>
      <c r="J993" s="8"/>
      <c r="K993" s="8"/>
      <c r="L993" s="8"/>
      <c r="M993" s="8"/>
      <c r="N993" s="8"/>
      <c r="O993" s="8"/>
      <c r="P993" s="8"/>
      <c r="Q993" s="8"/>
      <c r="R993" s="8"/>
      <c r="S993" s="8"/>
    </row>
    <row r="994" spans="1:19" ht="15.75" customHeight="1">
      <c r="A994" s="8">
        <v>239804582</v>
      </c>
      <c r="B994" s="8" t="s">
        <v>8373</v>
      </c>
      <c r="C994" s="8" t="s">
        <v>10061</v>
      </c>
      <c r="D994" s="8" t="s">
        <v>4022</v>
      </c>
      <c r="E994" s="9" t="s">
        <v>4023</v>
      </c>
      <c r="F994" s="8"/>
      <c r="G994" s="9"/>
      <c r="H994" s="8" t="s">
        <v>9660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</row>
    <row r="995" spans="1:19" ht="15.75" customHeight="1">
      <c r="A995" s="8">
        <v>240625064</v>
      </c>
      <c r="B995" s="8" t="s">
        <v>7399</v>
      </c>
      <c r="C995" s="8" t="s">
        <v>10062</v>
      </c>
      <c r="D995" s="8" t="s">
        <v>4032</v>
      </c>
      <c r="E995" s="9" t="s">
        <v>4033</v>
      </c>
      <c r="F995" s="8"/>
      <c r="G995" s="9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</row>
    <row r="996" spans="1:19" ht="15.75" customHeight="1">
      <c r="A996" s="8">
        <v>240695735</v>
      </c>
      <c r="B996" s="8" t="s">
        <v>8643</v>
      </c>
      <c r="C996" s="8" t="s">
        <v>10063</v>
      </c>
      <c r="D996" s="8" t="s">
        <v>4036</v>
      </c>
      <c r="E996" s="9">
        <v>79625020699</v>
      </c>
      <c r="F996" s="8"/>
      <c r="G996" s="9"/>
      <c r="H996" s="8" t="s">
        <v>8164</v>
      </c>
      <c r="I996" s="8" t="s">
        <v>8205</v>
      </c>
      <c r="J996" s="8"/>
      <c r="K996" s="8"/>
      <c r="L996" s="8"/>
      <c r="M996" s="8"/>
      <c r="N996" s="8"/>
      <c r="O996" s="8"/>
      <c r="P996" s="8"/>
      <c r="Q996" s="8"/>
      <c r="R996" s="8"/>
      <c r="S996" s="8"/>
    </row>
    <row r="997" spans="1:19" ht="15.75" customHeight="1">
      <c r="A997" s="8">
        <v>240892751</v>
      </c>
      <c r="B997" s="8" t="s">
        <v>8234</v>
      </c>
      <c r="C997" s="8" t="s">
        <v>10064</v>
      </c>
      <c r="D997" s="8" t="s">
        <v>10065</v>
      </c>
      <c r="E997" s="9" t="s">
        <v>10066</v>
      </c>
      <c r="F997" s="8"/>
      <c r="G997" s="9"/>
      <c r="H997" s="8"/>
      <c r="I997" s="8"/>
      <c r="J997" s="8" t="s">
        <v>10067</v>
      </c>
      <c r="K997" s="8"/>
      <c r="L997" s="8"/>
      <c r="M997" s="8"/>
      <c r="N997" s="8"/>
      <c r="O997" s="8"/>
      <c r="P997" s="8"/>
      <c r="Q997" s="8"/>
      <c r="R997" s="8"/>
      <c r="S997" s="8"/>
    </row>
    <row r="998" spans="1:19" ht="15.75" customHeight="1">
      <c r="A998" s="8">
        <v>240892919</v>
      </c>
      <c r="B998" s="8" t="s">
        <v>8288</v>
      </c>
      <c r="C998" s="8" t="s">
        <v>9716</v>
      </c>
      <c r="D998" s="8" t="s">
        <v>4039</v>
      </c>
      <c r="E998" s="9" t="s">
        <v>4040</v>
      </c>
      <c r="F998" s="8"/>
      <c r="G998" s="9"/>
      <c r="H998" s="8" t="s">
        <v>8164</v>
      </c>
      <c r="I998" s="8" t="s">
        <v>10068</v>
      </c>
      <c r="J998" s="8" t="s">
        <v>10069</v>
      </c>
      <c r="K998" s="8"/>
      <c r="L998" s="8"/>
      <c r="M998" s="8"/>
      <c r="N998" s="8"/>
      <c r="O998" s="8"/>
      <c r="P998" s="8"/>
      <c r="Q998" s="8"/>
      <c r="R998" s="8"/>
      <c r="S998" s="8"/>
    </row>
    <row r="999" spans="1:19" ht="15.75" customHeight="1">
      <c r="A999" s="8">
        <v>241442246</v>
      </c>
      <c r="B999" s="8" t="s">
        <v>8684</v>
      </c>
      <c r="C999" s="8" t="s">
        <v>8684</v>
      </c>
      <c r="D999" s="8" t="s">
        <v>10070</v>
      </c>
      <c r="E999" s="9" t="s">
        <v>10071</v>
      </c>
      <c r="F999" s="8"/>
      <c r="G999" s="9"/>
      <c r="H999" s="8" t="s">
        <v>8222</v>
      </c>
      <c r="I999" s="8" t="s">
        <v>8412</v>
      </c>
      <c r="J999" s="8"/>
      <c r="K999" s="8"/>
      <c r="L999" s="8"/>
      <c r="M999" s="8"/>
      <c r="N999" s="8"/>
      <c r="O999" s="8"/>
      <c r="P999" s="8"/>
      <c r="Q999" s="8"/>
      <c r="R999" s="8"/>
      <c r="S999" s="8"/>
    </row>
    <row r="1000" spans="1:19" ht="15.75" customHeight="1">
      <c r="A1000" s="8">
        <v>241486004</v>
      </c>
      <c r="B1000" s="8" t="s">
        <v>8341</v>
      </c>
      <c r="C1000" s="8" t="s">
        <v>9336</v>
      </c>
      <c r="D1000" s="8" t="s">
        <v>4050</v>
      </c>
      <c r="E1000" s="9" t="s">
        <v>2004</v>
      </c>
      <c r="F1000" s="8"/>
      <c r="G1000" s="9"/>
      <c r="H1000" s="8" t="s">
        <v>8164</v>
      </c>
      <c r="I1000" s="8" t="s">
        <v>8205</v>
      </c>
      <c r="J1000" s="8"/>
      <c r="K1000" s="8"/>
      <c r="L1000" s="8"/>
      <c r="M1000" s="8"/>
      <c r="N1000" s="8"/>
      <c r="O1000" s="8"/>
      <c r="P1000" s="8"/>
      <c r="Q1000" s="8"/>
      <c r="R1000" s="8"/>
      <c r="S1000" s="8"/>
    </row>
    <row r="1001" spans="1:19" ht="15.75" customHeight="1">
      <c r="A1001" s="8">
        <v>241551879</v>
      </c>
      <c r="B1001" s="8" t="s">
        <v>8206</v>
      </c>
      <c r="C1001" s="8" t="s">
        <v>10072</v>
      </c>
      <c r="D1001" s="8" t="s">
        <v>10073</v>
      </c>
      <c r="E1001" s="9">
        <v>79967918649</v>
      </c>
      <c r="F1001" s="8"/>
      <c r="G1001" s="9"/>
      <c r="H1001" s="8"/>
      <c r="I1001" s="8"/>
      <c r="J1001" s="8" t="s">
        <v>10074</v>
      </c>
      <c r="K1001" s="8"/>
      <c r="L1001" s="8"/>
      <c r="M1001" s="8"/>
      <c r="N1001" s="8"/>
      <c r="O1001" s="8"/>
      <c r="P1001" s="8"/>
      <c r="Q1001" s="8"/>
      <c r="R1001" s="8"/>
      <c r="S1001" s="8"/>
    </row>
    <row r="1002" spans="1:19" ht="15.75" customHeight="1">
      <c r="A1002" s="8">
        <v>241593029</v>
      </c>
      <c r="B1002" s="8" t="s">
        <v>8982</v>
      </c>
      <c r="C1002" s="8" t="s">
        <v>10075</v>
      </c>
      <c r="D1002" s="8" t="s">
        <v>4095</v>
      </c>
      <c r="E1002" s="9" t="s">
        <v>4096</v>
      </c>
      <c r="F1002" s="8"/>
      <c r="G1002" s="9"/>
      <c r="H1002" s="8" t="s">
        <v>8222</v>
      </c>
      <c r="I1002" s="8" t="s">
        <v>8412</v>
      </c>
      <c r="J1002" s="8"/>
      <c r="K1002" s="8"/>
      <c r="L1002" s="8"/>
      <c r="M1002" s="8"/>
      <c r="N1002" s="8"/>
      <c r="O1002" s="8"/>
      <c r="P1002" s="8"/>
      <c r="Q1002" s="8"/>
      <c r="R1002" s="8"/>
      <c r="S1002" s="8"/>
    </row>
    <row r="1003" spans="1:19" ht="15.75" customHeight="1">
      <c r="A1003" s="8">
        <v>241593173</v>
      </c>
      <c r="B1003" s="8" t="s">
        <v>8982</v>
      </c>
      <c r="C1003" s="8" t="s">
        <v>10076</v>
      </c>
      <c r="D1003" s="8" t="s">
        <v>4099</v>
      </c>
      <c r="E1003" s="9" t="s">
        <v>4100</v>
      </c>
      <c r="F1003" s="8"/>
      <c r="G1003" s="9"/>
      <c r="H1003" s="8" t="s">
        <v>8222</v>
      </c>
      <c r="I1003" s="8" t="s">
        <v>8412</v>
      </c>
      <c r="J1003" s="8"/>
      <c r="K1003" s="8"/>
      <c r="L1003" s="8"/>
      <c r="M1003" s="8"/>
      <c r="N1003" s="8"/>
      <c r="O1003" s="8"/>
      <c r="P1003" s="8"/>
      <c r="Q1003" s="8"/>
      <c r="R1003" s="8"/>
      <c r="S1003" s="8"/>
    </row>
    <row r="1004" spans="1:19" ht="15.75" customHeight="1">
      <c r="A1004" s="8">
        <v>241637445</v>
      </c>
      <c r="B1004" s="8" t="s">
        <v>10077</v>
      </c>
      <c r="C1004" s="8" t="s">
        <v>10078</v>
      </c>
      <c r="D1004" s="8" t="s">
        <v>4103</v>
      </c>
      <c r="E1004" s="9">
        <v>79035000100</v>
      </c>
      <c r="F1004" s="8"/>
      <c r="G1004" s="9"/>
      <c r="H1004" s="8" t="s">
        <v>8164</v>
      </c>
      <c r="I1004" s="8" t="s">
        <v>8165</v>
      </c>
      <c r="J1004" s="8"/>
      <c r="K1004" s="8"/>
      <c r="L1004" s="8"/>
      <c r="M1004" s="8"/>
      <c r="N1004" s="8"/>
      <c r="O1004" s="8"/>
      <c r="P1004" s="8"/>
      <c r="Q1004" s="8"/>
      <c r="R1004" s="8"/>
      <c r="S1004" s="8"/>
    </row>
    <row r="1005" spans="1:19" ht="15.75" customHeight="1">
      <c r="A1005" s="8">
        <v>241773470</v>
      </c>
      <c r="B1005" s="8" t="s">
        <v>10079</v>
      </c>
      <c r="C1005" s="8" t="s">
        <v>10080</v>
      </c>
      <c r="D1005" s="8" t="s">
        <v>10081</v>
      </c>
      <c r="E1005" s="9" t="s">
        <v>10082</v>
      </c>
      <c r="F1005" s="8"/>
      <c r="G1005" s="9"/>
      <c r="H1005" s="8" t="s">
        <v>8164</v>
      </c>
      <c r="I1005" s="8" t="s">
        <v>8191</v>
      </c>
      <c r="J1005" s="8"/>
      <c r="K1005" s="8"/>
      <c r="L1005" s="8"/>
      <c r="M1005" s="8"/>
      <c r="N1005" s="8"/>
      <c r="O1005" s="8"/>
      <c r="P1005" s="8"/>
      <c r="Q1005" s="8"/>
      <c r="R1005" s="8"/>
      <c r="S1005" s="8"/>
    </row>
    <row r="1006" spans="1:19" ht="15.75" customHeight="1">
      <c r="A1006" s="8">
        <v>241776349</v>
      </c>
      <c r="B1006" s="8" t="s">
        <v>10083</v>
      </c>
      <c r="C1006" s="8" t="s">
        <v>10084</v>
      </c>
      <c r="D1006" s="8" t="s">
        <v>4106</v>
      </c>
      <c r="E1006" s="9">
        <v>345453455345</v>
      </c>
      <c r="F1006" s="8"/>
      <c r="G1006" s="9"/>
      <c r="H1006" s="8" t="s">
        <v>8164</v>
      </c>
      <c r="I1006" s="8" t="s">
        <v>8191</v>
      </c>
      <c r="J1006" s="8"/>
      <c r="K1006" s="8"/>
      <c r="L1006" s="8"/>
      <c r="M1006" s="8"/>
      <c r="N1006" s="8"/>
      <c r="O1006" s="8"/>
      <c r="P1006" s="8"/>
      <c r="Q1006" s="8"/>
      <c r="R1006" s="8"/>
      <c r="S1006" s="8"/>
    </row>
    <row r="1007" spans="1:19" ht="15.75" customHeight="1">
      <c r="A1007" s="8">
        <v>241777282</v>
      </c>
      <c r="B1007" s="8" t="s">
        <v>10085</v>
      </c>
      <c r="C1007" s="8" t="s">
        <v>10085</v>
      </c>
      <c r="D1007" s="8" t="s">
        <v>4109</v>
      </c>
      <c r="E1007" s="9">
        <v>34534534545</v>
      </c>
      <c r="F1007" s="8"/>
      <c r="G1007" s="9"/>
      <c r="H1007" s="8" t="s">
        <v>8164</v>
      </c>
      <c r="I1007" s="8" t="s">
        <v>8191</v>
      </c>
      <c r="J1007" s="8"/>
      <c r="K1007" s="8"/>
      <c r="L1007" s="8"/>
      <c r="M1007" s="8"/>
      <c r="N1007" s="8"/>
      <c r="O1007" s="8"/>
      <c r="P1007" s="8"/>
      <c r="Q1007" s="8"/>
      <c r="R1007" s="8"/>
      <c r="S1007" s="8"/>
    </row>
    <row r="1008" spans="1:19" ht="15.75" customHeight="1">
      <c r="A1008" s="8">
        <v>241777430</v>
      </c>
      <c r="B1008" s="8" t="s">
        <v>10086</v>
      </c>
      <c r="C1008" s="8" t="s">
        <v>10086</v>
      </c>
      <c r="D1008" s="8" t="s">
        <v>4112</v>
      </c>
      <c r="E1008" s="9">
        <v>234234234</v>
      </c>
      <c r="F1008" s="8"/>
      <c r="G1008" s="9"/>
      <c r="H1008" s="8" t="s">
        <v>8164</v>
      </c>
      <c r="I1008" s="8" t="s">
        <v>8191</v>
      </c>
      <c r="J1008" s="8"/>
      <c r="K1008" s="8"/>
      <c r="L1008" s="8"/>
      <c r="M1008" s="8"/>
      <c r="N1008" s="8"/>
      <c r="O1008" s="8"/>
      <c r="P1008" s="8"/>
      <c r="Q1008" s="8"/>
      <c r="R1008" s="8"/>
      <c r="S1008" s="8"/>
    </row>
    <row r="1009" spans="1:19" ht="15.75" customHeight="1">
      <c r="A1009" s="8">
        <v>241778587</v>
      </c>
      <c r="B1009" s="8" t="s">
        <v>10087</v>
      </c>
      <c r="C1009" s="8" t="s">
        <v>10088</v>
      </c>
      <c r="D1009" s="8" t="s">
        <v>10089</v>
      </c>
      <c r="E1009" s="9">
        <v>32423423</v>
      </c>
      <c r="F1009" s="8"/>
      <c r="G1009" s="9"/>
      <c r="H1009" s="8" t="s">
        <v>8164</v>
      </c>
      <c r="I1009" s="8" t="s">
        <v>8191</v>
      </c>
      <c r="J1009" s="8"/>
      <c r="K1009" s="8"/>
      <c r="L1009" s="8"/>
      <c r="M1009" s="8"/>
      <c r="N1009" s="8"/>
      <c r="O1009" s="8"/>
      <c r="P1009" s="8"/>
      <c r="Q1009" s="8"/>
      <c r="R1009" s="8"/>
      <c r="S1009" s="8"/>
    </row>
    <row r="1010" spans="1:19" ht="15.75" customHeight="1">
      <c r="A1010" s="8">
        <v>241903022</v>
      </c>
      <c r="B1010" s="8" t="s">
        <v>8581</v>
      </c>
      <c r="C1010" s="8" t="s">
        <v>10090</v>
      </c>
      <c r="D1010" s="8" t="s">
        <v>4115</v>
      </c>
      <c r="E1010" s="9">
        <v>79204844321</v>
      </c>
      <c r="F1010" s="8"/>
      <c r="G1010" s="9"/>
      <c r="H1010" s="8" t="s">
        <v>8164</v>
      </c>
      <c r="I1010" s="8" t="s">
        <v>10091</v>
      </c>
      <c r="J1010" s="8"/>
      <c r="K1010" s="8"/>
      <c r="L1010" s="8"/>
      <c r="M1010" s="8"/>
      <c r="N1010" s="8"/>
      <c r="O1010" s="8"/>
      <c r="P1010" s="8"/>
      <c r="Q1010" s="8"/>
      <c r="R1010" s="8"/>
      <c r="S1010" s="8"/>
    </row>
    <row r="1011" spans="1:19" ht="15.75" customHeight="1">
      <c r="A1011" s="8">
        <v>241989434</v>
      </c>
      <c r="B1011" s="8" t="s">
        <v>10092</v>
      </c>
      <c r="C1011" s="8" t="s">
        <v>10093</v>
      </c>
      <c r="D1011" s="8" t="s">
        <v>4118</v>
      </c>
      <c r="E1011" s="9">
        <v>79160284757</v>
      </c>
      <c r="F1011" s="8"/>
      <c r="G1011" s="9"/>
      <c r="H1011" s="8" t="s">
        <v>8164</v>
      </c>
      <c r="I1011" s="8" t="s">
        <v>8165</v>
      </c>
      <c r="J1011" s="8"/>
      <c r="K1011" s="8"/>
      <c r="L1011" s="8"/>
      <c r="M1011" s="8"/>
      <c r="N1011" s="8"/>
      <c r="O1011" s="8"/>
      <c r="P1011" s="8"/>
      <c r="Q1011" s="8"/>
      <c r="R1011" s="8"/>
      <c r="S1011" s="8"/>
    </row>
    <row r="1012" spans="1:19" ht="15.75" customHeight="1">
      <c r="A1012" s="8">
        <v>242063536</v>
      </c>
      <c r="B1012" s="8" t="s">
        <v>8252</v>
      </c>
      <c r="C1012" s="8" t="s">
        <v>10094</v>
      </c>
      <c r="D1012" s="8" t="s">
        <v>4121</v>
      </c>
      <c r="E1012" s="9">
        <v>79998524589</v>
      </c>
      <c r="F1012" s="8"/>
      <c r="G1012" s="9"/>
      <c r="H1012" s="8" t="s">
        <v>8164</v>
      </c>
      <c r="I1012" s="8" t="s">
        <v>8191</v>
      </c>
      <c r="J1012" s="8"/>
      <c r="K1012" s="8"/>
      <c r="L1012" s="8"/>
      <c r="M1012" s="8"/>
      <c r="N1012" s="8"/>
      <c r="O1012" s="8"/>
      <c r="P1012" s="8"/>
      <c r="Q1012" s="8"/>
      <c r="R1012" s="8"/>
      <c r="S1012" s="8"/>
    </row>
    <row r="1013" spans="1:19" ht="15.75" customHeight="1">
      <c r="A1013" s="8">
        <v>242139472</v>
      </c>
      <c r="B1013" s="8" t="s">
        <v>8581</v>
      </c>
      <c r="C1013" s="8" t="s">
        <v>10095</v>
      </c>
      <c r="D1013" s="8" t="s">
        <v>4124</v>
      </c>
      <c r="E1013" s="9">
        <v>79526785903</v>
      </c>
      <c r="F1013" s="8"/>
      <c r="G1013" s="9"/>
      <c r="H1013" s="8" t="s">
        <v>8164</v>
      </c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</row>
    <row r="1014" spans="1:19" ht="15.75" customHeight="1">
      <c r="A1014" s="8">
        <v>242173942</v>
      </c>
      <c r="B1014" s="8" t="s">
        <v>9157</v>
      </c>
      <c r="C1014" s="8" t="s">
        <v>10096</v>
      </c>
      <c r="D1014" s="8" t="s">
        <v>4127</v>
      </c>
      <c r="E1014" s="9">
        <v>79995603287</v>
      </c>
      <c r="F1014" s="8"/>
      <c r="G1014" s="9"/>
      <c r="H1014" s="8" t="s">
        <v>8164</v>
      </c>
      <c r="I1014" s="8" t="s">
        <v>8414</v>
      </c>
      <c r="J1014" s="8"/>
      <c r="K1014" s="8"/>
      <c r="L1014" s="8"/>
      <c r="M1014" s="8"/>
      <c r="N1014" s="8"/>
      <c r="O1014" s="8"/>
      <c r="P1014" s="8"/>
      <c r="Q1014" s="8"/>
      <c r="R1014" s="8"/>
      <c r="S1014" s="8"/>
    </row>
    <row r="1015" spans="1:19" ht="15.75" customHeight="1">
      <c r="A1015" s="8">
        <v>242247544</v>
      </c>
      <c r="B1015" s="8" t="s">
        <v>8862</v>
      </c>
      <c r="C1015" s="8" t="s">
        <v>10097</v>
      </c>
      <c r="D1015" s="8" t="s">
        <v>4130</v>
      </c>
      <c r="E1015" s="9" t="s">
        <v>4131</v>
      </c>
      <c r="F1015" s="8"/>
      <c r="G1015" s="9"/>
      <c r="H1015" s="8" t="s">
        <v>10098</v>
      </c>
      <c r="I1015" s="8" t="s">
        <v>10099</v>
      </c>
      <c r="J1015" s="8"/>
      <c r="K1015" s="8"/>
      <c r="L1015" s="8"/>
      <c r="M1015" s="8"/>
      <c r="N1015" s="8"/>
      <c r="O1015" s="8"/>
      <c r="P1015" s="8"/>
      <c r="Q1015" s="8"/>
      <c r="R1015" s="8"/>
      <c r="S1015" s="8"/>
    </row>
    <row r="1016" spans="1:19" ht="15.75" customHeight="1">
      <c r="A1016" s="8">
        <v>242411960</v>
      </c>
      <c r="B1016" s="8" t="s">
        <v>10100</v>
      </c>
      <c r="C1016" s="8" t="s">
        <v>10101</v>
      </c>
      <c r="D1016" s="8" t="s">
        <v>4134</v>
      </c>
      <c r="E1016" s="9" t="s">
        <v>4135</v>
      </c>
      <c r="F1016" s="8"/>
      <c r="G1016" s="9"/>
      <c r="H1016" s="8" t="s">
        <v>8386</v>
      </c>
      <c r="I1016" s="8" t="s">
        <v>8387</v>
      </c>
      <c r="J1016" s="8"/>
      <c r="K1016" s="8"/>
      <c r="L1016" s="8"/>
      <c r="M1016" s="8"/>
      <c r="N1016" s="8"/>
      <c r="O1016" s="8"/>
      <c r="P1016" s="8"/>
      <c r="Q1016" s="8"/>
      <c r="R1016" s="8"/>
      <c r="S1016" s="8"/>
    </row>
    <row r="1017" spans="1:19" ht="15.75" customHeight="1">
      <c r="A1017" s="8">
        <v>242575521</v>
      </c>
      <c r="B1017" s="8" t="s">
        <v>8365</v>
      </c>
      <c r="C1017" s="8" t="s">
        <v>10102</v>
      </c>
      <c r="D1017" s="8" t="s">
        <v>4139</v>
      </c>
      <c r="E1017" s="9" t="s">
        <v>4140</v>
      </c>
      <c r="F1017" s="8" t="s">
        <v>10103</v>
      </c>
      <c r="G1017" s="9">
        <v>28</v>
      </c>
      <c r="H1017" s="8" t="s">
        <v>8222</v>
      </c>
      <c r="I1017" s="8" t="s">
        <v>8412</v>
      </c>
      <c r="J1017" s="8"/>
      <c r="K1017" s="8"/>
      <c r="L1017" s="8"/>
      <c r="M1017" s="8"/>
      <c r="N1017" s="8"/>
      <c r="O1017" s="8"/>
      <c r="P1017" s="8"/>
      <c r="Q1017" s="8"/>
      <c r="R1017" s="8"/>
      <c r="S1017" s="8"/>
    </row>
    <row r="1018" spans="1:19" ht="15.75" customHeight="1">
      <c r="A1018" s="8">
        <v>242584990</v>
      </c>
      <c r="B1018" s="8" t="s">
        <v>9257</v>
      </c>
      <c r="C1018" s="8" t="s">
        <v>10104</v>
      </c>
      <c r="D1018" s="8" t="s">
        <v>4143</v>
      </c>
      <c r="E1018" s="9" t="s">
        <v>4144</v>
      </c>
      <c r="F1018" s="8"/>
      <c r="G1018" s="9"/>
      <c r="H1018" s="8" t="s">
        <v>8158</v>
      </c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</row>
    <row r="1019" spans="1:19" ht="15.75" customHeight="1">
      <c r="A1019" s="8">
        <v>242593993</v>
      </c>
      <c r="B1019" s="8" t="s">
        <v>10105</v>
      </c>
      <c r="C1019" s="8" t="s">
        <v>10106</v>
      </c>
      <c r="D1019" s="8" t="s">
        <v>4147</v>
      </c>
      <c r="E1019" s="9">
        <v>862676155</v>
      </c>
      <c r="F1019" s="8"/>
      <c r="G1019" s="9"/>
      <c r="H1019" s="8" t="s">
        <v>8386</v>
      </c>
      <c r="I1019" s="8" t="s">
        <v>8387</v>
      </c>
      <c r="J1019" s="8"/>
      <c r="K1019" s="8"/>
      <c r="L1019" s="8"/>
      <c r="M1019" s="8"/>
      <c r="N1019" s="8"/>
      <c r="O1019" s="8"/>
      <c r="P1019" s="8"/>
      <c r="Q1019" s="8"/>
      <c r="R1019" s="8"/>
      <c r="S1019" s="8"/>
    </row>
    <row r="1020" spans="1:19" ht="15.75" customHeight="1">
      <c r="A1020" s="8">
        <v>242601119</v>
      </c>
      <c r="B1020" s="8" t="s">
        <v>10107</v>
      </c>
      <c r="C1020" s="8" t="s">
        <v>10108</v>
      </c>
      <c r="D1020" s="8" t="s">
        <v>4151</v>
      </c>
      <c r="E1020" s="9" t="s">
        <v>4152</v>
      </c>
      <c r="F1020" s="8"/>
      <c r="G1020" s="9"/>
      <c r="H1020" s="8" t="s">
        <v>8551</v>
      </c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</row>
    <row r="1021" spans="1:19" ht="15.75" customHeight="1">
      <c r="A1021" s="8">
        <v>242606470</v>
      </c>
      <c r="B1021" s="8" t="s">
        <v>10109</v>
      </c>
      <c r="C1021" s="8" t="s">
        <v>10110</v>
      </c>
      <c r="D1021" s="8" t="s">
        <v>4155</v>
      </c>
      <c r="E1021" s="9" t="s">
        <v>4156</v>
      </c>
      <c r="F1021" s="8"/>
      <c r="G1021" s="9"/>
      <c r="H1021" s="8" t="s">
        <v>8164</v>
      </c>
      <c r="I1021" s="8" t="s">
        <v>8165</v>
      </c>
      <c r="J1021" s="8"/>
      <c r="K1021" s="8"/>
      <c r="L1021" s="8"/>
      <c r="M1021" s="8"/>
      <c r="N1021" s="8"/>
      <c r="O1021" s="8"/>
      <c r="P1021" s="8"/>
      <c r="Q1021" s="8"/>
      <c r="R1021" s="8"/>
      <c r="S1021" s="8"/>
    </row>
    <row r="1022" spans="1:19" ht="15.75" customHeight="1">
      <c r="A1022" s="8">
        <v>242823379</v>
      </c>
      <c r="B1022" s="8" t="s">
        <v>8206</v>
      </c>
      <c r="C1022" s="8" t="s">
        <v>10111</v>
      </c>
      <c r="D1022" s="8" t="s">
        <v>4159</v>
      </c>
      <c r="E1022" s="9">
        <v>79823598978</v>
      </c>
      <c r="F1022" s="8" t="s">
        <v>10112</v>
      </c>
      <c r="G1022" s="9">
        <v>0</v>
      </c>
      <c r="H1022" s="8" t="s">
        <v>8164</v>
      </c>
      <c r="I1022" s="8" t="s">
        <v>8414</v>
      </c>
      <c r="J1022" s="8"/>
      <c r="K1022" s="8"/>
      <c r="L1022" s="8"/>
      <c r="M1022" s="8"/>
      <c r="N1022" s="8"/>
      <c r="O1022" s="8"/>
      <c r="P1022" s="8"/>
      <c r="Q1022" s="8"/>
      <c r="R1022" s="8"/>
      <c r="S1022" s="8"/>
    </row>
    <row r="1023" spans="1:19" ht="15.75" customHeight="1">
      <c r="A1023" s="8">
        <v>243072421</v>
      </c>
      <c r="B1023" s="8" t="s">
        <v>7768</v>
      </c>
      <c r="C1023" s="8" t="s">
        <v>10113</v>
      </c>
      <c r="D1023" s="8" t="s">
        <v>4163</v>
      </c>
      <c r="E1023" s="9" t="s">
        <v>4164</v>
      </c>
      <c r="F1023" s="8" t="s">
        <v>10114</v>
      </c>
      <c r="G1023" s="9">
        <v>33</v>
      </c>
      <c r="H1023" s="8" t="s">
        <v>8222</v>
      </c>
      <c r="I1023" s="8" t="s">
        <v>8412</v>
      </c>
      <c r="J1023" s="8"/>
      <c r="K1023" s="8"/>
      <c r="L1023" s="8"/>
      <c r="M1023" s="8"/>
      <c r="N1023" s="8"/>
      <c r="O1023" s="8"/>
      <c r="P1023" s="8"/>
      <c r="Q1023" s="8"/>
      <c r="R1023" s="8"/>
      <c r="S1023" s="8"/>
    </row>
    <row r="1024" spans="1:19" ht="15.75" customHeight="1">
      <c r="A1024" s="8">
        <v>243073617</v>
      </c>
      <c r="B1024" s="8" t="s">
        <v>10115</v>
      </c>
      <c r="C1024" s="8" t="s">
        <v>10116</v>
      </c>
      <c r="D1024" s="8" t="s">
        <v>4167</v>
      </c>
      <c r="E1024" s="9" t="s">
        <v>4168</v>
      </c>
      <c r="F1024" s="8"/>
      <c r="G1024" s="9"/>
      <c r="H1024" s="8" t="s">
        <v>8222</v>
      </c>
      <c r="I1024" s="8" t="s">
        <v>8412</v>
      </c>
      <c r="J1024" s="8"/>
      <c r="K1024" s="8"/>
      <c r="L1024" s="8"/>
      <c r="M1024" s="8"/>
      <c r="N1024" s="8"/>
      <c r="O1024" s="8"/>
      <c r="P1024" s="8"/>
      <c r="Q1024" s="8"/>
      <c r="R1024" s="8"/>
      <c r="S1024" s="8"/>
    </row>
    <row r="1025" spans="1:19" ht="15.75" customHeight="1">
      <c r="A1025" s="8">
        <v>243121829</v>
      </c>
      <c r="B1025" s="8" t="s">
        <v>9437</v>
      </c>
      <c r="C1025" s="8" t="s">
        <v>10117</v>
      </c>
      <c r="D1025" s="8" t="s">
        <v>10118</v>
      </c>
      <c r="E1025" s="9" t="s">
        <v>10119</v>
      </c>
      <c r="F1025" s="8"/>
      <c r="G1025" s="9"/>
      <c r="H1025" s="8" t="s">
        <v>8222</v>
      </c>
      <c r="I1025" s="8" t="s">
        <v>8412</v>
      </c>
      <c r="J1025" s="8"/>
      <c r="K1025" s="8"/>
      <c r="L1025" s="8"/>
      <c r="M1025" s="8"/>
      <c r="N1025" s="8"/>
      <c r="O1025" s="8"/>
      <c r="P1025" s="8"/>
      <c r="Q1025" s="8"/>
      <c r="R1025" s="8"/>
      <c r="S1025" s="8"/>
    </row>
    <row r="1026" spans="1:19" ht="15.75" customHeight="1">
      <c r="A1026" s="8">
        <v>243127015</v>
      </c>
      <c r="B1026" s="8" t="s">
        <v>8479</v>
      </c>
      <c r="C1026" s="8" t="s">
        <v>10120</v>
      </c>
      <c r="D1026" s="8" t="s">
        <v>4171</v>
      </c>
      <c r="E1026" s="9" t="s">
        <v>4172</v>
      </c>
      <c r="F1026" s="8"/>
      <c r="G1026" s="9"/>
      <c r="H1026" s="8" t="s">
        <v>8222</v>
      </c>
      <c r="I1026" s="8" t="s">
        <v>8412</v>
      </c>
      <c r="J1026" s="8"/>
      <c r="K1026" s="8"/>
      <c r="L1026" s="8"/>
      <c r="M1026" s="8"/>
      <c r="N1026" s="8"/>
      <c r="O1026" s="8"/>
      <c r="P1026" s="8"/>
      <c r="Q1026" s="8"/>
      <c r="R1026" s="8"/>
      <c r="S1026" s="8"/>
    </row>
    <row r="1027" spans="1:19" ht="15.75" customHeight="1">
      <c r="A1027" s="8">
        <v>243308323</v>
      </c>
      <c r="B1027" s="8" t="s">
        <v>8369</v>
      </c>
      <c r="C1027" s="8" t="s">
        <v>10121</v>
      </c>
      <c r="D1027" s="8" t="s">
        <v>4175</v>
      </c>
      <c r="E1027" s="9" t="s">
        <v>4176</v>
      </c>
      <c r="F1027" s="8"/>
      <c r="G1027" s="9"/>
      <c r="H1027" s="8" t="s">
        <v>8164</v>
      </c>
      <c r="I1027" s="8" t="s">
        <v>8165</v>
      </c>
      <c r="J1027" s="8"/>
      <c r="K1027" s="8"/>
      <c r="L1027" s="8"/>
      <c r="M1027" s="8"/>
      <c r="N1027" s="8"/>
      <c r="O1027" s="8"/>
      <c r="P1027" s="8"/>
      <c r="Q1027" s="8"/>
      <c r="R1027" s="8"/>
      <c r="S1027" s="8"/>
    </row>
    <row r="1028" spans="1:19" ht="15.75" customHeight="1">
      <c r="A1028" s="8">
        <v>243327723</v>
      </c>
      <c r="B1028" s="8" t="s">
        <v>10122</v>
      </c>
      <c r="C1028" s="8" t="s">
        <v>8820</v>
      </c>
      <c r="D1028" s="8" t="s">
        <v>4179</v>
      </c>
      <c r="E1028" s="9" t="s">
        <v>4180</v>
      </c>
      <c r="F1028" s="8" t="s">
        <v>10123</v>
      </c>
      <c r="G1028" s="9">
        <v>21</v>
      </c>
      <c r="H1028" s="8" t="s">
        <v>8222</v>
      </c>
      <c r="I1028" s="8" t="s">
        <v>8412</v>
      </c>
      <c r="J1028" s="8"/>
      <c r="K1028" s="8"/>
      <c r="L1028" s="8"/>
      <c r="M1028" s="8"/>
      <c r="N1028" s="8"/>
      <c r="O1028" s="8"/>
      <c r="P1028" s="8"/>
      <c r="Q1028" s="8"/>
      <c r="R1028" s="8"/>
      <c r="S1028" s="8"/>
    </row>
    <row r="1029" spans="1:19" ht="15.75" customHeight="1">
      <c r="A1029" s="8">
        <v>243327739</v>
      </c>
      <c r="B1029" s="8" t="s">
        <v>10124</v>
      </c>
      <c r="C1029" s="8" t="s">
        <v>10125</v>
      </c>
      <c r="D1029" s="8" t="s">
        <v>4183</v>
      </c>
      <c r="E1029" s="9" t="s">
        <v>4184</v>
      </c>
      <c r="F1029" s="8"/>
      <c r="G1029" s="9"/>
      <c r="H1029" s="8" t="s">
        <v>8222</v>
      </c>
      <c r="I1029" s="8" t="s">
        <v>8412</v>
      </c>
      <c r="J1029" s="8"/>
      <c r="K1029" s="8"/>
      <c r="L1029" s="8"/>
      <c r="M1029" s="8"/>
      <c r="N1029" s="8"/>
      <c r="O1029" s="8"/>
      <c r="P1029" s="8"/>
      <c r="Q1029" s="8"/>
      <c r="R1029" s="8"/>
      <c r="S1029" s="8"/>
    </row>
    <row r="1030" spans="1:19" ht="15.75" customHeight="1">
      <c r="A1030" s="8">
        <v>243331838</v>
      </c>
      <c r="B1030" s="8" t="s">
        <v>8717</v>
      </c>
      <c r="C1030" s="8" t="s">
        <v>10126</v>
      </c>
      <c r="D1030" s="8" t="s">
        <v>4187</v>
      </c>
      <c r="E1030" s="9" t="s">
        <v>4188</v>
      </c>
      <c r="F1030" s="8" t="s">
        <v>10127</v>
      </c>
      <c r="G1030" s="9">
        <v>31</v>
      </c>
      <c r="H1030" s="8" t="s">
        <v>8222</v>
      </c>
      <c r="I1030" s="8" t="s">
        <v>8412</v>
      </c>
      <c r="J1030" s="8"/>
      <c r="K1030" s="8"/>
      <c r="L1030" s="8"/>
      <c r="M1030" s="8"/>
      <c r="N1030" s="8"/>
      <c r="O1030" s="8"/>
      <c r="P1030" s="8"/>
      <c r="Q1030" s="8"/>
      <c r="R1030" s="8"/>
      <c r="S1030" s="8"/>
    </row>
    <row r="1031" spans="1:19" ht="15.75" customHeight="1">
      <c r="A1031" s="8">
        <v>243332468</v>
      </c>
      <c r="B1031" s="8" t="s">
        <v>9197</v>
      </c>
      <c r="C1031" s="8" t="s">
        <v>10128</v>
      </c>
      <c r="D1031" s="8" t="s">
        <v>4191</v>
      </c>
      <c r="E1031" s="9" t="s">
        <v>4192</v>
      </c>
      <c r="F1031" s="8"/>
      <c r="G1031" s="9"/>
      <c r="H1031" s="8" t="s">
        <v>8222</v>
      </c>
      <c r="I1031" s="8" t="s">
        <v>8412</v>
      </c>
      <c r="J1031" s="8"/>
      <c r="K1031" s="8"/>
      <c r="L1031" s="8"/>
      <c r="M1031" s="8"/>
      <c r="N1031" s="8"/>
      <c r="O1031" s="8"/>
      <c r="P1031" s="8"/>
      <c r="Q1031" s="8"/>
      <c r="R1031" s="8"/>
      <c r="S1031" s="8"/>
    </row>
    <row r="1032" spans="1:19" ht="15.75" customHeight="1">
      <c r="A1032" s="8">
        <v>243556885</v>
      </c>
      <c r="B1032" s="8" t="s">
        <v>8365</v>
      </c>
      <c r="C1032" s="8" t="s">
        <v>10129</v>
      </c>
      <c r="D1032" s="8" t="s">
        <v>4196</v>
      </c>
      <c r="E1032" s="9" t="s">
        <v>4197</v>
      </c>
      <c r="F1032" s="8"/>
      <c r="G1032" s="9"/>
      <c r="H1032" s="8" t="s">
        <v>8222</v>
      </c>
      <c r="I1032" s="8" t="s">
        <v>8412</v>
      </c>
      <c r="J1032" s="8"/>
      <c r="K1032" s="8"/>
      <c r="L1032" s="8"/>
      <c r="M1032" s="8"/>
      <c r="N1032" s="8"/>
      <c r="O1032" s="8"/>
      <c r="P1032" s="8"/>
      <c r="Q1032" s="8"/>
      <c r="R1032" s="8"/>
      <c r="S1032" s="8"/>
    </row>
    <row r="1033" spans="1:19" ht="15.75" customHeight="1">
      <c r="A1033" s="8">
        <v>243573300</v>
      </c>
      <c r="B1033" s="8" t="s">
        <v>8410</v>
      </c>
      <c r="C1033" s="8" t="s">
        <v>10130</v>
      </c>
      <c r="D1033" s="8" t="s">
        <v>4200</v>
      </c>
      <c r="E1033" s="9" t="s">
        <v>4201</v>
      </c>
      <c r="F1033" s="8"/>
      <c r="G1033" s="9"/>
      <c r="H1033" s="8" t="s">
        <v>8222</v>
      </c>
      <c r="I1033" s="8" t="s">
        <v>8412</v>
      </c>
      <c r="J1033" s="8"/>
      <c r="K1033" s="8"/>
      <c r="L1033" s="8"/>
      <c r="M1033" s="8"/>
      <c r="N1033" s="8"/>
      <c r="O1033" s="8"/>
      <c r="P1033" s="8"/>
      <c r="Q1033" s="8"/>
      <c r="R1033" s="8"/>
      <c r="S1033" s="8"/>
    </row>
    <row r="1034" spans="1:19" ht="15.75" customHeight="1">
      <c r="A1034" s="8">
        <v>243665817</v>
      </c>
      <c r="B1034" s="8" t="s">
        <v>10131</v>
      </c>
      <c r="C1034" s="8" t="s">
        <v>7399</v>
      </c>
      <c r="D1034" s="8" t="s">
        <v>10132</v>
      </c>
      <c r="E1034" s="9">
        <v>79168896315</v>
      </c>
      <c r="F1034" s="8"/>
      <c r="G1034" s="9"/>
      <c r="H1034" s="8" t="s">
        <v>8164</v>
      </c>
      <c r="I1034" s="8" t="s">
        <v>8165</v>
      </c>
      <c r="J1034" s="8"/>
      <c r="K1034" s="8"/>
      <c r="L1034" s="8"/>
      <c r="M1034" s="8"/>
      <c r="N1034" s="8"/>
      <c r="O1034" s="8"/>
      <c r="P1034" s="8"/>
      <c r="Q1034" s="8"/>
      <c r="R1034" s="8"/>
      <c r="S1034" s="8"/>
    </row>
    <row r="1035" spans="1:19" ht="15.75" customHeight="1">
      <c r="A1035" s="8">
        <v>243666167</v>
      </c>
      <c r="B1035" s="8" t="s">
        <v>10131</v>
      </c>
      <c r="C1035" s="8" t="s">
        <v>7399</v>
      </c>
      <c r="D1035" s="8" t="s">
        <v>4204</v>
      </c>
      <c r="E1035" s="9">
        <v>79168896315</v>
      </c>
      <c r="F1035" s="8"/>
      <c r="G1035" s="9"/>
      <c r="H1035" s="8" t="s">
        <v>8164</v>
      </c>
      <c r="I1035" s="8" t="s">
        <v>8165</v>
      </c>
      <c r="J1035" s="8"/>
      <c r="K1035" s="8"/>
      <c r="L1035" s="8"/>
      <c r="M1035" s="8"/>
      <c r="N1035" s="8"/>
      <c r="O1035" s="8"/>
      <c r="P1035" s="8"/>
      <c r="Q1035" s="8"/>
      <c r="R1035" s="8"/>
      <c r="S1035" s="8"/>
    </row>
    <row r="1036" spans="1:19" ht="15.75" customHeight="1">
      <c r="A1036" s="8">
        <v>243682479</v>
      </c>
      <c r="B1036" s="8" t="s">
        <v>8288</v>
      </c>
      <c r="C1036" s="8" t="s">
        <v>10133</v>
      </c>
      <c r="D1036" s="8" t="s">
        <v>4207</v>
      </c>
      <c r="E1036" s="9" t="s">
        <v>4208</v>
      </c>
      <c r="F1036" s="8"/>
      <c r="G1036" s="9"/>
      <c r="H1036" s="8" t="s">
        <v>8222</v>
      </c>
      <c r="I1036" s="8" t="s">
        <v>8412</v>
      </c>
      <c r="J1036" s="8"/>
      <c r="K1036" s="8"/>
      <c r="L1036" s="8"/>
      <c r="M1036" s="8"/>
      <c r="N1036" s="8"/>
      <c r="O1036" s="8"/>
      <c r="P1036" s="8"/>
      <c r="Q1036" s="8"/>
      <c r="R1036" s="8"/>
      <c r="S1036" s="8"/>
    </row>
    <row r="1037" spans="1:19" ht="15.75" customHeight="1">
      <c r="A1037" s="8">
        <v>243761887</v>
      </c>
      <c r="B1037" s="8" t="s">
        <v>8373</v>
      </c>
      <c r="C1037" s="8" t="s">
        <v>10134</v>
      </c>
      <c r="D1037" s="8" t="s">
        <v>4211</v>
      </c>
      <c r="E1037" s="9">
        <v>79257405011</v>
      </c>
      <c r="F1037" s="8"/>
      <c r="G1037" s="9"/>
      <c r="H1037" s="8" t="s">
        <v>8158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</row>
    <row r="1038" spans="1:19" ht="15.75" customHeight="1">
      <c r="A1038" s="8">
        <v>243794716</v>
      </c>
      <c r="B1038" s="8" t="s">
        <v>9411</v>
      </c>
      <c r="C1038" s="8" t="s">
        <v>10135</v>
      </c>
      <c r="D1038" s="8" t="s">
        <v>4214</v>
      </c>
      <c r="E1038" s="9" t="s">
        <v>4215</v>
      </c>
      <c r="F1038" s="8"/>
      <c r="G1038" s="9"/>
      <c r="H1038" s="8" t="s">
        <v>8222</v>
      </c>
      <c r="I1038" s="8" t="s">
        <v>8412</v>
      </c>
      <c r="J1038" s="8"/>
      <c r="K1038" s="8"/>
      <c r="L1038" s="8"/>
      <c r="M1038" s="8"/>
      <c r="N1038" s="8"/>
      <c r="O1038" s="8"/>
      <c r="P1038" s="8"/>
      <c r="Q1038" s="8"/>
      <c r="R1038" s="8"/>
      <c r="S1038" s="8"/>
    </row>
    <row r="1039" spans="1:19" ht="15.75" customHeight="1">
      <c r="A1039" s="8">
        <v>243803925</v>
      </c>
      <c r="B1039" s="8" t="s">
        <v>8197</v>
      </c>
      <c r="C1039" s="8" t="s">
        <v>8740</v>
      </c>
      <c r="D1039" s="8" t="s">
        <v>4249</v>
      </c>
      <c r="E1039" s="9" t="s">
        <v>4250</v>
      </c>
      <c r="F1039" s="8"/>
      <c r="G1039" s="9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</row>
    <row r="1040" spans="1:19" ht="15.75" customHeight="1">
      <c r="A1040" s="8">
        <v>243833074</v>
      </c>
      <c r="B1040" s="8" t="s">
        <v>9411</v>
      </c>
      <c r="C1040" s="8" t="s">
        <v>10136</v>
      </c>
      <c r="D1040" s="8" t="s">
        <v>4218</v>
      </c>
      <c r="E1040" s="9" t="s">
        <v>4219</v>
      </c>
      <c r="F1040" s="8"/>
      <c r="G1040" s="9"/>
      <c r="H1040" s="8" t="s">
        <v>8222</v>
      </c>
      <c r="I1040" s="8" t="s">
        <v>8412</v>
      </c>
      <c r="J1040" s="8"/>
      <c r="K1040" s="8"/>
      <c r="L1040" s="8"/>
      <c r="M1040" s="8"/>
      <c r="N1040" s="8"/>
      <c r="O1040" s="8"/>
      <c r="P1040" s="8"/>
      <c r="Q1040" s="8"/>
      <c r="R1040" s="8"/>
      <c r="S1040" s="8"/>
    </row>
    <row r="1041" spans="1:19" ht="15.75" customHeight="1">
      <c r="A1041" s="8">
        <v>243845909</v>
      </c>
      <c r="B1041" s="8" t="s">
        <v>10137</v>
      </c>
      <c r="C1041" s="8" t="s">
        <v>10138</v>
      </c>
      <c r="D1041" s="8" t="s">
        <v>4222</v>
      </c>
      <c r="E1041" s="9" t="s">
        <v>4223</v>
      </c>
      <c r="F1041" s="8"/>
      <c r="G1041" s="9"/>
      <c r="H1041" s="8" t="s">
        <v>8595</v>
      </c>
      <c r="I1041" s="8" t="s">
        <v>8596</v>
      </c>
      <c r="J1041" s="8"/>
      <c r="K1041" s="8"/>
      <c r="L1041" s="8"/>
      <c r="M1041" s="8"/>
      <c r="N1041" s="8"/>
      <c r="O1041" s="8"/>
      <c r="P1041" s="8"/>
      <c r="Q1041" s="8"/>
      <c r="R1041" s="8"/>
      <c r="S1041" s="8"/>
    </row>
    <row r="1042" spans="1:19" ht="15.75" customHeight="1">
      <c r="A1042" s="8">
        <v>243858140</v>
      </c>
      <c r="B1042" s="8" t="s">
        <v>10139</v>
      </c>
      <c r="C1042" s="8" t="s">
        <v>10140</v>
      </c>
      <c r="D1042" s="8" t="s">
        <v>4226</v>
      </c>
      <c r="E1042" s="9">
        <v>79852800034</v>
      </c>
      <c r="F1042" s="8"/>
      <c r="G1042" s="9"/>
      <c r="H1042" s="8" t="s">
        <v>8164</v>
      </c>
      <c r="I1042" s="8" t="s">
        <v>8165</v>
      </c>
      <c r="J1042" s="8"/>
      <c r="K1042" s="8"/>
      <c r="L1042" s="8"/>
      <c r="M1042" s="8"/>
      <c r="N1042" s="8"/>
      <c r="O1042" s="8"/>
      <c r="P1042" s="8"/>
      <c r="Q1042" s="8"/>
      <c r="R1042" s="8"/>
      <c r="S1042" s="8"/>
    </row>
    <row r="1043" spans="1:19" ht="15.75" customHeight="1">
      <c r="A1043" s="8">
        <v>243872497</v>
      </c>
      <c r="B1043" s="8" t="s">
        <v>7919</v>
      </c>
      <c r="C1043" s="8" t="s">
        <v>10141</v>
      </c>
      <c r="D1043" s="8" t="s">
        <v>4229</v>
      </c>
      <c r="E1043" s="9" t="s">
        <v>4230</v>
      </c>
      <c r="F1043" s="8"/>
      <c r="G1043" s="9"/>
      <c r="H1043" s="8" t="s">
        <v>8222</v>
      </c>
      <c r="I1043" s="8" t="s">
        <v>8412</v>
      </c>
      <c r="J1043" s="8"/>
      <c r="K1043" s="8"/>
      <c r="L1043" s="8"/>
      <c r="M1043" s="8"/>
      <c r="N1043" s="8"/>
      <c r="O1043" s="8"/>
      <c r="P1043" s="8"/>
      <c r="Q1043" s="8"/>
      <c r="R1043" s="8"/>
      <c r="S1043" s="8"/>
    </row>
    <row r="1044" spans="1:19" ht="15.75" customHeight="1">
      <c r="A1044" s="8">
        <v>243968791</v>
      </c>
      <c r="B1044" s="8" t="s">
        <v>8697</v>
      </c>
      <c r="C1044" s="8" t="s">
        <v>10142</v>
      </c>
      <c r="D1044" s="8" t="s">
        <v>4233</v>
      </c>
      <c r="E1044" s="9" t="s">
        <v>4234</v>
      </c>
      <c r="F1044" s="8" t="s">
        <v>10143</v>
      </c>
      <c r="G1044" s="9">
        <v>46</v>
      </c>
      <c r="H1044" s="8" t="s">
        <v>8183</v>
      </c>
      <c r="I1044" s="8" t="s">
        <v>10144</v>
      </c>
      <c r="J1044" s="8"/>
      <c r="K1044" s="8"/>
      <c r="L1044" s="8"/>
      <c r="M1044" s="8"/>
      <c r="N1044" s="8"/>
      <c r="O1044" s="8"/>
      <c r="P1044" s="8"/>
      <c r="Q1044" s="8"/>
      <c r="R1044" s="8"/>
      <c r="S1044" s="8"/>
    </row>
    <row r="1045" spans="1:19" ht="15.75" customHeight="1">
      <c r="A1045" s="8">
        <v>243996579</v>
      </c>
      <c r="B1045" s="8" t="s">
        <v>7768</v>
      </c>
      <c r="C1045" s="8" t="s">
        <v>10145</v>
      </c>
      <c r="D1045" s="8" t="s">
        <v>4237</v>
      </c>
      <c r="E1045" s="9" t="s">
        <v>4238</v>
      </c>
      <c r="F1045" s="8"/>
      <c r="G1045" s="9"/>
      <c r="H1045" s="8" t="s">
        <v>8158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</row>
    <row r="1046" spans="1:19" ht="15.75" customHeight="1">
      <c r="A1046" s="8">
        <v>244056287</v>
      </c>
      <c r="B1046" s="8" t="s">
        <v>8721</v>
      </c>
      <c r="C1046" s="8" t="s">
        <v>10146</v>
      </c>
      <c r="D1046" s="8" t="s">
        <v>4241</v>
      </c>
      <c r="E1046" s="9" t="s">
        <v>4242</v>
      </c>
      <c r="F1046" s="8"/>
      <c r="G1046" s="9"/>
      <c r="H1046" s="8" t="s">
        <v>8183</v>
      </c>
      <c r="I1046" s="8" t="s">
        <v>8165</v>
      </c>
      <c r="J1046" s="8"/>
      <c r="K1046" s="8"/>
      <c r="L1046" s="8"/>
      <c r="M1046" s="8"/>
      <c r="N1046" s="8"/>
      <c r="O1046" s="8"/>
      <c r="P1046" s="8"/>
      <c r="Q1046" s="8"/>
      <c r="R1046" s="8"/>
      <c r="S1046" s="8"/>
    </row>
    <row r="1047" spans="1:19" ht="15.75" customHeight="1">
      <c r="A1047" s="8">
        <v>244106413</v>
      </c>
      <c r="B1047" s="8" t="s">
        <v>8311</v>
      </c>
      <c r="C1047" s="8" t="s">
        <v>10147</v>
      </c>
      <c r="D1047" s="8" t="s">
        <v>4245</v>
      </c>
      <c r="E1047" s="9" t="s">
        <v>4246</v>
      </c>
      <c r="F1047" s="8" t="s">
        <v>10148</v>
      </c>
      <c r="G1047" s="9">
        <v>53</v>
      </c>
      <c r="H1047" s="8" t="s">
        <v>8356</v>
      </c>
      <c r="I1047" s="8" t="s">
        <v>10149</v>
      </c>
      <c r="J1047" s="8"/>
      <c r="K1047" s="8"/>
      <c r="L1047" s="8"/>
      <c r="M1047" s="8"/>
      <c r="N1047" s="8"/>
      <c r="O1047" s="8"/>
      <c r="P1047" s="8"/>
      <c r="Q1047" s="8"/>
      <c r="R1047" s="8"/>
      <c r="S1047" s="8"/>
    </row>
    <row r="1048" spans="1:19" ht="15.75" customHeight="1">
      <c r="A1048" s="8">
        <v>244423255</v>
      </c>
      <c r="B1048" s="8" t="s">
        <v>8721</v>
      </c>
      <c r="C1048" s="8" t="s">
        <v>10150</v>
      </c>
      <c r="D1048" s="8" t="s">
        <v>4253</v>
      </c>
      <c r="E1048" s="9" t="s">
        <v>4254</v>
      </c>
      <c r="F1048" s="8"/>
      <c r="G1048" s="9"/>
      <c r="H1048" s="8" t="s">
        <v>8183</v>
      </c>
      <c r="I1048" s="8" t="s">
        <v>9614</v>
      </c>
      <c r="J1048" s="8"/>
      <c r="K1048" s="8"/>
      <c r="L1048" s="8"/>
      <c r="M1048" s="8"/>
      <c r="N1048" s="8"/>
      <c r="O1048" s="8"/>
      <c r="P1048" s="8"/>
      <c r="Q1048" s="8"/>
      <c r="R1048" s="8"/>
      <c r="S1048" s="8"/>
    </row>
    <row r="1049" spans="1:19" ht="15.75" customHeight="1">
      <c r="A1049" s="8">
        <v>244440948</v>
      </c>
      <c r="B1049" s="8" t="s">
        <v>8694</v>
      </c>
      <c r="C1049" s="8" t="s">
        <v>10151</v>
      </c>
      <c r="D1049" s="8" t="s">
        <v>4257</v>
      </c>
      <c r="E1049" s="9" t="s">
        <v>4258</v>
      </c>
      <c r="F1049" s="8"/>
      <c r="G1049" s="9"/>
      <c r="H1049" s="8" t="s">
        <v>8164</v>
      </c>
      <c r="I1049" s="8" t="s">
        <v>8165</v>
      </c>
      <c r="J1049" s="8"/>
      <c r="K1049" s="8"/>
      <c r="L1049" s="8"/>
      <c r="M1049" s="8"/>
      <c r="N1049" s="8"/>
      <c r="O1049" s="8"/>
      <c r="P1049" s="8"/>
      <c r="Q1049" s="8"/>
      <c r="R1049" s="8"/>
      <c r="S1049" s="8"/>
    </row>
    <row r="1050" spans="1:19" ht="15.75" customHeight="1">
      <c r="A1050" s="8">
        <v>244441354</v>
      </c>
      <c r="B1050" s="8" t="s">
        <v>8206</v>
      </c>
      <c r="C1050" s="8" t="s">
        <v>8800</v>
      </c>
      <c r="D1050" s="8" t="s">
        <v>4261</v>
      </c>
      <c r="E1050" s="9" t="s">
        <v>4262</v>
      </c>
      <c r="F1050" s="8" t="s">
        <v>10152</v>
      </c>
      <c r="G1050" s="9">
        <v>46</v>
      </c>
      <c r="H1050" s="8" t="s">
        <v>8164</v>
      </c>
      <c r="I1050" s="8" t="s">
        <v>8915</v>
      </c>
      <c r="J1050" s="8"/>
      <c r="K1050" s="8"/>
      <c r="L1050" s="8"/>
      <c r="M1050" s="8"/>
      <c r="N1050" s="8"/>
      <c r="O1050" s="8"/>
      <c r="P1050" s="8"/>
      <c r="Q1050" s="8"/>
      <c r="R1050" s="8"/>
      <c r="S1050" s="8"/>
    </row>
    <row r="1051" spans="1:19" ht="15.75" customHeight="1">
      <c r="A1051" s="8">
        <v>244475594</v>
      </c>
      <c r="B1051" s="8" t="s">
        <v>9374</v>
      </c>
      <c r="C1051" s="8" t="s">
        <v>10153</v>
      </c>
      <c r="D1051" s="8" t="s">
        <v>4265</v>
      </c>
      <c r="E1051" s="9" t="s">
        <v>4266</v>
      </c>
      <c r="F1051" s="8"/>
      <c r="G1051" s="9"/>
      <c r="H1051" s="8" t="s">
        <v>8158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</row>
    <row r="1052" spans="1:19" ht="15.75" customHeight="1">
      <c r="A1052" s="8">
        <v>244517257</v>
      </c>
      <c r="B1052" s="8" t="s">
        <v>8304</v>
      </c>
      <c r="C1052" s="8" t="s">
        <v>10154</v>
      </c>
      <c r="D1052" s="8" t="s">
        <v>10155</v>
      </c>
      <c r="E1052" s="9" t="s">
        <v>10156</v>
      </c>
      <c r="F1052" s="8"/>
      <c r="G1052" s="9"/>
      <c r="H1052" s="8" t="s">
        <v>8213</v>
      </c>
      <c r="I1052" s="8" t="s">
        <v>10157</v>
      </c>
      <c r="J1052" s="8" t="s">
        <v>10158</v>
      </c>
      <c r="K1052" s="8"/>
      <c r="L1052" s="8"/>
      <c r="M1052" s="8"/>
      <c r="N1052" s="8"/>
      <c r="O1052" s="8"/>
      <c r="P1052" s="8"/>
      <c r="Q1052" s="8" t="s">
        <v>8161</v>
      </c>
      <c r="R1052" s="8"/>
      <c r="S1052" s="8"/>
    </row>
    <row r="1053" spans="1:19" ht="15.75" customHeight="1">
      <c r="A1053" s="8">
        <v>244697698</v>
      </c>
      <c r="B1053" s="8" t="s">
        <v>8206</v>
      </c>
      <c r="C1053" s="8" t="s">
        <v>10159</v>
      </c>
      <c r="D1053" s="8" t="s">
        <v>4269</v>
      </c>
      <c r="E1053" s="9" t="s">
        <v>4270</v>
      </c>
      <c r="F1053" s="8"/>
      <c r="G1053" s="9"/>
      <c r="H1053" s="8" t="s">
        <v>8164</v>
      </c>
      <c r="I1053" s="8" t="s">
        <v>8165</v>
      </c>
      <c r="J1053" s="8"/>
      <c r="K1053" s="8"/>
      <c r="L1053" s="8"/>
      <c r="M1053" s="8"/>
      <c r="N1053" s="8"/>
      <c r="O1053" s="8"/>
      <c r="P1053" s="8"/>
      <c r="Q1053" s="8"/>
      <c r="R1053" s="8"/>
      <c r="S1053" s="8"/>
    </row>
    <row r="1054" spans="1:19" ht="15.75" customHeight="1">
      <c r="A1054" s="8">
        <v>244716913</v>
      </c>
      <c r="B1054" s="8" t="s">
        <v>8434</v>
      </c>
      <c r="C1054" s="8" t="s">
        <v>10160</v>
      </c>
      <c r="D1054" s="8" t="s">
        <v>4273</v>
      </c>
      <c r="E1054" s="9" t="s">
        <v>4274</v>
      </c>
      <c r="F1054" s="8"/>
      <c r="G1054" s="9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</row>
    <row r="1055" spans="1:19" ht="15.75" customHeight="1">
      <c r="A1055" s="8">
        <v>244811575</v>
      </c>
      <c r="B1055" s="8" t="s">
        <v>8717</v>
      </c>
      <c r="C1055" s="8" t="s">
        <v>10161</v>
      </c>
      <c r="D1055" s="8" t="s">
        <v>4277</v>
      </c>
      <c r="E1055" s="9">
        <v>79183067117</v>
      </c>
      <c r="F1055" s="8"/>
      <c r="G1055" s="9"/>
      <c r="H1055" s="8" t="s">
        <v>8164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</row>
    <row r="1056" spans="1:19" ht="15.75" customHeight="1">
      <c r="A1056" s="8">
        <v>244822667</v>
      </c>
      <c r="B1056" s="8" t="s">
        <v>8895</v>
      </c>
      <c r="C1056" s="8" t="s">
        <v>10162</v>
      </c>
      <c r="D1056" s="8" t="s">
        <v>10163</v>
      </c>
      <c r="E1056" s="9" t="s">
        <v>10164</v>
      </c>
      <c r="F1056" s="8"/>
      <c r="G1056" s="9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</row>
    <row r="1057" spans="1:19" ht="15.75" customHeight="1">
      <c r="A1057" s="8">
        <v>245004614</v>
      </c>
      <c r="B1057" s="8" t="s">
        <v>10165</v>
      </c>
      <c r="C1057" s="8" t="s">
        <v>10166</v>
      </c>
      <c r="D1057" s="8" t="s">
        <v>4329</v>
      </c>
      <c r="E1057" s="9" t="s">
        <v>4330</v>
      </c>
      <c r="F1057" s="8" t="s">
        <v>10167</v>
      </c>
      <c r="G1057" s="9">
        <v>31</v>
      </c>
      <c r="H1057" s="8" t="s">
        <v>8183</v>
      </c>
      <c r="I1057" s="8" t="s">
        <v>8184</v>
      </c>
      <c r="J1057" s="8"/>
      <c r="K1057" s="8"/>
      <c r="L1057" s="8"/>
      <c r="M1057" s="8"/>
      <c r="N1057" s="8"/>
      <c r="O1057" s="8"/>
      <c r="P1057" s="8"/>
      <c r="Q1057" s="8"/>
      <c r="R1057" s="8"/>
      <c r="S1057" s="8"/>
    </row>
    <row r="1058" spans="1:19" ht="15.75" customHeight="1">
      <c r="A1058" s="8">
        <v>245051823</v>
      </c>
      <c r="B1058" s="8" t="s">
        <v>8434</v>
      </c>
      <c r="C1058" s="8" t="s">
        <v>10168</v>
      </c>
      <c r="D1058" s="8" t="s">
        <v>4280</v>
      </c>
      <c r="E1058" s="9" t="s">
        <v>4281</v>
      </c>
      <c r="F1058" s="8"/>
      <c r="G1058" s="9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</row>
    <row r="1059" spans="1:19" ht="15.75" customHeight="1">
      <c r="A1059" s="8">
        <v>245064862</v>
      </c>
      <c r="B1059" s="8" t="s">
        <v>10169</v>
      </c>
      <c r="C1059" s="8" t="s">
        <v>10170</v>
      </c>
      <c r="D1059" s="8" t="s">
        <v>4284</v>
      </c>
      <c r="E1059" s="9" t="s">
        <v>4285</v>
      </c>
      <c r="F1059" s="8"/>
      <c r="G1059" s="9"/>
      <c r="H1059" s="8" t="s">
        <v>8267</v>
      </c>
      <c r="I1059" s="8" t="s">
        <v>10171</v>
      </c>
      <c r="J1059" s="8" t="s">
        <v>10172</v>
      </c>
      <c r="K1059" s="8"/>
      <c r="L1059" s="8"/>
      <c r="M1059" s="8" t="s">
        <v>8176</v>
      </c>
      <c r="N1059" s="8"/>
      <c r="O1059" s="8"/>
      <c r="P1059" s="8"/>
      <c r="Q1059" s="8"/>
      <c r="R1059" s="8"/>
      <c r="S1059" s="8"/>
    </row>
    <row r="1060" spans="1:19" ht="15.75" customHeight="1">
      <c r="A1060" s="8">
        <v>245066677</v>
      </c>
      <c r="B1060" s="8" t="s">
        <v>10173</v>
      </c>
      <c r="C1060" s="8" t="s">
        <v>10174</v>
      </c>
      <c r="D1060" s="8" t="s">
        <v>4288</v>
      </c>
      <c r="E1060" s="9" t="s">
        <v>4289</v>
      </c>
      <c r="F1060" s="8"/>
      <c r="G1060" s="9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</row>
    <row r="1061" spans="1:19" ht="15.75" customHeight="1">
      <c r="A1061" s="8">
        <v>245103509</v>
      </c>
      <c r="B1061" s="8" t="s">
        <v>8277</v>
      </c>
      <c r="C1061" s="8" t="s">
        <v>10175</v>
      </c>
      <c r="D1061" s="8" t="s">
        <v>4292</v>
      </c>
      <c r="E1061" s="9" t="s">
        <v>4293</v>
      </c>
      <c r="F1061" s="8"/>
      <c r="G1061" s="9"/>
      <c r="H1061" s="8" t="s">
        <v>8222</v>
      </c>
      <c r="I1061" s="8" t="s">
        <v>8412</v>
      </c>
      <c r="J1061" s="8"/>
      <c r="K1061" s="8"/>
      <c r="L1061" s="8"/>
      <c r="M1061" s="8"/>
      <c r="N1061" s="8"/>
      <c r="O1061" s="8"/>
      <c r="P1061" s="8"/>
      <c r="Q1061" s="8"/>
      <c r="R1061" s="8"/>
      <c r="S1061" s="8"/>
    </row>
    <row r="1062" spans="1:19" ht="15.75" customHeight="1">
      <c r="A1062" s="8">
        <v>245113319</v>
      </c>
      <c r="B1062" s="8" t="s">
        <v>7875</v>
      </c>
      <c r="C1062" s="8" t="s">
        <v>10176</v>
      </c>
      <c r="D1062" s="8" t="s">
        <v>4296</v>
      </c>
      <c r="E1062" s="9" t="s">
        <v>4297</v>
      </c>
      <c r="F1062" s="8"/>
      <c r="G1062" s="9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</row>
    <row r="1063" spans="1:19" ht="15.75" customHeight="1">
      <c r="A1063" s="8">
        <v>245156900</v>
      </c>
      <c r="B1063" s="8" t="s">
        <v>8341</v>
      </c>
      <c r="C1063" s="8" t="s">
        <v>9303</v>
      </c>
      <c r="D1063" s="8" t="s">
        <v>4300</v>
      </c>
      <c r="E1063" s="9">
        <v>79650086560</v>
      </c>
      <c r="F1063" s="8"/>
      <c r="G1063" s="9"/>
      <c r="H1063" s="8" t="s">
        <v>8164</v>
      </c>
      <c r="I1063" s="8" t="s">
        <v>8165</v>
      </c>
      <c r="J1063" s="8"/>
      <c r="K1063" s="8"/>
      <c r="L1063" s="8"/>
      <c r="M1063" s="8"/>
      <c r="N1063" s="8"/>
      <c r="O1063" s="8"/>
      <c r="P1063" s="8"/>
      <c r="Q1063" s="8"/>
      <c r="R1063" s="8"/>
      <c r="S1063" s="8"/>
    </row>
    <row r="1064" spans="1:19" ht="15.75" customHeight="1">
      <c r="A1064" s="8">
        <v>245207972</v>
      </c>
      <c r="B1064" s="8" t="s">
        <v>10177</v>
      </c>
      <c r="C1064" s="8" t="s">
        <v>10178</v>
      </c>
      <c r="D1064" s="8" t="s">
        <v>4303</v>
      </c>
      <c r="E1064" s="9" t="s">
        <v>4304</v>
      </c>
      <c r="F1064" s="8"/>
      <c r="G1064" s="9"/>
      <c r="H1064" s="8" t="s">
        <v>8164</v>
      </c>
      <c r="I1064" s="8" t="s">
        <v>8227</v>
      </c>
      <c r="J1064" s="8"/>
      <c r="K1064" s="8"/>
      <c r="L1064" s="8"/>
      <c r="M1064" s="8"/>
      <c r="N1064" s="8"/>
      <c r="O1064" s="8"/>
      <c r="P1064" s="8"/>
      <c r="Q1064" s="8"/>
      <c r="R1064" s="8"/>
      <c r="S1064" s="8"/>
    </row>
    <row r="1065" spans="1:19" ht="15.75" customHeight="1">
      <c r="A1065" s="8">
        <v>245249063</v>
      </c>
      <c r="B1065" s="8" t="s">
        <v>8773</v>
      </c>
      <c r="C1065" s="8" t="s">
        <v>10179</v>
      </c>
      <c r="D1065" s="8" t="s">
        <v>4308</v>
      </c>
      <c r="E1065" s="9" t="s">
        <v>4309</v>
      </c>
      <c r="F1065" s="8"/>
      <c r="G1065" s="9"/>
      <c r="H1065" s="8" t="s">
        <v>8183</v>
      </c>
      <c r="I1065" s="8" t="s">
        <v>8188</v>
      </c>
      <c r="J1065" s="8"/>
      <c r="K1065" s="8"/>
      <c r="L1065" s="8"/>
      <c r="M1065" s="8"/>
      <c r="N1065" s="8"/>
      <c r="O1065" s="8"/>
      <c r="P1065" s="8"/>
      <c r="Q1065" s="8"/>
      <c r="R1065" s="8"/>
      <c r="S1065" s="8"/>
    </row>
    <row r="1066" spans="1:19" ht="15.75" customHeight="1">
      <c r="A1066" s="8">
        <v>245346481</v>
      </c>
      <c r="B1066" s="8" t="s">
        <v>8341</v>
      </c>
      <c r="C1066" s="8" t="s">
        <v>10180</v>
      </c>
      <c r="D1066" s="8" t="s">
        <v>4312</v>
      </c>
      <c r="E1066" s="9" t="s">
        <v>4313</v>
      </c>
      <c r="F1066" s="8"/>
      <c r="G1066" s="9"/>
      <c r="H1066" s="8" t="s">
        <v>8164</v>
      </c>
      <c r="I1066" s="8" t="s">
        <v>9482</v>
      </c>
      <c r="J1066" s="8"/>
      <c r="K1066" s="8"/>
      <c r="L1066" s="8"/>
      <c r="M1066" s="8"/>
      <c r="N1066" s="8"/>
      <c r="O1066" s="8"/>
      <c r="P1066" s="8"/>
      <c r="Q1066" s="8"/>
      <c r="R1066" s="8"/>
      <c r="S1066" s="8"/>
    </row>
    <row r="1067" spans="1:19" ht="15.75" customHeight="1">
      <c r="A1067" s="8">
        <v>245382849</v>
      </c>
      <c r="B1067" s="8" t="s">
        <v>9476</v>
      </c>
      <c r="C1067" s="8" t="s">
        <v>10181</v>
      </c>
      <c r="D1067" s="8" t="s">
        <v>4316</v>
      </c>
      <c r="E1067" s="9" t="s">
        <v>4317</v>
      </c>
      <c r="F1067" s="8"/>
      <c r="G1067" s="9"/>
      <c r="H1067" s="8" t="s">
        <v>8164</v>
      </c>
      <c r="I1067" s="8" t="s">
        <v>8191</v>
      </c>
      <c r="J1067" s="8"/>
      <c r="K1067" s="8"/>
      <c r="L1067" s="8"/>
      <c r="M1067" s="8"/>
      <c r="N1067" s="8"/>
      <c r="O1067" s="8"/>
      <c r="P1067" s="8"/>
      <c r="Q1067" s="8"/>
      <c r="R1067" s="8"/>
      <c r="S1067" s="8"/>
    </row>
    <row r="1068" spans="1:19" ht="15.75" customHeight="1">
      <c r="A1068" s="8">
        <v>245456400</v>
      </c>
      <c r="B1068" s="8" t="s">
        <v>8479</v>
      </c>
      <c r="C1068" s="8" t="s">
        <v>10182</v>
      </c>
      <c r="D1068" s="8" t="s">
        <v>10183</v>
      </c>
      <c r="E1068" s="9">
        <v>79649996479</v>
      </c>
      <c r="F1068" s="8"/>
      <c r="G1068" s="9"/>
      <c r="H1068" s="8" t="s">
        <v>8158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</row>
    <row r="1069" spans="1:19" ht="15.75" customHeight="1">
      <c r="A1069" s="8">
        <v>245459725</v>
      </c>
      <c r="B1069" s="8" t="s">
        <v>10184</v>
      </c>
      <c r="C1069" s="8" t="s">
        <v>10185</v>
      </c>
      <c r="D1069" s="8" t="s">
        <v>4320</v>
      </c>
      <c r="E1069" s="9" t="s">
        <v>4321</v>
      </c>
      <c r="F1069" s="8" t="s">
        <v>10186</v>
      </c>
      <c r="G1069" s="9">
        <v>36</v>
      </c>
      <c r="H1069" s="8" t="s">
        <v>8183</v>
      </c>
      <c r="I1069" s="8" t="s">
        <v>10187</v>
      </c>
      <c r="J1069" s="8"/>
      <c r="K1069" s="8"/>
      <c r="L1069" s="8"/>
      <c r="M1069" s="8"/>
      <c r="N1069" s="8"/>
      <c r="O1069" s="8"/>
      <c r="P1069" s="8"/>
      <c r="Q1069" s="8"/>
      <c r="R1069" s="8"/>
      <c r="S1069" s="8"/>
    </row>
    <row r="1070" spans="1:19" ht="15.75" customHeight="1">
      <c r="A1070" s="8">
        <v>245501868</v>
      </c>
      <c r="B1070" s="8" t="s">
        <v>10188</v>
      </c>
      <c r="C1070" s="8" t="s">
        <v>10189</v>
      </c>
      <c r="D1070" s="8" t="s">
        <v>4324</v>
      </c>
      <c r="E1070" s="9" t="s">
        <v>4325</v>
      </c>
      <c r="F1070" s="8"/>
      <c r="G1070" s="9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</row>
    <row r="1071" spans="1:19" ht="15.75" customHeight="1">
      <c r="A1071" s="8">
        <v>245791651</v>
      </c>
      <c r="B1071" s="8" t="s">
        <v>7768</v>
      </c>
      <c r="C1071" s="8" t="s">
        <v>10190</v>
      </c>
      <c r="D1071" s="8" t="s">
        <v>4335</v>
      </c>
      <c r="E1071" s="9" t="s">
        <v>4336</v>
      </c>
      <c r="F1071" s="8"/>
      <c r="G1071" s="9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</row>
    <row r="1072" spans="1:19" ht="15.75" customHeight="1">
      <c r="A1072" s="8">
        <v>245793346</v>
      </c>
      <c r="B1072" s="8" t="s">
        <v>10191</v>
      </c>
      <c r="C1072" s="8" t="s">
        <v>10192</v>
      </c>
      <c r="D1072" s="8" t="s">
        <v>10193</v>
      </c>
      <c r="E1072" s="9" t="s">
        <v>10194</v>
      </c>
      <c r="F1072" s="8"/>
      <c r="G1072" s="9"/>
      <c r="H1072" s="8" t="s">
        <v>8164</v>
      </c>
      <c r="I1072" s="8" t="s">
        <v>9482</v>
      </c>
      <c r="J1072" s="8"/>
      <c r="K1072" s="8"/>
      <c r="L1072" s="8"/>
      <c r="M1072" s="8"/>
      <c r="N1072" s="8"/>
      <c r="O1072" s="8"/>
      <c r="P1072" s="8"/>
      <c r="Q1072" s="8"/>
      <c r="R1072" s="8"/>
      <c r="S1072" s="8"/>
    </row>
    <row r="1073" spans="1:19" ht="15.75" customHeight="1">
      <c r="A1073" s="8">
        <v>245813630</v>
      </c>
      <c r="B1073" s="8" t="s">
        <v>8341</v>
      </c>
      <c r="C1073" s="8" t="s">
        <v>10195</v>
      </c>
      <c r="D1073" s="8" t="s">
        <v>4339</v>
      </c>
      <c r="E1073" s="9" t="s">
        <v>4340</v>
      </c>
      <c r="F1073" s="8"/>
      <c r="G1073" s="9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</row>
    <row r="1074" spans="1:19" ht="15.75" customHeight="1">
      <c r="A1074" s="8">
        <v>245813922</v>
      </c>
      <c r="B1074" s="8" t="s">
        <v>8365</v>
      </c>
      <c r="C1074" s="8" t="s">
        <v>10196</v>
      </c>
      <c r="D1074" s="8" t="s">
        <v>4343</v>
      </c>
      <c r="E1074" s="9" t="s">
        <v>4344</v>
      </c>
      <c r="F1074" s="8"/>
      <c r="G1074" s="9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</row>
    <row r="1075" spans="1:19" ht="15.75" customHeight="1">
      <c r="A1075" s="8">
        <v>245822401</v>
      </c>
      <c r="B1075" s="8" t="s">
        <v>10197</v>
      </c>
      <c r="C1075" s="8" t="s">
        <v>10198</v>
      </c>
      <c r="D1075" s="8" t="s">
        <v>4347</v>
      </c>
      <c r="E1075" s="9">
        <v>87786999562</v>
      </c>
      <c r="F1075" s="8"/>
      <c r="G1075" s="9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</row>
    <row r="1076" spans="1:19" ht="15.75" customHeight="1">
      <c r="A1076" s="8">
        <v>245824294</v>
      </c>
      <c r="B1076" s="8" t="s">
        <v>7919</v>
      </c>
      <c r="C1076" s="8" t="s">
        <v>8421</v>
      </c>
      <c r="D1076" s="8" t="s">
        <v>4349</v>
      </c>
      <c r="E1076" s="9">
        <v>79049860544</v>
      </c>
      <c r="F1076" s="8" t="s">
        <v>10199</v>
      </c>
      <c r="G1076" s="9">
        <v>0</v>
      </c>
      <c r="H1076" s="8" t="s">
        <v>8164</v>
      </c>
      <c r="I1076" s="8" t="s">
        <v>10200</v>
      </c>
      <c r="J1076" s="8"/>
      <c r="K1076" s="8"/>
      <c r="L1076" s="8"/>
      <c r="M1076" s="8"/>
      <c r="N1076" s="8"/>
      <c r="O1076" s="8"/>
      <c r="P1076" s="8"/>
      <c r="Q1076" s="8"/>
      <c r="R1076" s="8"/>
      <c r="S1076" s="8"/>
    </row>
    <row r="1077" spans="1:19" ht="15.75" customHeight="1">
      <c r="A1077" s="8">
        <v>245829969</v>
      </c>
      <c r="B1077" s="8" t="s">
        <v>8614</v>
      </c>
      <c r="C1077" s="8" t="s">
        <v>10201</v>
      </c>
      <c r="D1077" s="8" t="s">
        <v>4352</v>
      </c>
      <c r="E1077" s="9">
        <v>79194067073</v>
      </c>
      <c r="F1077" s="8"/>
      <c r="G1077" s="9"/>
      <c r="H1077" s="8" t="s">
        <v>8789</v>
      </c>
      <c r="I1077" s="8" t="s">
        <v>8441</v>
      </c>
      <c r="J1077" s="8"/>
      <c r="K1077" s="8"/>
      <c r="L1077" s="8"/>
      <c r="M1077" s="8"/>
      <c r="N1077" s="8"/>
      <c r="O1077" s="8"/>
      <c r="P1077" s="8"/>
      <c r="Q1077" s="8"/>
      <c r="R1077" s="8"/>
      <c r="S1077" s="8"/>
    </row>
    <row r="1078" spans="1:19" ht="15.75" customHeight="1">
      <c r="A1078" s="8">
        <v>245850078</v>
      </c>
      <c r="B1078" s="8" t="s">
        <v>9111</v>
      </c>
      <c r="C1078" s="8" t="s">
        <v>10202</v>
      </c>
      <c r="D1078" s="8" t="s">
        <v>10203</v>
      </c>
      <c r="E1078" s="9" t="s">
        <v>4359</v>
      </c>
      <c r="F1078" s="8"/>
      <c r="G1078" s="9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</row>
    <row r="1079" spans="1:19" ht="15.75" customHeight="1">
      <c r="A1079" s="8">
        <v>245850309</v>
      </c>
      <c r="B1079" s="8" t="s">
        <v>10204</v>
      </c>
      <c r="C1079" s="8" t="s">
        <v>10205</v>
      </c>
      <c r="D1079" s="8" t="s">
        <v>10206</v>
      </c>
      <c r="E1079" s="9" t="s">
        <v>4359</v>
      </c>
      <c r="F1079" s="8"/>
      <c r="G1079" s="9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</row>
    <row r="1080" spans="1:19" ht="15.75" customHeight="1">
      <c r="A1080" s="8">
        <v>245850556</v>
      </c>
      <c r="B1080" s="8" t="s">
        <v>8760</v>
      </c>
      <c r="C1080" s="8" t="s">
        <v>10075</v>
      </c>
      <c r="D1080" s="8" t="s">
        <v>4355</v>
      </c>
      <c r="E1080" s="9" t="s">
        <v>4356</v>
      </c>
      <c r="F1080" s="8"/>
      <c r="G1080" s="9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</row>
    <row r="1081" spans="1:19" ht="15.75" customHeight="1">
      <c r="A1081" s="8">
        <v>245865513</v>
      </c>
      <c r="B1081" s="8" t="s">
        <v>9111</v>
      </c>
      <c r="C1081" s="8" t="s">
        <v>9111</v>
      </c>
      <c r="D1081" s="8" t="s">
        <v>4358</v>
      </c>
      <c r="E1081" s="9" t="s">
        <v>4359</v>
      </c>
      <c r="F1081" s="8"/>
      <c r="G1081" s="9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</row>
    <row r="1082" spans="1:19" ht="15.75" customHeight="1">
      <c r="A1082" s="8">
        <v>245866731</v>
      </c>
      <c r="B1082" s="8" t="s">
        <v>8479</v>
      </c>
      <c r="C1082" s="8" t="s">
        <v>10207</v>
      </c>
      <c r="D1082" s="8" t="s">
        <v>4362</v>
      </c>
      <c r="E1082" s="9" t="s">
        <v>4363</v>
      </c>
      <c r="F1082" s="8"/>
      <c r="G1082" s="9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</row>
    <row r="1083" spans="1:19" ht="15.75" customHeight="1">
      <c r="A1083" s="8">
        <v>245882148</v>
      </c>
      <c r="B1083" s="8" t="s">
        <v>8434</v>
      </c>
      <c r="C1083" s="8" t="s">
        <v>10208</v>
      </c>
      <c r="D1083" s="8" t="s">
        <v>4366</v>
      </c>
      <c r="E1083" s="9">
        <v>79780837648</v>
      </c>
      <c r="F1083" s="8"/>
      <c r="G1083" s="9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</row>
    <row r="1084" spans="1:19" ht="15.75" customHeight="1">
      <c r="A1084" s="8">
        <v>245896191</v>
      </c>
      <c r="B1084" s="8" t="s">
        <v>7768</v>
      </c>
      <c r="C1084" s="8" t="s">
        <v>10209</v>
      </c>
      <c r="D1084" s="8" t="s">
        <v>4369</v>
      </c>
      <c r="E1084" s="9" t="s">
        <v>4370</v>
      </c>
      <c r="F1084" s="8"/>
      <c r="G1084" s="9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</row>
    <row r="1085" spans="1:19" ht="15.75" customHeight="1">
      <c r="A1085" s="8">
        <v>245903693</v>
      </c>
      <c r="B1085" s="8" t="s">
        <v>10210</v>
      </c>
      <c r="C1085" s="8" t="s">
        <v>10211</v>
      </c>
      <c r="D1085" s="8" t="s">
        <v>4373</v>
      </c>
      <c r="E1085" s="9" t="s">
        <v>4374</v>
      </c>
      <c r="F1085" s="8"/>
      <c r="G1085" s="9"/>
      <c r="H1085" s="8" t="s">
        <v>8164</v>
      </c>
      <c r="I1085" s="8" t="s">
        <v>10212</v>
      </c>
      <c r="J1085" s="8"/>
      <c r="K1085" s="8"/>
      <c r="L1085" s="8"/>
      <c r="M1085" s="8"/>
      <c r="N1085" s="8"/>
      <c r="O1085" s="8"/>
      <c r="P1085" s="8"/>
      <c r="Q1085" s="8"/>
      <c r="R1085" s="8"/>
      <c r="S1085" s="8"/>
    </row>
    <row r="1086" spans="1:19" ht="15.75" customHeight="1">
      <c r="A1086" s="8">
        <v>245923150</v>
      </c>
      <c r="B1086" s="8" t="s">
        <v>8283</v>
      </c>
      <c r="C1086" s="8" t="s">
        <v>10213</v>
      </c>
      <c r="D1086" s="8" t="s">
        <v>4377</v>
      </c>
      <c r="E1086" s="9" t="s">
        <v>4378</v>
      </c>
      <c r="F1086" s="8"/>
      <c r="G1086" s="9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</row>
    <row r="1087" spans="1:19" ht="15.75" customHeight="1">
      <c r="A1087" s="8">
        <v>245927135</v>
      </c>
      <c r="B1087" s="8" t="s">
        <v>8579</v>
      </c>
      <c r="C1087" s="8" t="s">
        <v>10214</v>
      </c>
      <c r="D1087" s="8" t="s">
        <v>4381</v>
      </c>
      <c r="E1087" s="9">
        <v>79183580605</v>
      </c>
      <c r="F1087" s="8"/>
      <c r="G1087" s="9"/>
      <c r="H1087" s="8" t="s">
        <v>8164</v>
      </c>
      <c r="I1087" s="8" t="s">
        <v>9161</v>
      </c>
      <c r="J1087" s="8"/>
      <c r="K1087" s="8"/>
      <c r="L1087" s="8"/>
      <c r="M1087" s="8"/>
      <c r="N1087" s="8"/>
      <c r="O1087" s="8"/>
      <c r="P1087" s="8"/>
      <c r="Q1087" s="8"/>
      <c r="R1087" s="8"/>
      <c r="S1087" s="8"/>
    </row>
    <row r="1088" spans="1:19" ht="15.75" customHeight="1">
      <c r="A1088" s="8">
        <v>245938280</v>
      </c>
      <c r="B1088" s="8" t="s">
        <v>7399</v>
      </c>
      <c r="C1088" s="8" t="s">
        <v>10215</v>
      </c>
      <c r="D1088" s="8" t="s">
        <v>4384</v>
      </c>
      <c r="E1088" s="9" t="s">
        <v>4385</v>
      </c>
      <c r="F1088" s="8"/>
      <c r="G1088" s="9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</row>
    <row r="1089" spans="1:19" ht="15.75" customHeight="1">
      <c r="A1089" s="8">
        <v>246049785</v>
      </c>
      <c r="B1089" s="8" t="s">
        <v>10216</v>
      </c>
      <c r="C1089" s="8" t="s">
        <v>10217</v>
      </c>
      <c r="D1089" s="8" t="s">
        <v>4388</v>
      </c>
      <c r="E1089" s="9" t="s">
        <v>4389</v>
      </c>
      <c r="F1089" s="8"/>
      <c r="G1089" s="9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</row>
    <row r="1090" spans="1:19" ht="15.75" customHeight="1">
      <c r="A1090" s="8">
        <v>246049936</v>
      </c>
      <c r="B1090" s="8" t="s">
        <v>10218</v>
      </c>
      <c r="C1090" s="8" t="s">
        <v>10219</v>
      </c>
      <c r="D1090" s="8" t="s">
        <v>4392</v>
      </c>
      <c r="E1090" s="9" t="s">
        <v>4393</v>
      </c>
      <c r="F1090" s="8"/>
      <c r="G1090" s="9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</row>
    <row r="1091" spans="1:19" ht="15.75" customHeight="1">
      <c r="A1091" s="8">
        <v>246064611</v>
      </c>
      <c r="B1091" s="8" t="s">
        <v>10220</v>
      </c>
      <c r="C1091" s="8" t="s">
        <v>10221</v>
      </c>
      <c r="D1091" s="8" t="s">
        <v>4396</v>
      </c>
      <c r="E1091" s="9">
        <v>8909914333</v>
      </c>
      <c r="F1091" s="8"/>
      <c r="G1091" s="9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</row>
    <row r="1092" spans="1:19" ht="15.75" customHeight="1">
      <c r="A1092" s="8">
        <v>246092286</v>
      </c>
      <c r="B1092" s="8" t="s">
        <v>10222</v>
      </c>
      <c r="C1092" s="8" t="s">
        <v>10223</v>
      </c>
      <c r="D1092" s="8" t="s">
        <v>4404</v>
      </c>
      <c r="E1092" s="9" t="s">
        <v>4405</v>
      </c>
      <c r="F1092" s="8" t="s">
        <v>10224</v>
      </c>
      <c r="G1092" s="9">
        <v>38</v>
      </c>
      <c r="H1092" s="8" t="s">
        <v>10225</v>
      </c>
      <c r="I1092" s="8" t="s">
        <v>9154</v>
      </c>
      <c r="J1092" s="8"/>
      <c r="K1092" s="8"/>
      <c r="L1092" s="8"/>
      <c r="M1092" s="8"/>
      <c r="N1092" s="8"/>
      <c r="O1092" s="8"/>
      <c r="P1092" s="8"/>
      <c r="Q1092" s="8"/>
      <c r="R1092" s="8"/>
      <c r="S1092" s="8"/>
    </row>
    <row r="1093" spans="1:19" ht="15.75" customHeight="1">
      <c r="A1093" s="8">
        <v>246099820</v>
      </c>
      <c r="B1093" s="8" t="s">
        <v>8172</v>
      </c>
      <c r="C1093" s="8" t="s">
        <v>10226</v>
      </c>
      <c r="D1093" s="8" t="s">
        <v>10227</v>
      </c>
      <c r="E1093" s="9" t="s">
        <v>10228</v>
      </c>
      <c r="F1093" s="8"/>
      <c r="G1093" s="9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</row>
    <row r="1094" spans="1:19" ht="15.75" customHeight="1">
      <c r="A1094" s="8">
        <v>246105019</v>
      </c>
      <c r="B1094" s="8" t="s">
        <v>10229</v>
      </c>
      <c r="C1094" s="8" t="s">
        <v>10230</v>
      </c>
      <c r="D1094" s="8" t="s">
        <v>4408</v>
      </c>
      <c r="E1094" s="9" t="s">
        <v>4409</v>
      </c>
      <c r="F1094" s="8"/>
      <c r="G1094" s="9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</row>
    <row r="1095" spans="1:19" ht="15.75" customHeight="1">
      <c r="A1095" s="8">
        <v>246110214</v>
      </c>
      <c r="B1095" s="8" t="s">
        <v>8717</v>
      </c>
      <c r="C1095" s="8" t="s">
        <v>10231</v>
      </c>
      <c r="D1095" s="8" t="s">
        <v>4412</v>
      </c>
      <c r="E1095" s="9">
        <v>79262229771</v>
      </c>
      <c r="F1095" s="8" t="s">
        <v>10232</v>
      </c>
      <c r="G1095" s="9">
        <v>48</v>
      </c>
      <c r="H1095" s="8" t="s">
        <v>8158</v>
      </c>
      <c r="I1095" s="8" t="s">
        <v>10233</v>
      </c>
      <c r="J1095" s="8"/>
      <c r="K1095" s="8"/>
      <c r="L1095" s="8"/>
      <c r="M1095" s="8"/>
      <c r="N1095" s="8"/>
      <c r="O1095" s="8"/>
      <c r="P1095" s="8"/>
      <c r="Q1095" s="8"/>
      <c r="R1095" s="8"/>
      <c r="S1095" s="8"/>
    </row>
    <row r="1096" spans="1:19" ht="15.75" customHeight="1">
      <c r="A1096" s="8">
        <v>246114037</v>
      </c>
      <c r="B1096" s="8" t="s">
        <v>8717</v>
      </c>
      <c r="C1096" s="8" t="s">
        <v>10234</v>
      </c>
      <c r="D1096" s="8" t="s">
        <v>4415</v>
      </c>
      <c r="E1096" s="9" t="s">
        <v>4416</v>
      </c>
      <c r="F1096" s="8" t="s">
        <v>10235</v>
      </c>
      <c r="G1096" s="9">
        <v>26</v>
      </c>
      <c r="H1096" s="8" t="s">
        <v>10236</v>
      </c>
      <c r="I1096" s="8" t="s">
        <v>8286</v>
      </c>
      <c r="J1096" s="8"/>
      <c r="K1096" s="8"/>
      <c r="L1096" s="8"/>
      <c r="M1096" s="8"/>
      <c r="N1096" s="8"/>
      <c r="O1096" s="8"/>
      <c r="P1096" s="8"/>
      <c r="Q1096" s="8"/>
      <c r="R1096" s="8"/>
      <c r="S1096" s="8"/>
    </row>
    <row r="1097" spans="1:19" ht="15.75" customHeight="1">
      <c r="A1097" s="8">
        <v>246114577</v>
      </c>
      <c r="B1097" s="8" t="s">
        <v>8283</v>
      </c>
      <c r="C1097" s="8" t="s">
        <v>10237</v>
      </c>
      <c r="D1097" s="8" t="s">
        <v>4419</v>
      </c>
      <c r="E1097" s="9" t="s">
        <v>4420</v>
      </c>
      <c r="F1097" s="8" t="s">
        <v>10238</v>
      </c>
      <c r="G1097" s="9">
        <v>41</v>
      </c>
      <c r="H1097" s="8" t="s">
        <v>8267</v>
      </c>
      <c r="I1097" s="8" t="s">
        <v>10239</v>
      </c>
      <c r="J1097" s="8"/>
      <c r="K1097" s="8"/>
      <c r="L1097" s="8"/>
      <c r="M1097" s="8"/>
      <c r="N1097" s="8"/>
      <c r="O1097" s="8"/>
      <c r="P1097" s="8"/>
      <c r="Q1097" s="8"/>
      <c r="R1097" s="8"/>
      <c r="S1097" s="8"/>
    </row>
    <row r="1098" spans="1:19" ht="15.75" customHeight="1">
      <c r="A1098" s="8">
        <v>246114872</v>
      </c>
      <c r="B1098" s="8" t="s">
        <v>8862</v>
      </c>
      <c r="C1098" s="8" t="s">
        <v>10240</v>
      </c>
      <c r="D1098" s="8" t="s">
        <v>4423</v>
      </c>
      <c r="E1098" s="9" t="s">
        <v>4424</v>
      </c>
      <c r="F1098" s="8"/>
      <c r="G1098" s="9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</row>
    <row r="1099" spans="1:19" ht="15.75" customHeight="1">
      <c r="A1099" s="8">
        <v>246120293</v>
      </c>
      <c r="B1099" s="8" t="s">
        <v>7768</v>
      </c>
      <c r="C1099" s="8" t="s">
        <v>10241</v>
      </c>
      <c r="D1099" s="8" t="s">
        <v>4427</v>
      </c>
      <c r="E1099" s="9" t="s">
        <v>4428</v>
      </c>
      <c r="F1099" s="8" t="s">
        <v>10242</v>
      </c>
      <c r="G1099" s="9">
        <v>37</v>
      </c>
      <c r="H1099" s="8" t="s">
        <v>8547</v>
      </c>
      <c r="I1099" s="8" t="s">
        <v>10243</v>
      </c>
      <c r="J1099" s="8"/>
      <c r="K1099" s="8"/>
      <c r="L1099" s="8"/>
      <c r="M1099" s="8"/>
      <c r="N1099" s="8"/>
      <c r="O1099" s="8"/>
      <c r="P1099" s="8"/>
      <c r="Q1099" s="8"/>
      <c r="R1099" s="8"/>
      <c r="S1099" s="8"/>
    </row>
    <row r="1100" spans="1:19" ht="15.75" customHeight="1">
      <c r="A1100" s="8">
        <v>246138787</v>
      </c>
      <c r="B1100" s="8" t="s">
        <v>8206</v>
      </c>
      <c r="C1100" s="8" t="s">
        <v>10244</v>
      </c>
      <c r="D1100" s="8" t="s">
        <v>4431</v>
      </c>
      <c r="E1100" s="9" t="s">
        <v>4432</v>
      </c>
      <c r="F1100" s="8"/>
      <c r="G1100" s="9"/>
      <c r="H1100" s="8" t="s">
        <v>8164</v>
      </c>
      <c r="I1100" s="8" t="s">
        <v>8245</v>
      </c>
      <c r="J1100" s="8"/>
      <c r="K1100" s="8"/>
      <c r="L1100" s="8"/>
      <c r="M1100" s="8"/>
      <c r="N1100" s="8"/>
      <c r="O1100" s="8"/>
      <c r="P1100" s="8"/>
      <c r="Q1100" s="8"/>
      <c r="R1100" s="8"/>
      <c r="S1100" s="8"/>
    </row>
    <row r="1101" spans="1:19" ht="15.75" customHeight="1">
      <c r="A1101" s="8">
        <v>246144362</v>
      </c>
      <c r="B1101" s="8" t="s">
        <v>8717</v>
      </c>
      <c r="C1101" s="8" t="s">
        <v>10245</v>
      </c>
      <c r="D1101" s="8" t="s">
        <v>4435</v>
      </c>
      <c r="E1101" s="9">
        <v>79897098175</v>
      </c>
      <c r="F1101" s="8"/>
      <c r="G1101" s="9"/>
      <c r="H1101" s="8" t="s">
        <v>8164</v>
      </c>
      <c r="I1101" s="8" t="s">
        <v>8174</v>
      </c>
      <c r="J1101" s="8"/>
      <c r="K1101" s="8"/>
      <c r="L1101" s="8"/>
      <c r="M1101" s="8"/>
      <c r="N1101" s="8"/>
      <c r="O1101" s="8"/>
      <c r="P1101" s="8"/>
      <c r="Q1101" s="8"/>
      <c r="R1101" s="8"/>
      <c r="S1101" s="8"/>
    </row>
    <row r="1102" spans="1:19" ht="15.75" customHeight="1">
      <c r="A1102" s="8">
        <v>246146430</v>
      </c>
      <c r="B1102" s="8" t="s">
        <v>10246</v>
      </c>
      <c r="C1102" s="8" t="s">
        <v>10247</v>
      </c>
      <c r="D1102" s="8" t="s">
        <v>4438</v>
      </c>
      <c r="E1102" s="9" t="s">
        <v>4439</v>
      </c>
      <c r="F1102" s="8"/>
      <c r="G1102" s="9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</row>
    <row r="1103" spans="1:19" ht="15.75" customHeight="1">
      <c r="A1103" s="8">
        <v>246148985</v>
      </c>
      <c r="B1103" s="8" t="s">
        <v>8431</v>
      </c>
      <c r="C1103" s="8" t="s">
        <v>10248</v>
      </c>
      <c r="D1103" s="8" t="s">
        <v>4442</v>
      </c>
      <c r="E1103" s="9" t="s">
        <v>4443</v>
      </c>
      <c r="F1103" s="8" t="s">
        <v>10249</v>
      </c>
      <c r="G1103" s="9">
        <v>53</v>
      </c>
      <c r="H1103" s="8" t="s">
        <v>8164</v>
      </c>
      <c r="I1103" s="8" t="s">
        <v>10250</v>
      </c>
      <c r="J1103" s="8"/>
      <c r="K1103" s="8"/>
      <c r="L1103" s="8"/>
      <c r="M1103" s="8"/>
      <c r="N1103" s="8"/>
      <c r="O1103" s="8"/>
      <c r="P1103" s="8"/>
      <c r="Q1103" s="8"/>
      <c r="R1103" s="8"/>
      <c r="S1103" s="8"/>
    </row>
    <row r="1104" spans="1:19" ht="15.75" customHeight="1">
      <c r="A1104" s="8">
        <v>246149127</v>
      </c>
      <c r="B1104" s="8" t="s">
        <v>8206</v>
      </c>
      <c r="C1104" s="8" t="s">
        <v>10251</v>
      </c>
      <c r="D1104" s="8" t="s">
        <v>4446</v>
      </c>
      <c r="E1104" s="9" t="s">
        <v>4447</v>
      </c>
      <c r="F1104" s="8"/>
      <c r="G1104" s="9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</row>
    <row r="1105" spans="1:19" ht="15.75" customHeight="1">
      <c r="A1105" s="8">
        <v>246149337</v>
      </c>
      <c r="B1105" s="8" t="s">
        <v>8206</v>
      </c>
      <c r="C1105" s="8" t="s">
        <v>10252</v>
      </c>
      <c r="D1105" s="8" t="s">
        <v>4450</v>
      </c>
      <c r="E1105" s="9">
        <v>79271322355</v>
      </c>
      <c r="F1105" s="8" t="s">
        <v>10253</v>
      </c>
      <c r="G1105" s="9">
        <v>0</v>
      </c>
      <c r="H1105" s="8" t="s">
        <v>8164</v>
      </c>
      <c r="I1105" s="8" t="s">
        <v>8536</v>
      </c>
      <c r="J1105" s="8"/>
      <c r="K1105" s="8"/>
      <c r="L1105" s="8"/>
      <c r="M1105" s="8"/>
      <c r="N1105" s="8"/>
      <c r="O1105" s="8"/>
      <c r="P1105" s="8"/>
      <c r="Q1105" s="8"/>
      <c r="R1105" s="8"/>
      <c r="S1105" s="8"/>
    </row>
    <row r="1106" spans="1:19" ht="15.75" customHeight="1">
      <c r="A1106" s="8">
        <v>246149912</v>
      </c>
      <c r="B1106" s="8" t="s">
        <v>8731</v>
      </c>
      <c r="C1106" s="8" t="s">
        <v>10254</v>
      </c>
      <c r="D1106" s="8" t="s">
        <v>4453</v>
      </c>
      <c r="E1106" s="9" t="s">
        <v>4454</v>
      </c>
      <c r="F1106" s="8" t="s">
        <v>10255</v>
      </c>
      <c r="G1106" s="9">
        <v>87</v>
      </c>
      <c r="H1106" s="8" t="s">
        <v>8164</v>
      </c>
      <c r="I1106" s="8" t="s">
        <v>10256</v>
      </c>
      <c r="J1106" s="8"/>
      <c r="K1106" s="8"/>
      <c r="L1106" s="8"/>
      <c r="M1106" s="8"/>
      <c r="N1106" s="8"/>
      <c r="O1106" s="8"/>
      <c r="P1106" s="8"/>
      <c r="Q1106" s="8"/>
      <c r="R1106" s="8"/>
      <c r="S1106" s="8"/>
    </row>
    <row r="1107" spans="1:19" ht="15.75" customHeight="1">
      <c r="A1107" s="8">
        <v>246150003</v>
      </c>
      <c r="B1107" s="8" t="s">
        <v>10257</v>
      </c>
      <c r="C1107" s="8" t="s">
        <v>10258</v>
      </c>
      <c r="D1107" s="8" t="s">
        <v>10259</v>
      </c>
      <c r="E1107" s="9">
        <v>79035135578</v>
      </c>
      <c r="F1107" s="8"/>
      <c r="G1107" s="9"/>
      <c r="H1107" s="8" t="s">
        <v>8164</v>
      </c>
      <c r="I1107" s="8" t="s">
        <v>8245</v>
      </c>
      <c r="J1107" s="8"/>
      <c r="K1107" s="8"/>
      <c r="L1107" s="8"/>
      <c r="M1107" s="8"/>
      <c r="N1107" s="8"/>
      <c r="O1107" s="8"/>
      <c r="P1107" s="8"/>
      <c r="Q1107" s="8"/>
      <c r="R1107" s="8"/>
      <c r="S1107" s="8"/>
    </row>
    <row r="1108" spans="1:19" ht="15.75" customHeight="1">
      <c r="A1108" s="8">
        <v>246150047</v>
      </c>
      <c r="B1108" s="8" t="s">
        <v>8365</v>
      </c>
      <c r="C1108" s="8" t="s">
        <v>10260</v>
      </c>
      <c r="D1108" s="8" t="s">
        <v>4457</v>
      </c>
      <c r="E1108" s="9" t="s">
        <v>4458</v>
      </c>
      <c r="F1108" s="8"/>
      <c r="G1108" s="9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</row>
    <row r="1109" spans="1:19" ht="15.75" customHeight="1">
      <c r="A1109" s="8">
        <v>246150198</v>
      </c>
      <c r="B1109" s="8" t="s">
        <v>8304</v>
      </c>
      <c r="C1109" s="8" t="s">
        <v>10261</v>
      </c>
      <c r="D1109" s="8" t="s">
        <v>4461</v>
      </c>
      <c r="E1109" s="9" t="s">
        <v>4462</v>
      </c>
      <c r="F1109" s="8"/>
      <c r="G1109" s="9"/>
      <c r="H1109" s="8" t="s">
        <v>8164</v>
      </c>
      <c r="I1109" s="8" t="s">
        <v>10262</v>
      </c>
      <c r="J1109" s="8"/>
      <c r="K1109" s="8"/>
      <c r="L1109" s="8"/>
      <c r="M1109" s="8"/>
      <c r="N1109" s="8"/>
      <c r="O1109" s="8"/>
      <c r="P1109" s="8"/>
      <c r="Q1109" s="8"/>
      <c r="R1109" s="8"/>
      <c r="S1109" s="8"/>
    </row>
    <row r="1110" spans="1:19" ht="15.75" customHeight="1">
      <c r="A1110" s="8">
        <v>246150438</v>
      </c>
      <c r="B1110" s="8" t="s">
        <v>8186</v>
      </c>
      <c r="C1110" s="8" t="s">
        <v>10263</v>
      </c>
      <c r="D1110" s="8" t="s">
        <v>4465</v>
      </c>
      <c r="E1110" s="9" t="s">
        <v>4466</v>
      </c>
      <c r="F1110" s="8"/>
      <c r="G1110" s="9"/>
      <c r="H1110" s="8" t="s">
        <v>8164</v>
      </c>
      <c r="I1110" s="8" t="s">
        <v>8245</v>
      </c>
      <c r="J1110" s="8"/>
      <c r="K1110" s="8"/>
      <c r="L1110" s="8"/>
      <c r="M1110" s="8"/>
      <c r="N1110" s="8"/>
      <c r="O1110" s="8"/>
      <c r="P1110" s="8"/>
      <c r="Q1110" s="8"/>
      <c r="R1110" s="8"/>
      <c r="S1110" s="8"/>
    </row>
    <row r="1111" spans="1:19" ht="15.75" customHeight="1">
      <c r="A1111" s="8">
        <v>246151575</v>
      </c>
      <c r="B1111" s="8" t="s">
        <v>8206</v>
      </c>
      <c r="C1111" s="8" t="s">
        <v>10264</v>
      </c>
      <c r="D1111" s="8" t="s">
        <v>4469</v>
      </c>
      <c r="E1111" s="9" t="s">
        <v>4470</v>
      </c>
      <c r="F1111" s="8"/>
      <c r="G1111" s="9"/>
      <c r="H1111" s="8" t="s">
        <v>8164</v>
      </c>
      <c r="I1111" s="8" t="s">
        <v>8245</v>
      </c>
      <c r="J1111" s="8"/>
      <c r="K1111" s="8"/>
      <c r="L1111" s="8"/>
      <c r="M1111" s="8"/>
      <c r="N1111" s="8"/>
      <c r="O1111" s="8"/>
      <c r="P1111" s="8"/>
      <c r="Q1111" s="8"/>
      <c r="R1111" s="8"/>
      <c r="S1111" s="8"/>
    </row>
    <row r="1112" spans="1:19" ht="15.75" customHeight="1">
      <c r="A1112" s="8">
        <v>246154408</v>
      </c>
      <c r="B1112" s="8" t="s">
        <v>8479</v>
      </c>
      <c r="C1112" s="8" t="s">
        <v>10265</v>
      </c>
      <c r="D1112" s="8" t="s">
        <v>4473</v>
      </c>
      <c r="E1112" s="9">
        <v>79517331777</v>
      </c>
      <c r="F1112" s="8"/>
      <c r="G1112" s="9"/>
      <c r="H1112" s="8" t="s">
        <v>8164</v>
      </c>
      <c r="I1112" s="8" t="s">
        <v>10266</v>
      </c>
      <c r="J1112" s="8"/>
      <c r="K1112" s="8"/>
      <c r="L1112" s="8"/>
      <c r="M1112" s="8"/>
      <c r="N1112" s="8"/>
      <c r="O1112" s="8"/>
      <c r="P1112" s="8"/>
      <c r="Q1112" s="8"/>
      <c r="R1112" s="8"/>
      <c r="S1112" s="8"/>
    </row>
    <row r="1113" spans="1:19" ht="15.75" customHeight="1">
      <c r="A1113" s="8">
        <v>246154652</v>
      </c>
      <c r="B1113" s="8" t="s">
        <v>8304</v>
      </c>
      <c r="C1113" s="8" t="s">
        <v>10267</v>
      </c>
      <c r="D1113" s="8" t="s">
        <v>4476</v>
      </c>
      <c r="E1113" s="9">
        <v>79276962637</v>
      </c>
      <c r="F1113" s="8" t="s">
        <v>10268</v>
      </c>
      <c r="G1113" s="9">
        <v>56</v>
      </c>
      <c r="H1113" s="8" t="s">
        <v>8789</v>
      </c>
      <c r="I1113" s="8" t="s">
        <v>10269</v>
      </c>
      <c r="J1113" s="8"/>
      <c r="K1113" s="8"/>
      <c r="L1113" s="8"/>
      <c r="M1113" s="8"/>
      <c r="N1113" s="8"/>
      <c r="O1113" s="8"/>
      <c r="P1113" s="8"/>
      <c r="Q1113" s="8"/>
      <c r="R1113" s="8"/>
      <c r="S1113" s="8"/>
    </row>
    <row r="1114" spans="1:19" ht="15.75" customHeight="1">
      <c r="A1114" s="8">
        <v>246156173</v>
      </c>
      <c r="B1114" s="8" t="s">
        <v>8581</v>
      </c>
      <c r="C1114" s="8" t="s">
        <v>10270</v>
      </c>
      <c r="D1114" s="8" t="s">
        <v>10271</v>
      </c>
      <c r="E1114" s="9" t="s">
        <v>10272</v>
      </c>
      <c r="F1114" s="8"/>
      <c r="G1114" s="9"/>
      <c r="H1114" s="8" t="s">
        <v>10273</v>
      </c>
      <c r="I1114" s="8" t="s">
        <v>8499</v>
      </c>
      <c r="J1114" s="8"/>
      <c r="K1114" s="8"/>
      <c r="L1114" s="8"/>
      <c r="M1114" s="8"/>
      <c r="N1114" s="8"/>
      <c r="O1114" s="8"/>
      <c r="P1114" s="8"/>
      <c r="Q1114" s="8"/>
      <c r="R1114" s="8"/>
      <c r="S1114" s="8"/>
    </row>
    <row r="1115" spans="1:19" ht="15.75" customHeight="1">
      <c r="A1115" s="8">
        <v>246156459</v>
      </c>
      <c r="B1115" s="8" t="s">
        <v>10274</v>
      </c>
      <c r="C1115" s="8" t="s">
        <v>10275</v>
      </c>
      <c r="D1115" s="8" t="s">
        <v>4479</v>
      </c>
      <c r="E1115" s="9">
        <v>79680146965</v>
      </c>
      <c r="F1115" s="8"/>
      <c r="G1115" s="9"/>
      <c r="H1115" s="8" t="s">
        <v>8164</v>
      </c>
      <c r="I1115" s="8" t="s">
        <v>8245</v>
      </c>
      <c r="J1115" s="8"/>
      <c r="K1115" s="8"/>
      <c r="L1115" s="8"/>
      <c r="M1115" s="8"/>
      <c r="N1115" s="8"/>
      <c r="O1115" s="8"/>
      <c r="P1115" s="8"/>
      <c r="Q1115" s="8"/>
      <c r="R1115" s="8"/>
      <c r="S1115" s="8"/>
    </row>
    <row r="1116" spans="1:19" ht="15.75" customHeight="1">
      <c r="A1116" s="8">
        <v>246157177</v>
      </c>
      <c r="B1116" s="8" t="s">
        <v>8206</v>
      </c>
      <c r="C1116" s="8" t="s">
        <v>10276</v>
      </c>
      <c r="D1116" s="8" t="s">
        <v>4482</v>
      </c>
      <c r="E1116" s="9" t="s">
        <v>4483</v>
      </c>
      <c r="F1116" s="8"/>
      <c r="G1116" s="9"/>
      <c r="H1116" s="8" t="s">
        <v>8164</v>
      </c>
      <c r="I1116" s="8" t="s">
        <v>10277</v>
      </c>
      <c r="J1116" s="8"/>
      <c r="K1116" s="8"/>
      <c r="L1116" s="8"/>
      <c r="M1116" s="8"/>
      <c r="N1116" s="8"/>
      <c r="O1116" s="8"/>
      <c r="P1116" s="8"/>
      <c r="Q1116" s="8"/>
      <c r="R1116" s="8"/>
      <c r="S1116" s="8"/>
    </row>
    <row r="1117" spans="1:19" ht="15.75" customHeight="1">
      <c r="A1117" s="8">
        <v>246160836</v>
      </c>
      <c r="B1117" s="8" t="s">
        <v>8206</v>
      </c>
      <c r="C1117" s="8" t="s">
        <v>10278</v>
      </c>
      <c r="D1117" s="8" t="s">
        <v>4486</v>
      </c>
      <c r="E1117" s="9" t="s">
        <v>4487</v>
      </c>
      <c r="F1117" s="8" t="s">
        <v>10279</v>
      </c>
      <c r="G1117" s="9">
        <v>52</v>
      </c>
      <c r="H1117" s="8" t="s">
        <v>8164</v>
      </c>
      <c r="I1117" s="8" t="s">
        <v>8928</v>
      </c>
      <c r="J1117" s="8"/>
      <c r="K1117" s="8"/>
      <c r="L1117" s="8"/>
      <c r="M1117" s="8"/>
      <c r="N1117" s="8"/>
      <c r="O1117" s="8"/>
      <c r="P1117" s="8"/>
      <c r="Q1117" s="8"/>
      <c r="R1117" s="8"/>
      <c r="S1117" s="8"/>
    </row>
    <row r="1118" spans="1:19" ht="15.75" customHeight="1">
      <c r="A1118" s="8">
        <v>246162329</v>
      </c>
      <c r="B1118" s="8" t="s">
        <v>8717</v>
      </c>
      <c r="C1118" s="8" t="s">
        <v>10280</v>
      </c>
      <c r="D1118" s="8" t="s">
        <v>4490</v>
      </c>
      <c r="E1118" s="9">
        <v>79169069467</v>
      </c>
      <c r="F1118" s="8" t="s">
        <v>10281</v>
      </c>
      <c r="G1118" s="9">
        <v>28</v>
      </c>
      <c r="H1118" s="8" t="s">
        <v>8164</v>
      </c>
      <c r="I1118" s="8" t="s">
        <v>8165</v>
      </c>
      <c r="J1118" s="8"/>
      <c r="K1118" s="8"/>
      <c r="L1118" s="8"/>
      <c r="M1118" s="8"/>
      <c r="N1118" s="8"/>
      <c r="O1118" s="8"/>
      <c r="P1118" s="8"/>
      <c r="Q1118" s="8"/>
      <c r="R1118" s="8"/>
      <c r="S1118" s="8"/>
    </row>
    <row r="1119" spans="1:19" ht="15.75" customHeight="1">
      <c r="A1119" s="8">
        <v>246162803</v>
      </c>
      <c r="B1119" s="8" t="s">
        <v>10282</v>
      </c>
      <c r="C1119" s="8" t="s">
        <v>10283</v>
      </c>
      <c r="D1119" s="8" t="s">
        <v>4493</v>
      </c>
      <c r="E1119" s="9" t="s">
        <v>4494</v>
      </c>
      <c r="F1119" s="8"/>
      <c r="G1119" s="9"/>
      <c r="H1119" s="8" t="s">
        <v>9435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</row>
    <row r="1120" spans="1:19" ht="15.75" customHeight="1">
      <c r="A1120" s="8">
        <v>246163574</v>
      </c>
      <c r="B1120" s="8" t="s">
        <v>8452</v>
      </c>
      <c r="C1120" s="8" t="s">
        <v>8435</v>
      </c>
      <c r="D1120" s="8" t="s">
        <v>4497</v>
      </c>
      <c r="E1120" s="9" t="s">
        <v>4498</v>
      </c>
      <c r="F1120" s="8"/>
      <c r="G1120" s="9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</row>
    <row r="1121" spans="1:19" ht="15.75" customHeight="1">
      <c r="A1121" s="8">
        <v>246167104</v>
      </c>
      <c r="B1121" s="8" t="s">
        <v>8643</v>
      </c>
      <c r="C1121" s="8" t="s">
        <v>10284</v>
      </c>
      <c r="D1121" s="8" t="s">
        <v>4501</v>
      </c>
      <c r="E1121" s="9" t="s">
        <v>4502</v>
      </c>
      <c r="F1121" s="8"/>
      <c r="G1121" s="9"/>
      <c r="H1121" s="8" t="s">
        <v>8164</v>
      </c>
      <c r="I1121" s="8" t="s">
        <v>10285</v>
      </c>
      <c r="J1121" s="8"/>
      <c r="K1121" s="8"/>
      <c r="L1121" s="8"/>
      <c r="M1121" s="8"/>
      <c r="N1121" s="8"/>
      <c r="O1121" s="8"/>
      <c r="P1121" s="8"/>
      <c r="Q1121" s="8"/>
      <c r="R1121" s="8"/>
      <c r="S1121" s="8"/>
    </row>
    <row r="1122" spans="1:19" ht="15.75" customHeight="1">
      <c r="A1122" s="8">
        <v>246172938</v>
      </c>
      <c r="B1122" s="8" t="s">
        <v>10286</v>
      </c>
      <c r="C1122" s="8" t="s">
        <v>10287</v>
      </c>
      <c r="D1122" s="8" t="s">
        <v>4505</v>
      </c>
      <c r="E1122" s="9" t="s">
        <v>4506</v>
      </c>
      <c r="F1122" s="8"/>
      <c r="G1122" s="9"/>
      <c r="H1122" s="8" t="s">
        <v>8164</v>
      </c>
      <c r="I1122" s="8" t="s">
        <v>8245</v>
      </c>
      <c r="J1122" s="8"/>
      <c r="K1122" s="8"/>
      <c r="L1122" s="8"/>
      <c r="M1122" s="8"/>
      <c r="N1122" s="8"/>
      <c r="O1122" s="8"/>
      <c r="P1122" s="8"/>
      <c r="Q1122" s="8"/>
      <c r="R1122" s="8"/>
      <c r="S1122" s="8"/>
    </row>
    <row r="1123" spans="1:19" ht="15.75" customHeight="1">
      <c r="A1123" s="8">
        <v>246177027</v>
      </c>
      <c r="B1123" s="8" t="s">
        <v>10288</v>
      </c>
      <c r="C1123" s="8" t="s">
        <v>10289</v>
      </c>
      <c r="D1123" s="8" t="s">
        <v>4509</v>
      </c>
      <c r="E1123" s="9" t="s">
        <v>4510</v>
      </c>
      <c r="F1123" s="8"/>
      <c r="G1123" s="9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</row>
    <row r="1124" spans="1:19" ht="15.75" customHeight="1">
      <c r="A1124" s="8">
        <v>246184089</v>
      </c>
      <c r="B1124" s="8" t="s">
        <v>8206</v>
      </c>
      <c r="C1124" s="8" t="s">
        <v>8867</v>
      </c>
      <c r="D1124" s="8" t="s">
        <v>4513</v>
      </c>
      <c r="E1124" s="9" t="s">
        <v>4514</v>
      </c>
      <c r="F1124" s="8" t="s">
        <v>10290</v>
      </c>
      <c r="G1124" s="9">
        <v>47</v>
      </c>
      <c r="H1124" s="8" t="s">
        <v>8164</v>
      </c>
      <c r="I1124" s="8" t="s">
        <v>8868</v>
      </c>
      <c r="J1124" s="8"/>
      <c r="K1124" s="8"/>
      <c r="L1124" s="8"/>
      <c r="M1124" s="8"/>
      <c r="N1124" s="8"/>
      <c r="O1124" s="8"/>
      <c r="P1124" s="8"/>
      <c r="Q1124" s="8"/>
      <c r="R1124" s="8"/>
      <c r="S1124" s="8"/>
    </row>
    <row r="1125" spans="1:19" ht="15.75" customHeight="1">
      <c r="A1125" s="8">
        <v>246188158</v>
      </c>
      <c r="B1125" s="8" t="s">
        <v>8694</v>
      </c>
      <c r="C1125" s="8" t="s">
        <v>10291</v>
      </c>
      <c r="D1125" s="8" t="s">
        <v>4517</v>
      </c>
      <c r="E1125" s="9" t="s">
        <v>4518</v>
      </c>
      <c r="F1125" s="8"/>
      <c r="G1125" s="9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</row>
    <row r="1126" spans="1:19" ht="15.75" customHeight="1">
      <c r="A1126" s="8">
        <v>246190981</v>
      </c>
      <c r="B1126" s="8" t="s">
        <v>10292</v>
      </c>
      <c r="C1126" s="8" t="s">
        <v>10293</v>
      </c>
      <c r="D1126" s="8" t="s">
        <v>4521</v>
      </c>
      <c r="E1126" s="9" t="s">
        <v>4522</v>
      </c>
      <c r="F1126" s="8"/>
      <c r="G1126" s="9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</row>
    <row r="1127" spans="1:19" ht="15.75" customHeight="1">
      <c r="A1127" s="8">
        <v>246191347</v>
      </c>
      <c r="B1127" s="8" t="s">
        <v>8234</v>
      </c>
      <c r="C1127" s="8" t="s">
        <v>9485</v>
      </c>
      <c r="D1127" s="8" t="s">
        <v>4525</v>
      </c>
      <c r="E1127" s="9" t="s">
        <v>4526</v>
      </c>
      <c r="F1127" s="8"/>
      <c r="G1127" s="9"/>
      <c r="H1127" s="8" t="s">
        <v>8164</v>
      </c>
      <c r="I1127" s="8" t="s">
        <v>10294</v>
      </c>
      <c r="J1127" s="8"/>
      <c r="K1127" s="8"/>
      <c r="L1127" s="8"/>
      <c r="M1127" s="8"/>
      <c r="N1127" s="8"/>
      <c r="O1127" s="8"/>
      <c r="P1127" s="8"/>
      <c r="Q1127" s="8"/>
      <c r="R1127" s="8"/>
      <c r="S1127" s="8"/>
    </row>
    <row r="1128" spans="1:19" ht="15.75" customHeight="1">
      <c r="A1128" s="8">
        <v>246197085</v>
      </c>
      <c r="B1128" s="8" t="s">
        <v>8895</v>
      </c>
      <c r="C1128" s="8" t="s">
        <v>10295</v>
      </c>
      <c r="D1128" s="8" t="s">
        <v>4529</v>
      </c>
      <c r="E1128" s="9">
        <v>79999999999</v>
      </c>
      <c r="F1128" s="8"/>
      <c r="G1128" s="9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</row>
    <row r="1129" spans="1:19" ht="15.75" customHeight="1">
      <c r="A1129" s="8">
        <v>246200657</v>
      </c>
      <c r="B1129" s="8" t="s">
        <v>10296</v>
      </c>
      <c r="C1129" s="8" t="s">
        <v>10297</v>
      </c>
      <c r="D1129" s="8" t="s">
        <v>4532</v>
      </c>
      <c r="E1129" s="9">
        <v>79312331849</v>
      </c>
      <c r="F1129" s="8"/>
      <c r="G1129" s="9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</row>
    <row r="1130" spans="1:19" ht="15.75" customHeight="1">
      <c r="A1130" s="8">
        <v>246202188</v>
      </c>
      <c r="B1130" s="8" t="s">
        <v>8431</v>
      </c>
      <c r="C1130" s="8" t="s">
        <v>10298</v>
      </c>
      <c r="D1130" s="8" t="s">
        <v>4535</v>
      </c>
      <c r="E1130" s="9">
        <v>79085729595</v>
      </c>
      <c r="F1130" s="8" t="s">
        <v>10299</v>
      </c>
      <c r="G1130" s="9">
        <v>52</v>
      </c>
      <c r="H1130" s="8" t="s">
        <v>8789</v>
      </c>
      <c r="I1130" s="8" t="s">
        <v>8441</v>
      </c>
      <c r="J1130" s="8"/>
      <c r="K1130" s="8"/>
      <c r="L1130" s="8"/>
      <c r="M1130" s="8"/>
      <c r="N1130" s="8"/>
      <c r="O1130" s="8"/>
      <c r="P1130" s="8"/>
      <c r="Q1130" s="8"/>
      <c r="R1130" s="8"/>
      <c r="S1130" s="8"/>
    </row>
    <row r="1131" spans="1:19" ht="15.75" customHeight="1">
      <c r="A1131" s="8">
        <v>246203080</v>
      </c>
      <c r="B1131" s="8" t="s">
        <v>8283</v>
      </c>
      <c r="C1131" s="8" t="s">
        <v>10300</v>
      </c>
      <c r="D1131" s="8" t="s">
        <v>4538</v>
      </c>
      <c r="E1131" s="9" t="s">
        <v>4539</v>
      </c>
      <c r="F1131" s="8"/>
      <c r="G1131" s="9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</row>
    <row r="1132" spans="1:19" ht="15.75" customHeight="1">
      <c r="A1132" s="8">
        <v>246204374</v>
      </c>
      <c r="B1132" s="8" t="s">
        <v>8234</v>
      </c>
      <c r="C1132" s="8" t="s">
        <v>10301</v>
      </c>
      <c r="D1132" s="8" t="s">
        <v>4542</v>
      </c>
      <c r="E1132" s="9">
        <v>79103681391</v>
      </c>
      <c r="F1132" s="8"/>
      <c r="G1132" s="9"/>
      <c r="H1132" s="8" t="s">
        <v>8164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</row>
    <row r="1133" spans="1:19" ht="15.75" customHeight="1">
      <c r="A1133" s="8">
        <v>246204515</v>
      </c>
      <c r="B1133" s="8" t="s">
        <v>10302</v>
      </c>
      <c r="C1133" s="8" t="s">
        <v>10303</v>
      </c>
      <c r="D1133" s="8" t="s">
        <v>4545</v>
      </c>
      <c r="E1133" s="9">
        <v>79081233883</v>
      </c>
      <c r="F1133" s="8"/>
      <c r="G1133" s="9"/>
      <c r="H1133" s="8" t="s">
        <v>8164</v>
      </c>
      <c r="I1133" s="8" t="s">
        <v>10304</v>
      </c>
      <c r="J1133" s="8"/>
      <c r="K1133" s="8"/>
      <c r="L1133" s="8"/>
      <c r="M1133" s="8"/>
      <c r="N1133" s="8"/>
      <c r="O1133" s="8"/>
      <c r="P1133" s="8"/>
      <c r="Q1133" s="8"/>
      <c r="R1133" s="8"/>
      <c r="S1133" s="8"/>
    </row>
    <row r="1134" spans="1:19" ht="15.75" customHeight="1">
      <c r="A1134" s="8">
        <v>246216648</v>
      </c>
      <c r="B1134" s="8" t="s">
        <v>7399</v>
      </c>
      <c r="C1134" s="8" t="s">
        <v>10305</v>
      </c>
      <c r="D1134" s="8" t="s">
        <v>4548</v>
      </c>
      <c r="E1134" s="9" t="s">
        <v>4549</v>
      </c>
      <c r="F1134" s="8"/>
      <c r="G1134" s="9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</row>
    <row r="1135" spans="1:19" ht="15.75" customHeight="1">
      <c r="A1135" s="8">
        <v>246220826</v>
      </c>
      <c r="B1135" s="8" t="s">
        <v>8283</v>
      </c>
      <c r="C1135" s="8" t="s">
        <v>10306</v>
      </c>
      <c r="D1135" s="8" t="s">
        <v>10307</v>
      </c>
      <c r="E1135" s="9">
        <v>79031930091</v>
      </c>
      <c r="F1135" s="8"/>
      <c r="G1135" s="9"/>
      <c r="H1135" s="8" t="s">
        <v>8164</v>
      </c>
      <c r="I1135" s="8" t="s">
        <v>8245</v>
      </c>
      <c r="J1135" s="8"/>
      <c r="K1135" s="8"/>
      <c r="L1135" s="8"/>
      <c r="M1135" s="8"/>
      <c r="N1135" s="8"/>
      <c r="O1135" s="8"/>
      <c r="P1135" s="8"/>
      <c r="Q1135" s="8"/>
      <c r="R1135" s="8"/>
      <c r="S1135" s="8"/>
    </row>
    <row r="1136" spans="1:19" ht="15.75" customHeight="1">
      <c r="A1136" s="8">
        <v>246221085</v>
      </c>
      <c r="B1136" s="8" t="s">
        <v>8341</v>
      </c>
      <c r="C1136" s="8" t="s">
        <v>10308</v>
      </c>
      <c r="D1136" s="8" t="s">
        <v>4552</v>
      </c>
      <c r="E1136" s="9" t="s">
        <v>4553</v>
      </c>
      <c r="F1136" s="8"/>
      <c r="G1136" s="9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</row>
    <row r="1137" spans="1:19" ht="15.75" customHeight="1">
      <c r="A1137" s="8">
        <v>246221583</v>
      </c>
      <c r="B1137" s="8" t="s">
        <v>8206</v>
      </c>
      <c r="C1137" s="8" t="s">
        <v>10309</v>
      </c>
      <c r="D1137" s="8" t="s">
        <v>4556</v>
      </c>
      <c r="E1137" s="9">
        <v>79276030535</v>
      </c>
      <c r="F1137" s="8"/>
      <c r="G1137" s="9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</row>
    <row r="1138" spans="1:19" ht="15.75" customHeight="1">
      <c r="A1138" s="8">
        <v>246226741</v>
      </c>
      <c r="B1138" s="8" t="s">
        <v>9358</v>
      </c>
      <c r="C1138" s="8" t="s">
        <v>10310</v>
      </c>
      <c r="D1138" s="8" t="s">
        <v>4559</v>
      </c>
      <c r="E1138" s="9" t="s">
        <v>4560</v>
      </c>
      <c r="F1138" s="8"/>
      <c r="G1138" s="9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</row>
    <row r="1139" spans="1:19" ht="15.75" customHeight="1">
      <c r="A1139" s="8">
        <v>246226894</v>
      </c>
      <c r="B1139" s="8" t="s">
        <v>10311</v>
      </c>
      <c r="C1139" s="8" t="s">
        <v>10312</v>
      </c>
      <c r="D1139" s="8" t="s">
        <v>4563</v>
      </c>
      <c r="E1139" s="9">
        <v>87771688116</v>
      </c>
      <c r="F1139" s="8"/>
      <c r="G1139" s="9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</row>
    <row r="1140" spans="1:19" ht="15.75" customHeight="1">
      <c r="A1140" s="8">
        <v>246227167</v>
      </c>
      <c r="B1140" s="8" t="s">
        <v>8393</v>
      </c>
      <c r="C1140" s="8" t="s">
        <v>10313</v>
      </c>
      <c r="D1140" s="8" t="s">
        <v>4566</v>
      </c>
      <c r="E1140" s="9" t="s">
        <v>4567</v>
      </c>
      <c r="F1140" s="8"/>
      <c r="G1140" s="9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</row>
    <row r="1141" spans="1:19" ht="15.75" customHeight="1">
      <c r="A1141" s="8">
        <v>246227247</v>
      </c>
      <c r="B1141" s="8" t="s">
        <v>8773</v>
      </c>
      <c r="C1141" s="8" t="s">
        <v>10314</v>
      </c>
      <c r="D1141" s="8" t="s">
        <v>4570</v>
      </c>
      <c r="E1141" s="9">
        <v>87051837757</v>
      </c>
      <c r="F1141" s="8"/>
      <c r="G1141" s="9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</row>
    <row r="1142" spans="1:19" ht="15.75" customHeight="1">
      <c r="A1142" s="8">
        <v>246227284</v>
      </c>
      <c r="B1142" s="8" t="s">
        <v>8895</v>
      </c>
      <c r="C1142" s="8" t="s">
        <v>9609</v>
      </c>
      <c r="D1142" s="8" t="s">
        <v>4573</v>
      </c>
      <c r="E1142" s="9" t="s">
        <v>4574</v>
      </c>
      <c r="F1142" s="8"/>
      <c r="G1142" s="9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</row>
    <row r="1143" spans="1:19" ht="15.75" customHeight="1">
      <c r="A1143" s="8">
        <v>246227795</v>
      </c>
      <c r="B1143" s="8" t="s">
        <v>10315</v>
      </c>
      <c r="C1143" s="8" t="s">
        <v>10316</v>
      </c>
      <c r="D1143" s="8" t="s">
        <v>4577</v>
      </c>
      <c r="E1143" s="9" t="s">
        <v>4578</v>
      </c>
      <c r="F1143" s="8"/>
      <c r="G1143" s="9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</row>
    <row r="1144" spans="1:19" ht="15.75" customHeight="1">
      <c r="A1144" s="8">
        <v>246228188</v>
      </c>
      <c r="B1144" s="8" t="s">
        <v>8479</v>
      </c>
      <c r="C1144" s="8" t="s">
        <v>10317</v>
      </c>
      <c r="D1144" s="8" t="s">
        <v>4581</v>
      </c>
      <c r="E1144" s="9" t="s">
        <v>4582</v>
      </c>
      <c r="F1144" s="8"/>
      <c r="G1144" s="9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</row>
    <row r="1145" spans="1:19" ht="15.75" customHeight="1">
      <c r="A1145" s="8">
        <v>246228254</v>
      </c>
      <c r="B1145" s="8" t="s">
        <v>10318</v>
      </c>
      <c r="C1145" s="8" t="s">
        <v>10319</v>
      </c>
      <c r="D1145" s="8" t="s">
        <v>4585</v>
      </c>
      <c r="E1145" s="9">
        <v>88058286181</v>
      </c>
      <c r="F1145" s="8" t="s">
        <v>10320</v>
      </c>
      <c r="G1145" s="9">
        <v>30</v>
      </c>
      <c r="H1145" s="8" t="s">
        <v>10321</v>
      </c>
      <c r="I1145" s="8" t="s">
        <v>10322</v>
      </c>
      <c r="J1145" s="8"/>
      <c r="K1145" s="8"/>
      <c r="L1145" s="8"/>
      <c r="M1145" s="8"/>
      <c r="N1145" s="8"/>
      <c r="O1145" s="8"/>
      <c r="P1145" s="8"/>
      <c r="Q1145" s="8"/>
      <c r="R1145" s="8"/>
      <c r="S1145" s="8"/>
    </row>
    <row r="1146" spans="1:19" ht="15.75" customHeight="1">
      <c r="A1146" s="8">
        <v>246228444</v>
      </c>
      <c r="B1146" s="8" t="s">
        <v>10323</v>
      </c>
      <c r="C1146" s="8" t="s">
        <v>10324</v>
      </c>
      <c r="D1146" s="8" t="s">
        <v>4588</v>
      </c>
      <c r="E1146" s="9">
        <v>9098909085002</v>
      </c>
      <c r="F1146" s="8"/>
      <c r="G1146" s="9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</row>
    <row r="1147" spans="1:19" ht="15.75" customHeight="1">
      <c r="A1147" s="8">
        <v>246228580</v>
      </c>
      <c r="B1147" s="8" t="s">
        <v>10325</v>
      </c>
      <c r="C1147" s="8" t="s">
        <v>10326</v>
      </c>
      <c r="D1147" s="8" t="s">
        <v>10327</v>
      </c>
      <c r="E1147" s="9" t="s">
        <v>10328</v>
      </c>
      <c r="F1147" s="8"/>
      <c r="G1147" s="9"/>
      <c r="H1147" s="8" t="s">
        <v>8463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</row>
    <row r="1148" spans="1:19" ht="15.75" customHeight="1">
      <c r="A1148" s="8">
        <v>246228712</v>
      </c>
      <c r="B1148" s="8" t="s">
        <v>8883</v>
      </c>
      <c r="C1148" s="8" t="s">
        <v>9903</v>
      </c>
      <c r="D1148" s="8" t="s">
        <v>4591</v>
      </c>
      <c r="E1148" s="9" t="s">
        <v>4592</v>
      </c>
      <c r="F1148" s="8"/>
      <c r="G1148" s="9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</row>
    <row r="1149" spans="1:19" ht="15.75" customHeight="1">
      <c r="A1149" s="8">
        <v>246228796</v>
      </c>
      <c r="B1149" s="8" t="s">
        <v>10329</v>
      </c>
      <c r="C1149" s="8" t="s">
        <v>10330</v>
      </c>
      <c r="D1149" s="8" t="s">
        <v>4595</v>
      </c>
      <c r="E1149" s="9" t="s">
        <v>4596</v>
      </c>
      <c r="F1149" s="8"/>
      <c r="G1149" s="9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</row>
    <row r="1150" spans="1:19" ht="15.75" customHeight="1">
      <c r="A1150" s="8">
        <v>246228829</v>
      </c>
      <c r="B1150" s="8" t="s">
        <v>10331</v>
      </c>
      <c r="C1150" s="8" t="s">
        <v>10332</v>
      </c>
      <c r="D1150" s="8" t="s">
        <v>4599</v>
      </c>
      <c r="E1150" s="9" t="s">
        <v>4600</v>
      </c>
      <c r="F1150" s="8"/>
      <c r="G1150" s="9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</row>
    <row r="1151" spans="1:19" ht="15.75" customHeight="1">
      <c r="A1151" s="8">
        <v>246229039</v>
      </c>
      <c r="B1151" s="8" t="s">
        <v>10333</v>
      </c>
      <c r="C1151" s="8" t="s">
        <v>10334</v>
      </c>
      <c r="D1151" s="8" t="s">
        <v>4603</v>
      </c>
      <c r="E1151" s="9">
        <v>87718492128</v>
      </c>
      <c r="F1151" s="8"/>
      <c r="G1151" s="9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</row>
    <row r="1152" spans="1:19" ht="15.75" customHeight="1">
      <c r="A1152" s="8">
        <v>246229366</v>
      </c>
      <c r="B1152" s="8" t="s">
        <v>8773</v>
      </c>
      <c r="C1152" s="8" t="s">
        <v>10335</v>
      </c>
      <c r="D1152" s="8" t="s">
        <v>4606</v>
      </c>
      <c r="E1152" s="9">
        <v>972725727</v>
      </c>
      <c r="F1152" s="8"/>
      <c r="G1152" s="9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</row>
    <row r="1153" spans="1:19" ht="15.75" customHeight="1">
      <c r="A1153" s="8">
        <v>246229932</v>
      </c>
      <c r="B1153" s="8" t="s">
        <v>10336</v>
      </c>
      <c r="C1153" s="8" t="s">
        <v>10337</v>
      </c>
      <c r="D1153" s="8" t="s">
        <v>4609</v>
      </c>
      <c r="E1153" s="9" t="s">
        <v>4610</v>
      </c>
      <c r="F1153" s="8"/>
      <c r="G1153" s="9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</row>
    <row r="1154" spans="1:19" ht="15.75" customHeight="1">
      <c r="A1154" s="8">
        <v>246230299</v>
      </c>
      <c r="B1154" s="8" t="s">
        <v>8643</v>
      </c>
      <c r="C1154" s="8" t="s">
        <v>10338</v>
      </c>
      <c r="D1154" s="8" t="s">
        <v>4613</v>
      </c>
      <c r="E1154" s="9" t="s">
        <v>4614</v>
      </c>
      <c r="F1154" s="8"/>
      <c r="G1154" s="9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</row>
    <row r="1155" spans="1:19" ht="15.75" customHeight="1">
      <c r="A1155" s="8">
        <v>246231060</v>
      </c>
      <c r="B1155" s="8" t="s">
        <v>10339</v>
      </c>
      <c r="C1155" s="8" t="s">
        <v>10340</v>
      </c>
      <c r="D1155" s="8" t="s">
        <v>4617</v>
      </c>
      <c r="E1155" s="9" t="s">
        <v>4618</v>
      </c>
      <c r="F1155" s="8"/>
      <c r="G1155" s="9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</row>
    <row r="1156" spans="1:19" ht="15.75" customHeight="1">
      <c r="A1156" s="8">
        <v>246231158</v>
      </c>
      <c r="B1156" s="8" t="s">
        <v>10341</v>
      </c>
      <c r="C1156" s="8" t="s">
        <v>10342</v>
      </c>
      <c r="D1156" s="8" t="s">
        <v>4621</v>
      </c>
      <c r="E1156" s="9" t="s">
        <v>4622</v>
      </c>
      <c r="F1156" s="8"/>
      <c r="G1156" s="9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</row>
    <row r="1157" spans="1:19" ht="15.75" customHeight="1">
      <c r="A1157" s="8">
        <v>246231595</v>
      </c>
      <c r="B1157" s="8" t="s">
        <v>10343</v>
      </c>
      <c r="C1157" s="8" t="s">
        <v>10344</v>
      </c>
      <c r="D1157" s="8" t="s">
        <v>4625</v>
      </c>
      <c r="E1157" s="9">
        <v>995469549</v>
      </c>
      <c r="F1157" s="8"/>
      <c r="G1157" s="9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</row>
    <row r="1158" spans="1:19" ht="15.75" customHeight="1">
      <c r="A1158" s="8">
        <v>246231790</v>
      </c>
      <c r="B1158" s="8" t="s">
        <v>10345</v>
      </c>
      <c r="C1158" s="8" t="s">
        <v>10346</v>
      </c>
      <c r="D1158" s="8" t="s">
        <v>4628</v>
      </c>
      <c r="E1158" s="9">
        <v>87009157963</v>
      </c>
      <c r="F1158" s="8"/>
      <c r="G1158" s="9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</row>
    <row r="1159" spans="1:19" ht="15.75" customHeight="1">
      <c r="A1159" s="8">
        <v>246231872</v>
      </c>
      <c r="B1159" s="8" t="s">
        <v>10347</v>
      </c>
      <c r="C1159" s="8" t="s">
        <v>10348</v>
      </c>
      <c r="D1159" s="8" t="s">
        <v>4631</v>
      </c>
      <c r="E1159" s="9">
        <v>77787011157</v>
      </c>
      <c r="F1159" s="8"/>
      <c r="G1159" s="9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</row>
    <row r="1160" spans="1:19" ht="15.75" customHeight="1">
      <c r="A1160" s="8">
        <v>246231954</v>
      </c>
      <c r="B1160" s="8" t="s">
        <v>8619</v>
      </c>
      <c r="C1160" s="8" t="s">
        <v>10349</v>
      </c>
      <c r="D1160" s="8" t="s">
        <v>4634</v>
      </c>
      <c r="E1160" s="9" t="s">
        <v>4635</v>
      </c>
      <c r="F1160" s="8" t="s">
        <v>10350</v>
      </c>
      <c r="G1160" s="9">
        <v>45</v>
      </c>
      <c r="H1160" s="8" t="s">
        <v>8463</v>
      </c>
      <c r="I1160" s="8" t="s">
        <v>8464</v>
      </c>
      <c r="J1160" s="8"/>
      <c r="K1160" s="8"/>
      <c r="L1160" s="8"/>
      <c r="M1160" s="8"/>
      <c r="N1160" s="8"/>
      <c r="O1160" s="8"/>
      <c r="P1160" s="8"/>
      <c r="Q1160" s="8"/>
      <c r="R1160" s="8"/>
      <c r="S1160" s="8"/>
    </row>
    <row r="1161" spans="1:19" ht="15.75" customHeight="1">
      <c r="A1161" s="8">
        <v>246231988</v>
      </c>
      <c r="B1161" s="8" t="s">
        <v>10351</v>
      </c>
      <c r="C1161" s="8" t="s">
        <v>10310</v>
      </c>
      <c r="D1161" s="8" t="s">
        <v>4638</v>
      </c>
      <c r="E1161" s="9" t="s">
        <v>4639</v>
      </c>
      <c r="F1161" s="8"/>
      <c r="G1161" s="9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</row>
    <row r="1162" spans="1:19" ht="15.75" customHeight="1">
      <c r="A1162" s="8">
        <v>246232051</v>
      </c>
      <c r="B1162" s="8" t="s">
        <v>10352</v>
      </c>
      <c r="C1162" s="8" t="s">
        <v>10353</v>
      </c>
      <c r="D1162" s="8" t="s">
        <v>10354</v>
      </c>
      <c r="E1162" s="9">
        <v>87768487447</v>
      </c>
      <c r="F1162" s="8" t="s">
        <v>10355</v>
      </c>
      <c r="G1162" s="9">
        <v>36</v>
      </c>
      <c r="H1162" s="8" t="s">
        <v>8241</v>
      </c>
      <c r="I1162" s="8" t="s">
        <v>8242</v>
      </c>
      <c r="J1162" s="8"/>
      <c r="K1162" s="8"/>
      <c r="L1162" s="8"/>
      <c r="M1162" s="8"/>
      <c r="N1162" s="8"/>
      <c r="O1162" s="8"/>
      <c r="P1162" s="8"/>
      <c r="Q1162" s="8"/>
      <c r="R1162" s="8"/>
      <c r="S1162" s="8"/>
    </row>
    <row r="1163" spans="1:19" ht="15.75" customHeight="1">
      <c r="A1163" s="8">
        <v>246232335</v>
      </c>
      <c r="B1163" s="8" t="s">
        <v>10356</v>
      </c>
      <c r="C1163" s="8" t="s">
        <v>10357</v>
      </c>
      <c r="D1163" s="8" t="s">
        <v>4642</v>
      </c>
      <c r="E1163" s="9">
        <v>87011366119</v>
      </c>
      <c r="F1163" s="8"/>
      <c r="G1163" s="9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</row>
    <row r="1164" spans="1:19" ht="15.75" customHeight="1">
      <c r="A1164" s="8">
        <v>246232451</v>
      </c>
      <c r="B1164" s="8" t="s">
        <v>7768</v>
      </c>
      <c r="C1164" s="8" t="s">
        <v>10358</v>
      </c>
      <c r="D1164" s="8" t="s">
        <v>4645</v>
      </c>
      <c r="E1164" s="9" t="s">
        <v>4646</v>
      </c>
      <c r="F1164" s="8"/>
      <c r="G1164" s="9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</row>
    <row r="1165" spans="1:19" ht="15.75" customHeight="1">
      <c r="A1165" s="8">
        <v>246232505</v>
      </c>
      <c r="B1165" s="8" t="s">
        <v>10359</v>
      </c>
      <c r="C1165" s="8" t="s">
        <v>10360</v>
      </c>
      <c r="D1165" s="8" t="s">
        <v>4649</v>
      </c>
      <c r="E1165" s="9" t="s">
        <v>4650</v>
      </c>
      <c r="F1165" s="8"/>
      <c r="G1165" s="9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</row>
    <row r="1166" spans="1:19" ht="15.75" customHeight="1">
      <c r="A1166" s="8">
        <v>246232539</v>
      </c>
      <c r="B1166" s="8" t="s">
        <v>10361</v>
      </c>
      <c r="C1166" s="8" t="s">
        <v>10362</v>
      </c>
      <c r="D1166" s="8" t="s">
        <v>4653</v>
      </c>
      <c r="E1166" s="9" t="s">
        <v>4654</v>
      </c>
      <c r="F1166" s="8"/>
      <c r="G1166" s="9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</row>
    <row r="1167" spans="1:19" ht="15.75" customHeight="1">
      <c r="A1167" s="8">
        <v>246232787</v>
      </c>
      <c r="B1167" s="8" t="s">
        <v>10363</v>
      </c>
      <c r="C1167" s="8" t="s">
        <v>10364</v>
      </c>
      <c r="D1167" s="8" t="s">
        <v>4657</v>
      </c>
      <c r="E1167" s="9" t="s">
        <v>4658</v>
      </c>
      <c r="F1167" s="8"/>
      <c r="G1167" s="9"/>
      <c r="H1167" s="8" t="s">
        <v>8463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</row>
    <row r="1168" spans="1:19" ht="15.75" customHeight="1">
      <c r="A1168" s="8">
        <v>246232816</v>
      </c>
      <c r="B1168" s="8" t="s">
        <v>10365</v>
      </c>
      <c r="C1168" s="8" t="s">
        <v>10366</v>
      </c>
      <c r="D1168" s="8" t="s">
        <v>4661</v>
      </c>
      <c r="E1168" s="9">
        <v>87767574747</v>
      </c>
      <c r="F1168" s="8"/>
      <c r="G1168" s="9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</row>
    <row r="1169" spans="1:19" ht="15.75" customHeight="1">
      <c r="A1169" s="8">
        <v>246232832</v>
      </c>
      <c r="B1169" s="8" t="s">
        <v>8628</v>
      </c>
      <c r="C1169" s="8" t="s">
        <v>10367</v>
      </c>
      <c r="D1169" s="8" t="s">
        <v>4664</v>
      </c>
      <c r="E1169" s="9" t="s">
        <v>4665</v>
      </c>
      <c r="F1169" s="8"/>
      <c r="G1169" s="9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</row>
    <row r="1170" spans="1:19" ht="15.75" customHeight="1">
      <c r="A1170" s="8">
        <v>246232910</v>
      </c>
      <c r="B1170" s="8" t="s">
        <v>8234</v>
      </c>
      <c r="C1170" s="8" t="s">
        <v>10368</v>
      </c>
      <c r="D1170" s="8" t="s">
        <v>10369</v>
      </c>
      <c r="E1170" s="9" t="s">
        <v>10370</v>
      </c>
      <c r="F1170" s="8"/>
      <c r="G1170" s="9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</row>
    <row r="1171" spans="1:19" ht="15.75" customHeight="1">
      <c r="A1171" s="8">
        <v>246232936</v>
      </c>
      <c r="B1171" s="8" t="s">
        <v>10371</v>
      </c>
      <c r="C1171" s="8" t="s">
        <v>10372</v>
      </c>
      <c r="D1171" s="8" t="s">
        <v>4668</v>
      </c>
      <c r="E1171" s="9" t="s">
        <v>4669</v>
      </c>
      <c r="F1171" s="8"/>
      <c r="G1171" s="9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</row>
    <row r="1172" spans="1:19" ht="15.75" customHeight="1">
      <c r="A1172" s="8">
        <v>246233290</v>
      </c>
      <c r="B1172" s="8" t="s">
        <v>10373</v>
      </c>
      <c r="C1172" s="8" t="s">
        <v>10373</v>
      </c>
      <c r="D1172" s="8" t="s">
        <v>4672</v>
      </c>
      <c r="E1172" s="9" t="s">
        <v>4673</v>
      </c>
      <c r="F1172" s="8"/>
      <c r="G1172" s="9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</row>
    <row r="1173" spans="1:19" ht="15.75" customHeight="1">
      <c r="A1173" s="8">
        <v>246233315</v>
      </c>
      <c r="B1173" s="8" t="s">
        <v>8206</v>
      </c>
      <c r="C1173" s="8" t="s">
        <v>10374</v>
      </c>
      <c r="D1173" s="8" t="s">
        <v>4676</v>
      </c>
      <c r="E1173" s="9" t="s">
        <v>4677</v>
      </c>
      <c r="F1173" s="8" t="s">
        <v>10375</v>
      </c>
      <c r="G1173" s="9">
        <v>46</v>
      </c>
      <c r="H1173" s="8" t="s">
        <v>10376</v>
      </c>
      <c r="I1173" s="8" t="s">
        <v>10377</v>
      </c>
      <c r="J1173" s="8"/>
      <c r="K1173" s="8"/>
      <c r="L1173" s="8"/>
      <c r="M1173" s="8"/>
      <c r="N1173" s="8"/>
      <c r="O1173" s="8"/>
      <c r="P1173" s="8"/>
      <c r="Q1173" s="8"/>
      <c r="R1173" s="8"/>
      <c r="S1173" s="8"/>
    </row>
    <row r="1174" spans="1:19" ht="15.75" customHeight="1">
      <c r="A1174" s="8">
        <v>246233326</v>
      </c>
      <c r="B1174" s="8" t="s">
        <v>10378</v>
      </c>
      <c r="C1174" s="8" t="s">
        <v>10379</v>
      </c>
      <c r="D1174" s="8" t="s">
        <v>4680</v>
      </c>
      <c r="E1174" s="9" t="s">
        <v>4681</v>
      </c>
      <c r="F1174" s="8"/>
      <c r="G1174" s="9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</row>
    <row r="1175" spans="1:19" ht="15.75" customHeight="1">
      <c r="A1175" s="8">
        <v>246233421</v>
      </c>
      <c r="B1175" s="8" t="s">
        <v>10380</v>
      </c>
      <c r="C1175" s="8" t="s">
        <v>10380</v>
      </c>
      <c r="D1175" s="8" t="s">
        <v>4684</v>
      </c>
      <c r="E1175" s="9">
        <v>87476002593</v>
      </c>
      <c r="F1175" s="8"/>
      <c r="G1175" s="9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</row>
    <row r="1176" spans="1:19" ht="15.75" customHeight="1">
      <c r="A1176" s="8">
        <v>246233668</v>
      </c>
      <c r="B1176" s="8" t="s">
        <v>9861</v>
      </c>
      <c r="C1176" s="8" t="s">
        <v>10381</v>
      </c>
      <c r="D1176" s="8" t="s">
        <v>4687</v>
      </c>
      <c r="E1176" s="9" t="s">
        <v>4688</v>
      </c>
      <c r="F1176" s="8"/>
      <c r="G1176" s="9"/>
      <c r="H1176" s="8" t="s">
        <v>8471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</row>
    <row r="1177" spans="1:19" ht="15.75" customHeight="1">
      <c r="A1177" s="8">
        <v>246233695</v>
      </c>
      <c r="B1177" s="8" t="s">
        <v>10382</v>
      </c>
      <c r="C1177" s="8" t="s">
        <v>10383</v>
      </c>
      <c r="D1177" s="8" t="s">
        <v>4691</v>
      </c>
      <c r="E1177" s="9">
        <v>87011014113</v>
      </c>
      <c r="F1177" s="8"/>
      <c r="G1177" s="9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</row>
    <row r="1178" spans="1:19" ht="15.75" customHeight="1">
      <c r="A1178" s="8">
        <v>246233733</v>
      </c>
      <c r="B1178" s="8" t="s">
        <v>8748</v>
      </c>
      <c r="C1178" s="8" t="s">
        <v>10384</v>
      </c>
      <c r="D1178" s="8" t="s">
        <v>4694</v>
      </c>
      <c r="E1178" s="9">
        <v>87026027992</v>
      </c>
      <c r="F1178" s="8"/>
      <c r="G1178" s="9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</row>
    <row r="1179" spans="1:19" ht="15.75" customHeight="1">
      <c r="A1179" s="8">
        <v>246233760</v>
      </c>
      <c r="B1179" s="8" t="s">
        <v>10385</v>
      </c>
      <c r="C1179" s="8" t="s">
        <v>10385</v>
      </c>
      <c r="D1179" s="8" t="s">
        <v>4697</v>
      </c>
      <c r="E1179" s="9">
        <v>87017286886</v>
      </c>
      <c r="F1179" s="8"/>
      <c r="G1179" s="9"/>
      <c r="H1179" s="8" t="s">
        <v>8241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</row>
    <row r="1180" spans="1:19" ht="15.75" customHeight="1">
      <c r="A1180" s="8">
        <v>246234009</v>
      </c>
      <c r="B1180" s="8" t="s">
        <v>10386</v>
      </c>
      <c r="C1180" s="8" t="s">
        <v>10387</v>
      </c>
      <c r="D1180" s="8" t="s">
        <v>4700</v>
      </c>
      <c r="E1180" s="9" t="s">
        <v>4701</v>
      </c>
      <c r="F1180" s="8"/>
      <c r="G1180" s="9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</row>
    <row r="1181" spans="1:19" ht="15.75" customHeight="1">
      <c r="A1181" s="8">
        <v>246234304</v>
      </c>
      <c r="B1181" s="8" t="s">
        <v>10388</v>
      </c>
      <c r="C1181" s="8" t="s">
        <v>10389</v>
      </c>
      <c r="D1181" s="8" t="s">
        <v>4704</v>
      </c>
      <c r="E1181" s="9" t="s">
        <v>4705</v>
      </c>
      <c r="F1181" s="8"/>
      <c r="G1181" s="9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</row>
    <row r="1182" spans="1:19" ht="15.75" customHeight="1">
      <c r="A1182" s="8">
        <v>246234340</v>
      </c>
      <c r="B1182" s="8" t="s">
        <v>8206</v>
      </c>
      <c r="C1182" s="8" t="s">
        <v>10390</v>
      </c>
      <c r="D1182" s="8" t="s">
        <v>4708</v>
      </c>
      <c r="E1182" s="9" t="s">
        <v>4709</v>
      </c>
      <c r="F1182" s="8"/>
      <c r="G1182" s="9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</row>
    <row r="1183" spans="1:19" ht="15.75" customHeight="1">
      <c r="A1183" s="8">
        <v>246234364</v>
      </c>
      <c r="B1183" s="8" t="s">
        <v>10391</v>
      </c>
      <c r="C1183" s="8" t="s">
        <v>10392</v>
      </c>
      <c r="D1183" s="8" t="s">
        <v>4712</v>
      </c>
      <c r="E1183" s="9" t="s">
        <v>4713</v>
      </c>
      <c r="F1183" s="8" t="s">
        <v>10393</v>
      </c>
      <c r="G1183" s="9">
        <v>37</v>
      </c>
      <c r="H1183" s="8" t="s">
        <v>8241</v>
      </c>
      <c r="I1183" s="8" t="s">
        <v>8281</v>
      </c>
      <c r="J1183" s="8"/>
      <c r="K1183" s="8"/>
      <c r="L1183" s="8"/>
      <c r="M1183" s="8"/>
      <c r="N1183" s="8"/>
      <c r="O1183" s="8"/>
      <c r="P1183" s="8"/>
      <c r="Q1183" s="8"/>
      <c r="R1183" s="8"/>
      <c r="S1183" s="8"/>
    </row>
    <row r="1184" spans="1:19" ht="15.75" customHeight="1">
      <c r="A1184" s="8">
        <v>246234495</v>
      </c>
      <c r="B1184" s="8" t="s">
        <v>9431</v>
      </c>
      <c r="C1184" s="8" t="s">
        <v>10394</v>
      </c>
      <c r="D1184" s="8" t="s">
        <v>4716</v>
      </c>
      <c r="E1184" s="9">
        <v>79523977792</v>
      </c>
      <c r="F1184" s="8"/>
      <c r="G1184" s="9"/>
      <c r="H1184" s="8" t="s">
        <v>8164</v>
      </c>
      <c r="I1184" s="8" t="s">
        <v>10285</v>
      </c>
      <c r="J1184" s="8"/>
      <c r="K1184" s="8"/>
      <c r="L1184" s="8"/>
      <c r="M1184" s="8"/>
      <c r="N1184" s="8"/>
      <c r="O1184" s="8"/>
      <c r="P1184" s="8"/>
      <c r="Q1184" s="8"/>
      <c r="R1184" s="8"/>
      <c r="S1184" s="8"/>
    </row>
    <row r="1185" spans="1:19" ht="15.75" customHeight="1">
      <c r="A1185" s="8">
        <v>246234506</v>
      </c>
      <c r="B1185" s="8" t="s">
        <v>8260</v>
      </c>
      <c r="C1185" s="8" t="s">
        <v>10395</v>
      </c>
      <c r="D1185" s="8" t="s">
        <v>4719</v>
      </c>
      <c r="E1185" s="9">
        <v>909611303</v>
      </c>
      <c r="F1185" s="8"/>
      <c r="G1185" s="9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</row>
    <row r="1186" spans="1:19" ht="15.75" customHeight="1">
      <c r="A1186" s="8">
        <v>246234551</v>
      </c>
      <c r="B1186" s="8" t="s">
        <v>10396</v>
      </c>
      <c r="C1186" s="8" t="s">
        <v>10397</v>
      </c>
      <c r="D1186" s="8" t="s">
        <v>4722</v>
      </c>
      <c r="E1186" s="9">
        <v>990109248</v>
      </c>
      <c r="F1186" s="8"/>
      <c r="G1186" s="9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</row>
    <row r="1187" spans="1:19" ht="15.75" customHeight="1">
      <c r="A1187" s="8">
        <v>246234721</v>
      </c>
      <c r="B1187" s="8" t="s">
        <v>10398</v>
      </c>
      <c r="C1187" s="8" t="s">
        <v>10399</v>
      </c>
      <c r="D1187" s="8" t="s">
        <v>4725</v>
      </c>
      <c r="E1187" s="9" t="s">
        <v>4726</v>
      </c>
      <c r="F1187" s="8"/>
      <c r="G1187" s="9"/>
      <c r="H1187" s="8" t="s">
        <v>8463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</row>
    <row r="1188" spans="1:19" ht="15.75" customHeight="1">
      <c r="A1188" s="8">
        <v>246234814</v>
      </c>
      <c r="B1188" s="8" t="s">
        <v>8206</v>
      </c>
      <c r="C1188" s="8" t="s">
        <v>10317</v>
      </c>
      <c r="D1188" s="8" t="s">
        <v>4729</v>
      </c>
      <c r="E1188" s="9">
        <v>87771429559</v>
      </c>
      <c r="F1188" s="8"/>
      <c r="G1188" s="9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</row>
    <row r="1189" spans="1:19" ht="15.75" customHeight="1">
      <c r="A1189" s="8">
        <v>246235795</v>
      </c>
      <c r="B1189" s="8" t="s">
        <v>9771</v>
      </c>
      <c r="C1189" s="8" t="s">
        <v>10400</v>
      </c>
      <c r="D1189" s="8" t="s">
        <v>4732</v>
      </c>
      <c r="E1189" s="9" t="s">
        <v>4733</v>
      </c>
      <c r="F1189" s="8"/>
      <c r="G1189" s="9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</row>
    <row r="1190" spans="1:19" ht="15.75" customHeight="1">
      <c r="A1190" s="8">
        <v>246235847</v>
      </c>
      <c r="B1190" s="8" t="s">
        <v>10401</v>
      </c>
      <c r="C1190" s="8" t="s">
        <v>10402</v>
      </c>
      <c r="D1190" s="8" t="s">
        <v>4736</v>
      </c>
      <c r="E1190" s="9" t="s">
        <v>4737</v>
      </c>
      <c r="F1190" s="8"/>
      <c r="G1190" s="9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</row>
    <row r="1191" spans="1:19" ht="15.75" customHeight="1">
      <c r="A1191" s="8">
        <v>246235863</v>
      </c>
      <c r="B1191" s="8" t="s">
        <v>10403</v>
      </c>
      <c r="C1191" s="8" t="s">
        <v>8981</v>
      </c>
      <c r="D1191" s="8" t="s">
        <v>10404</v>
      </c>
      <c r="E1191" s="9" t="s">
        <v>10405</v>
      </c>
      <c r="F1191" s="8"/>
      <c r="G1191" s="9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</row>
    <row r="1192" spans="1:19" ht="15.75" customHeight="1">
      <c r="A1192" s="8">
        <v>246236433</v>
      </c>
      <c r="B1192" s="8" t="s">
        <v>10406</v>
      </c>
      <c r="C1192" s="8" t="s">
        <v>10407</v>
      </c>
      <c r="D1192" s="8" t="s">
        <v>4740</v>
      </c>
      <c r="E1192" s="9">
        <v>87059876021</v>
      </c>
      <c r="F1192" s="8"/>
      <c r="G1192" s="9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</row>
    <row r="1193" spans="1:19" ht="15.75" customHeight="1">
      <c r="A1193" s="8">
        <v>246236544</v>
      </c>
      <c r="B1193" s="8" t="s">
        <v>8206</v>
      </c>
      <c r="C1193" s="8" t="s">
        <v>10408</v>
      </c>
      <c r="D1193" s="8" t="s">
        <v>4743</v>
      </c>
      <c r="E1193" s="9" t="s">
        <v>4744</v>
      </c>
      <c r="F1193" s="8"/>
      <c r="G1193" s="9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</row>
    <row r="1194" spans="1:19" ht="15.75" customHeight="1">
      <c r="A1194" s="8">
        <v>246236571</v>
      </c>
      <c r="B1194" s="8" t="s">
        <v>8304</v>
      </c>
      <c r="C1194" s="8" t="s">
        <v>10409</v>
      </c>
      <c r="D1194" s="8" t="s">
        <v>4747</v>
      </c>
      <c r="E1194" s="9">
        <v>293408804</v>
      </c>
      <c r="F1194" s="8" t="s">
        <v>10410</v>
      </c>
      <c r="G1194" s="9">
        <v>51</v>
      </c>
      <c r="H1194" s="8" t="s">
        <v>8222</v>
      </c>
      <c r="I1194" s="8" t="s">
        <v>8412</v>
      </c>
      <c r="J1194" s="8"/>
      <c r="K1194" s="8"/>
      <c r="L1194" s="8"/>
      <c r="M1194" s="8"/>
      <c r="N1194" s="8"/>
      <c r="O1194" s="8"/>
      <c r="P1194" s="8"/>
      <c r="Q1194" s="8"/>
      <c r="R1194" s="8"/>
      <c r="S1194" s="8"/>
    </row>
    <row r="1195" spans="1:19" ht="15.75" customHeight="1">
      <c r="A1195" s="8">
        <v>246236605</v>
      </c>
      <c r="B1195" s="8" t="s">
        <v>10411</v>
      </c>
      <c r="C1195" s="8" t="s">
        <v>10412</v>
      </c>
      <c r="D1195" s="8" t="s">
        <v>4750</v>
      </c>
      <c r="E1195" s="9" t="s">
        <v>4751</v>
      </c>
      <c r="F1195" s="8"/>
      <c r="G1195" s="9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</row>
    <row r="1196" spans="1:19" ht="15.75" customHeight="1">
      <c r="A1196" s="8">
        <v>246236633</v>
      </c>
      <c r="B1196" s="8" t="s">
        <v>10413</v>
      </c>
      <c r="C1196" s="8" t="s">
        <v>10414</v>
      </c>
      <c r="D1196" s="8" t="s">
        <v>4754</v>
      </c>
      <c r="E1196" s="9" t="s">
        <v>4755</v>
      </c>
      <c r="F1196" s="8"/>
      <c r="G1196" s="9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</row>
    <row r="1197" spans="1:19" ht="15.75" customHeight="1">
      <c r="A1197" s="8">
        <v>246236692</v>
      </c>
      <c r="B1197" s="8" t="s">
        <v>10415</v>
      </c>
      <c r="C1197" s="8" t="s">
        <v>9909</v>
      </c>
      <c r="D1197" s="8" t="s">
        <v>4758</v>
      </c>
      <c r="E1197" s="9" t="s">
        <v>4759</v>
      </c>
      <c r="F1197" s="8"/>
      <c r="G1197" s="9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</row>
    <row r="1198" spans="1:19" ht="15.75" customHeight="1">
      <c r="A1198" s="8">
        <v>246236794</v>
      </c>
      <c r="B1198" s="8" t="s">
        <v>10416</v>
      </c>
      <c r="C1198" s="8" t="s">
        <v>10417</v>
      </c>
      <c r="D1198" s="8" t="s">
        <v>4762</v>
      </c>
      <c r="E1198" s="9">
        <v>998974551860</v>
      </c>
      <c r="F1198" s="8" t="s">
        <v>10418</v>
      </c>
      <c r="G1198" s="9">
        <v>39</v>
      </c>
      <c r="H1198" s="8" t="s">
        <v>10419</v>
      </c>
      <c r="I1198" s="8" t="s">
        <v>8464</v>
      </c>
      <c r="J1198" s="8"/>
      <c r="K1198" s="8"/>
      <c r="L1198" s="8"/>
      <c r="M1198" s="8"/>
      <c r="N1198" s="8"/>
      <c r="O1198" s="8"/>
      <c r="P1198" s="8"/>
      <c r="Q1198" s="8"/>
      <c r="R1198" s="8"/>
      <c r="S1198" s="8"/>
    </row>
    <row r="1199" spans="1:19" ht="15.75" customHeight="1">
      <c r="A1199" s="8">
        <v>246237048</v>
      </c>
      <c r="B1199" s="8" t="s">
        <v>8283</v>
      </c>
      <c r="C1199" s="8" t="s">
        <v>10420</v>
      </c>
      <c r="D1199" s="8" t="s">
        <v>4765</v>
      </c>
      <c r="E1199" s="9" t="s">
        <v>4766</v>
      </c>
      <c r="F1199" s="8"/>
      <c r="G1199" s="9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</row>
    <row r="1200" spans="1:19" ht="15.75" customHeight="1">
      <c r="A1200" s="8">
        <v>246237086</v>
      </c>
      <c r="B1200" s="8" t="s">
        <v>10421</v>
      </c>
      <c r="C1200" s="8" t="s">
        <v>10422</v>
      </c>
      <c r="D1200" s="8" t="s">
        <v>4769</v>
      </c>
      <c r="E1200" s="9">
        <v>87761448080</v>
      </c>
      <c r="F1200" s="8"/>
      <c r="G1200" s="9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</row>
    <row r="1201" spans="1:19" ht="15.75" customHeight="1">
      <c r="A1201" s="8">
        <v>246237105</v>
      </c>
      <c r="B1201" s="8" t="s">
        <v>8206</v>
      </c>
      <c r="C1201" s="8" t="s">
        <v>10423</v>
      </c>
      <c r="D1201" s="8" t="s">
        <v>4772</v>
      </c>
      <c r="E1201" s="9" t="s">
        <v>4773</v>
      </c>
      <c r="F1201" s="8"/>
      <c r="G1201" s="9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</row>
    <row r="1202" spans="1:19" ht="15.75" customHeight="1">
      <c r="A1202" s="8">
        <v>246237115</v>
      </c>
      <c r="B1202" s="8" t="s">
        <v>10424</v>
      </c>
      <c r="C1202" s="8" t="s">
        <v>10425</v>
      </c>
      <c r="D1202" s="8" t="s">
        <v>4776</v>
      </c>
      <c r="E1202" s="9">
        <v>77017290594</v>
      </c>
      <c r="F1202" s="8"/>
      <c r="G1202" s="9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</row>
    <row r="1203" spans="1:19" ht="15.75" customHeight="1">
      <c r="A1203" s="8">
        <v>246237151</v>
      </c>
      <c r="B1203" s="8" t="s">
        <v>10426</v>
      </c>
      <c r="C1203" s="8" t="s">
        <v>8674</v>
      </c>
      <c r="D1203" s="8" t="s">
        <v>4779</v>
      </c>
      <c r="E1203" s="9" t="s">
        <v>4780</v>
      </c>
      <c r="F1203" s="8"/>
      <c r="G1203" s="9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</row>
    <row r="1204" spans="1:19" ht="15.75" customHeight="1">
      <c r="A1204" s="8">
        <v>246237466</v>
      </c>
      <c r="B1204" s="8" t="s">
        <v>10427</v>
      </c>
      <c r="C1204" s="8" t="s">
        <v>10428</v>
      </c>
      <c r="D1204" s="8" t="s">
        <v>4783</v>
      </c>
      <c r="E1204" s="9">
        <v>87773789117</v>
      </c>
      <c r="F1204" s="8"/>
      <c r="G1204" s="9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</row>
    <row r="1205" spans="1:19" ht="15.75" customHeight="1">
      <c r="A1205" s="8">
        <v>246237519</v>
      </c>
      <c r="B1205" s="8" t="s">
        <v>8577</v>
      </c>
      <c r="C1205" s="8" t="s">
        <v>10429</v>
      </c>
      <c r="D1205" s="8" t="s">
        <v>4786</v>
      </c>
      <c r="E1205" s="9" t="s">
        <v>4787</v>
      </c>
      <c r="F1205" s="8" t="s">
        <v>10430</v>
      </c>
      <c r="G1205" s="9">
        <v>40</v>
      </c>
      <c r="H1205" s="8" t="s">
        <v>8164</v>
      </c>
      <c r="I1205" s="8" t="s">
        <v>8208</v>
      </c>
      <c r="J1205" s="8"/>
      <c r="K1205" s="8"/>
      <c r="L1205" s="8"/>
      <c r="M1205" s="8"/>
      <c r="N1205" s="8"/>
      <c r="O1205" s="8"/>
      <c r="P1205" s="8"/>
      <c r="Q1205" s="8"/>
      <c r="R1205" s="8"/>
      <c r="S1205" s="8"/>
    </row>
    <row r="1206" spans="1:19" ht="15.75" customHeight="1">
      <c r="A1206" s="8">
        <v>246237536</v>
      </c>
      <c r="B1206" s="8" t="s">
        <v>9493</v>
      </c>
      <c r="C1206" s="8" t="s">
        <v>10431</v>
      </c>
      <c r="D1206" s="8" t="s">
        <v>4790</v>
      </c>
      <c r="E1206" s="9" t="s">
        <v>4791</v>
      </c>
      <c r="F1206" s="8"/>
      <c r="G1206" s="9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</row>
    <row r="1207" spans="1:19" ht="15.75" customHeight="1">
      <c r="A1207" s="8">
        <v>246237873</v>
      </c>
      <c r="B1207" s="8" t="s">
        <v>10432</v>
      </c>
      <c r="C1207" s="8" t="s">
        <v>10433</v>
      </c>
      <c r="D1207" s="8" t="s">
        <v>4794</v>
      </c>
      <c r="E1207" s="9" t="s">
        <v>4795</v>
      </c>
      <c r="F1207" s="8"/>
      <c r="G1207" s="9"/>
      <c r="H1207" s="8" t="s">
        <v>8463</v>
      </c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</row>
    <row r="1208" spans="1:19" ht="15.75" customHeight="1">
      <c r="A1208" s="8">
        <v>246237897</v>
      </c>
      <c r="B1208" s="8" t="s">
        <v>8197</v>
      </c>
      <c r="C1208" s="8" t="s">
        <v>10434</v>
      </c>
      <c r="D1208" s="8" t="s">
        <v>4798</v>
      </c>
      <c r="E1208" s="9">
        <v>79051559717</v>
      </c>
      <c r="F1208" s="8"/>
      <c r="G1208" s="9"/>
      <c r="H1208" s="8" t="s">
        <v>8164</v>
      </c>
      <c r="I1208" s="8" t="s">
        <v>10435</v>
      </c>
      <c r="J1208" s="8"/>
      <c r="K1208" s="8"/>
      <c r="L1208" s="8"/>
      <c r="M1208" s="8"/>
      <c r="N1208" s="8"/>
      <c r="O1208" s="8"/>
      <c r="P1208" s="8"/>
      <c r="Q1208" s="8"/>
      <c r="R1208" s="8"/>
      <c r="S1208" s="8"/>
    </row>
    <row r="1209" spans="1:19" ht="15.75" customHeight="1">
      <c r="A1209" s="8">
        <v>246237940</v>
      </c>
      <c r="B1209" s="8" t="s">
        <v>10436</v>
      </c>
      <c r="C1209" s="8" t="s">
        <v>10437</v>
      </c>
      <c r="D1209" s="8" t="s">
        <v>4801</v>
      </c>
      <c r="E1209" s="9" t="s">
        <v>4802</v>
      </c>
      <c r="F1209" s="8" t="s">
        <v>10438</v>
      </c>
      <c r="G1209" s="9">
        <v>42</v>
      </c>
      <c r="H1209" s="8" t="s">
        <v>8241</v>
      </c>
      <c r="I1209" s="8" t="s">
        <v>10439</v>
      </c>
      <c r="J1209" s="8"/>
      <c r="K1209" s="8"/>
      <c r="L1209" s="8"/>
      <c r="M1209" s="8"/>
      <c r="N1209" s="8"/>
      <c r="O1209" s="8"/>
      <c r="P1209" s="8"/>
      <c r="Q1209" s="8"/>
      <c r="R1209" s="8"/>
      <c r="S1209" s="8"/>
    </row>
    <row r="1210" spans="1:19" ht="15.75" customHeight="1">
      <c r="A1210" s="8">
        <v>246238734</v>
      </c>
      <c r="B1210" s="8" t="s">
        <v>10440</v>
      </c>
      <c r="C1210" s="8" t="s">
        <v>10441</v>
      </c>
      <c r="D1210" s="8" t="s">
        <v>4805</v>
      </c>
      <c r="E1210" s="9" t="s">
        <v>4806</v>
      </c>
      <c r="F1210" s="8"/>
      <c r="G1210" s="9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</row>
    <row r="1211" spans="1:19" ht="15.75" customHeight="1">
      <c r="A1211" s="8">
        <v>246238918</v>
      </c>
      <c r="B1211" s="8" t="s">
        <v>10442</v>
      </c>
      <c r="C1211" s="8" t="s">
        <v>10443</v>
      </c>
      <c r="D1211" s="8" t="s">
        <v>4809</v>
      </c>
      <c r="E1211" s="9" t="s">
        <v>4810</v>
      </c>
      <c r="F1211" s="8"/>
      <c r="G1211" s="9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</row>
    <row r="1212" spans="1:19" ht="15.75" customHeight="1">
      <c r="A1212" s="8">
        <v>246239037</v>
      </c>
      <c r="B1212" s="8" t="s">
        <v>10444</v>
      </c>
      <c r="C1212" s="8" t="s">
        <v>10445</v>
      </c>
      <c r="D1212" s="8" t="s">
        <v>4813</v>
      </c>
      <c r="E1212" s="9" t="s">
        <v>4814</v>
      </c>
      <c r="F1212" s="8"/>
      <c r="G1212" s="9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</row>
    <row r="1213" spans="1:19" ht="15.75" customHeight="1">
      <c r="A1213" s="8">
        <v>246239109</v>
      </c>
      <c r="B1213" s="8" t="s">
        <v>10446</v>
      </c>
      <c r="C1213" s="8" t="s">
        <v>10447</v>
      </c>
      <c r="D1213" s="8" t="s">
        <v>4817</v>
      </c>
      <c r="E1213" s="9" t="s">
        <v>4818</v>
      </c>
      <c r="F1213" s="8"/>
      <c r="G1213" s="9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</row>
    <row r="1214" spans="1:19" ht="15.75" customHeight="1">
      <c r="A1214" s="8">
        <v>246239133</v>
      </c>
      <c r="B1214" s="8" t="s">
        <v>8234</v>
      </c>
      <c r="C1214" s="8" t="s">
        <v>10448</v>
      </c>
      <c r="D1214" s="8" t="s">
        <v>4821</v>
      </c>
      <c r="E1214" s="9">
        <v>77073941293</v>
      </c>
      <c r="F1214" s="8"/>
      <c r="G1214" s="9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</row>
    <row r="1215" spans="1:19" ht="15.75" customHeight="1">
      <c r="A1215" s="8">
        <v>246239249</v>
      </c>
      <c r="B1215" s="8" t="s">
        <v>10449</v>
      </c>
      <c r="C1215" s="8" t="s">
        <v>10450</v>
      </c>
      <c r="D1215" s="8" t="s">
        <v>4824</v>
      </c>
      <c r="E1215" s="9" t="s">
        <v>4825</v>
      </c>
      <c r="F1215" s="8"/>
      <c r="G1215" s="9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</row>
    <row r="1216" spans="1:19" ht="15.75" customHeight="1">
      <c r="A1216" s="8">
        <v>246239350</v>
      </c>
      <c r="B1216" s="8" t="s">
        <v>9157</v>
      </c>
      <c r="C1216" s="8" t="s">
        <v>10451</v>
      </c>
      <c r="D1216" s="8" t="s">
        <v>4828</v>
      </c>
      <c r="E1216" s="9">
        <v>87713504188</v>
      </c>
      <c r="F1216" s="8"/>
      <c r="G1216" s="9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</row>
    <row r="1217" spans="1:19" ht="15.75" customHeight="1">
      <c r="A1217" s="8">
        <v>246239425</v>
      </c>
      <c r="B1217" s="8" t="s">
        <v>10452</v>
      </c>
      <c r="C1217" s="8" t="s">
        <v>10453</v>
      </c>
      <c r="D1217" s="8" t="s">
        <v>4831</v>
      </c>
      <c r="E1217" s="9" t="s">
        <v>4832</v>
      </c>
      <c r="F1217" s="8"/>
      <c r="G1217" s="9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</row>
    <row r="1218" spans="1:19" ht="15.75" customHeight="1">
      <c r="A1218" s="8">
        <v>246239429</v>
      </c>
      <c r="B1218" s="8" t="s">
        <v>10454</v>
      </c>
      <c r="C1218" s="8" t="s">
        <v>10455</v>
      </c>
      <c r="D1218" s="8" t="s">
        <v>4835</v>
      </c>
      <c r="E1218" s="9" t="s">
        <v>4836</v>
      </c>
      <c r="F1218" s="8"/>
      <c r="G1218" s="9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</row>
    <row r="1219" spans="1:19" ht="15.75" customHeight="1">
      <c r="A1219" s="8">
        <v>246239484</v>
      </c>
      <c r="B1219" s="8" t="s">
        <v>8664</v>
      </c>
      <c r="C1219" s="8" t="s">
        <v>9100</v>
      </c>
      <c r="D1219" s="8" t="s">
        <v>4839</v>
      </c>
      <c r="E1219" s="9">
        <v>998909652347</v>
      </c>
      <c r="F1219" s="8"/>
      <c r="G1219" s="9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</row>
    <row r="1220" spans="1:19" ht="15.75" customHeight="1">
      <c r="A1220" s="8">
        <v>246239579</v>
      </c>
      <c r="B1220" s="8" t="s">
        <v>9564</v>
      </c>
      <c r="C1220" s="8" t="s">
        <v>10456</v>
      </c>
      <c r="D1220" s="8" t="s">
        <v>4842</v>
      </c>
      <c r="E1220" s="9">
        <v>998909587558</v>
      </c>
      <c r="F1220" s="8"/>
      <c r="G1220" s="9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</row>
    <row r="1221" spans="1:19" ht="15.75" customHeight="1">
      <c r="A1221" s="8">
        <v>246239647</v>
      </c>
      <c r="B1221" s="8" t="s">
        <v>10457</v>
      </c>
      <c r="C1221" s="8" t="s">
        <v>10458</v>
      </c>
      <c r="D1221" s="8" t="s">
        <v>4845</v>
      </c>
      <c r="E1221" s="9">
        <v>87013004008</v>
      </c>
      <c r="F1221" s="8"/>
      <c r="G1221" s="9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</row>
    <row r="1222" spans="1:19" ht="15.75" customHeight="1">
      <c r="A1222" s="8">
        <v>246239975</v>
      </c>
      <c r="B1222" s="8" t="s">
        <v>10459</v>
      </c>
      <c r="C1222" s="8" t="s">
        <v>10460</v>
      </c>
      <c r="D1222" s="8" t="s">
        <v>4848</v>
      </c>
      <c r="E1222" s="9" t="s">
        <v>4849</v>
      </c>
      <c r="F1222" s="8"/>
      <c r="G1222" s="9"/>
      <c r="H1222" s="8" t="s">
        <v>8463</v>
      </c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</row>
    <row r="1223" spans="1:19" ht="15.75" customHeight="1">
      <c r="A1223" s="8">
        <v>246240888</v>
      </c>
      <c r="B1223" s="8" t="s">
        <v>10461</v>
      </c>
      <c r="C1223" s="8" t="s">
        <v>10462</v>
      </c>
      <c r="D1223" s="8" t="s">
        <v>4852</v>
      </c>
      <c r="E1223" s="9">
        <v>998911620399</v>
      </c>
      <c r="F1223" s="8"/>
      <c r="G1223" s="9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</row>
    <row r="1224" spans="1:19" ht="15.75" customHeight="1">
      <c r="A1224" s="8">
        <v>246240935</v>
      </c>
      <c r="B1224" s="8" t="s">
        <v>8581</v>
      </c>
      <c r="C1224" s="8" t="s">
        <v>10463</v>
      </c>
      <c r="D1224" s="8" t="s">
        <v>4855</v>
      </c>
      <c r="E1224" s="9" t="s">
        <v>4856</v>
      </c>
      <c r="F1224" s="8"/>
      <c r="G1224" s="9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</row>
    <row r="1225" spans="1:19" ht="15.75" customHeight="1">
      <c r="A1225" s="8">
        <v>246240944</v>
      </c>
      <c r="B1225" s="8" t="s">
        <v>10464</v>
      </c>
      <c r="C1225" s="8" t="s">
        <v>10465</v>
      </c>
      <c r="D1225" s="8" t="s">
        <v>4859</v>
      </c>
      <c r="E1225" s="9" t="s">
        <v>4860</v>
      </c>
      <c r="F1225" s="8"/>
      <c r="G1225" s="9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</row>
    <row r="1226" spans="1:19" ht="15.75" customHeight="1">
      <c r="A1226" s="8">
        <v>246241098</v>
      </c>
      <c r="B1226" s="8" t="s">
        <v>10466</v>
      </c>
      <c r="C1226" s="8" t="s">
        <v>10467</v>
      </c>
      <c r="D1226" s="8" t="s">
        <v>4863</v>
      </c>
      <c r="E1226" s="9" t="s">
        <v>4864</v>
      </c>
      <c r="F1226" s="8"/>
      <c r="G1226" s="9"/>
      <c r="H1226" s="8" t="s">
        <v>8463</v>
      </c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</row>
    <row r="1227" spans="1:19" ht="15.75" customHeight="1">
      <c r="A1227" s="8">
        <v>246241162</v>
      </c>
      <c r="B1227" s="8" t="s">
        <v>9197</v>
      </c>
      <c r="C1227" s="8" t="s">
        <v>10468</v>
      </c>
      <c r="D1227" s="8" t="s">
        <v>4867</v>
      </c>
      <c r="E1227" s="9" t="s">
        <v>4868</v>
      </c>
      <c r="F1227" s="8" t="s">
        <v>10469</v>
      </c>
      <c r="G1227" s="9">
        <v>25</v>
      </c>
      <c r="H1227" s="8" t="s">
        <v>8728</v>
      </c>
      <c r="I1227" s="8" t="s">
        <v>10470</v>
      </c>
      <c r="J1227" s="8"/>
      <c r="K1227" s="8"/>
      <c r="L1227" s="8"/>
      <c r="M1227" s="8"/>
      <c r="N1227" s="8"/>
      <c r="O1227" s="8"/>
      <c r="P1227" s="8"/>
      <c r="Q1227" s="8"/>
      <c r="R1227" s="8"/>
      <c r="S1227" s="8"/>
    </row>
    <row r="1228" spans="1:19" ht="15.75" customHeight="1">
      <c r="A1228" s="8">
        <v>246241273</v>
      </c>
      <c r="B1228" s="8" t="s">
        <v>10471</v>
      </c>
      <c r="C1228" s="8" t="s">
        <v>10472</v>
      </c>
      <c r="D1228" s="8" t="s">
        <v>4871</v>
      </c>
      <c r="E1228" s="9" t="s">
        <v>4872</v>
      </c>
      <c r="F1228" s="8"/>
      <c r="G1228" s="9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</row>
    <row r="1229" spans="1:19" ht="15.75" customHeight="1">
      <c r="A1229" s="8">
        <v>246241345</v>
      </c>
      <c r="B1229" s="8" t="s">
        <v>10473</v>
      </c>
      <c r="C1229" s="8" t="s">
        <v>10474</v>
      </c>
      <c r="D1229" s="8" t="s">
        <v>4875</v>
      </c>
      <c r="E1229" s="9" t="s">
        <v>4876</v>
      </c>
      <c r="F1229" s="8"/>
      <c r="G1229" s="9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</row>
    <row r="1230" spans="1:19" ht="15.75" customHeight="1">
      <c r="A1230" s="8">
        <v>246241581</v>
      </c>
      <c r="B1230" s="8" t="s">
        <v>7768</v>
      </c>
      <c r="C1230" s="8" t="s">
        <v>10475</v>
      </c>
      <c r="D1230" s="8" t="s">
        <v>4879</v>
      </c>
      <c r="E1230" s="9" t="s">
        <v>4880</v>
      </c>
      <c r="F1230" s="8"/>
      <c r="G1230" s="9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</row>
    <row r="1231" spans="1:19" ht="15.75" customHeight="1">
      <c r="A1231" s="8">
        <v>246241612</v>
      </c>
      <c r="B1231" s="8" t="s">
        <v>10476</v>
      </c>
      <c r="C1231" s="8" t="s">
        <v>10477</v>
      </c>
      <c r="D1231" s="8" t="s">
        <v>4883</v>
      </c>
      <c r="E1231" s="9" t="s">
        <v>4884</v>
      </c>
      <c r="F1231" s="8"/>
      <c r="G1231" s="9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</row>
    <row r="1232" spans="1:19" ht="15.75" customHeight="1">
      <c r="A1232" s="8">
        <v>246241992</v>
      </c>
      <c r="B1232" s="8" t="s">
        <v>8721</v>
      </c>
      <c r="C1232" s="8" t="s">
        <v>10478</v>
      </c>
      <c r="D1232" s="8" t="s">
        <v>4887</v>
      </c>
      <c r="E1232" s="9" t="s">
        <v>4888</v>
      </c>
      <c r="F1232" s="8"/>
      <c r="G1232" s="9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</row>
    <row r="1233" spans="1:19" ht="15.75" customHeight="1">
      <c r="A1233" s="8">
        <v>246242083</v>
      </c>
      <c r="B1233" s="8" t="s">
        <v>10479</v>
      </c>
      <c r="C1233" s="8" t="s">
        <v>10480</v>
      </c>
      <c r="D1233" s="8" t="s">
        <v>4891</v>
      </c>
      <c r="E1233" s="9" t="s">
        <v>4892</v>
      </c>
      <c r="F1233" s="8"/>
      <c r="G1233" s="9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</row>
    <row r="1234" spans="1:19" ht="15.75" customHeight="1">
      <c r="A1234" s="8">
        <v>246242087</v>
      </c>
      <c r="B1234" s="8" t="s">
        <v>10481</v>
      </c>
      <c r="C1234" s="8" t="s">
        <v>8774</v>
      </c>
      <c r="D1234" s="8" t="s">
        <v>4895</v>
      </c>
      <c r="E1234" s="9" t="s">
        <v>4896</v>
      </c>
      <c r="F1234" s="8"/>
      <c r="G1234" s="9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</row>
    <row r="1235" spans="1:19" ht="15.75" customHeight="1">
      <c r="A1235" s="8">
        <v>246242196</v>
      </c>
      <c r="B1235" s="8" t="s">
        <v>10197</v>
      </c>
      <c r="C1235" s="8" t="s">
        <v>10482</v>
      </c>
      <c r="D1235" s="8" t="s">
        <v>4899</v>
      </c>
      <c r="E1235" s="9" t="s">
        <v>4900</v>
      </c>
      <c r="F1235" s="8"/>
      <c r="G1235" s="9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</row>
    <row r="1236" spans="1:19" ht="15.75" customHeight="1">
      <c r="A1236" s="8">
        <v>246242285</v>
      </c>
      <c r="B1236" s="8" t="s">
        <v>10483</v>
      </c>
      <c r="C1236" s="8" t="s">
        <v>10484</v>
      </c>
      <c r="D1236" s="8" t="s">
        <v>4903</v>
      </c>
      <c r="E1236" s="9">
        <v>87082376564</v>
      </c>
      <c r="F1236" s="8"/>
      <c r="G1236" s="9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</row>
    <row r="1237" spans="1:19" ht="15.75" customHeight="1">
      <c r="A1237" s="8">
        <v>246242678</v>
      </c>
      <c r="B1237" s="8" t="s">
        <v>10485</v>
      </c>
      <c r="C1237" s="8" t="s">
        <v>10486</v>
      </c>
      <c r="D1237" s="8" t="s">
        <v>4906</v>
      </c>
      <c r="E1237" s="9" t="s">
        <v>4907</v>
      </c>
      <c r="F1237" s="8"/>
      <c r="G1237" s="9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</row>
    <row r="1238" spans="1:19" ht="15.75" customHeight="1">
      <c r="A1238" s="8">
        <v>246242811</v>
      </c>
      <c r="B1238" s="8" t="s">
        <v>10487</v>
      </c>
      <c r="C1238" s="8" t="s">
        <v>10488</v>
      </c>
      <c r="D1238" s="8" t="s">
        <v>4910</v>
      </c>
      <c r="E1238" s="9">
        <v>87082170938</v>
      </c>
      <c r="F1238" s="8"/>
      <c r="G1238" s="9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</row>
    <row r="1239" spans="1:19" ht="15.75" customHeight="1">
      <c r="A1239" s="8">
        <v>246243124</v>
      </c>
      <c r="B1239" s="8" t="s">
        <v>8206</v>
      </c>
      <c r="C1239" s="8" t="s">
        <v>10489</v>
      </c>
      <c r="D1239" s="8" t="s">
        <v>4913</v>
      </c>
      <c r="E1239" s="9">
        <v>79154106422</v>
      </c>
      <c r="F1239" s="8"/>
      <c r="G1239" s="9"/>
      <c r="H1239" s="8" t="s">
        <v>8164</v>
      </c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</row>
    <row r="1240" spans="1:19" ht="15.75" customHeight="1">
      <c r="A1240" s="8">
        <v>246243227</v>
      </c>
      <c r="B1240" s="8" t="s">
        <v>10490</v>
      </c>
      <c r="C1240" s="8" t="s">
        <v>10491</v>
      </c>
      <c r="D1240" s="8" t="s">
        <v>4916</v>
      </c>
      <c r="E1240" s="9">
        <v>87014620202</v>
      </c>
      <c r="F1240" s="8"/>
      <c r="G1240" s="9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</row>
    <row r="1241" spans="1:19" ht="15.75" customHeight="1">
      <c r="A1241" s="8">
        <v>246243387</v>
      </c>
      <c r="B1241" s="8" t="s">
        <v>10492</v>
      </c>
      <c r="C1241" s="8" t="s">
        <v>10493</v>
      </c>
      <c r="D1241" s="8" t="s">
        <v>4919</v>
      </c>
      <c r="E1241" s="9">
        <v>87717452516</v>
      </c>
      <c r="F1241" s="8"/>
      <c r="G1241" s="9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</row>
    <row r="1242" spans="1:19" ht="15.75" customHeight="1">
      <c r="A1242" s="8">
        <v>246243445</v>
      </c>
      <c r="B1242" s="8" t="s">
        <v>10452</v>
      </c>
      <c r="C1242" s="8" t="s">
        <v>10494</v>
      </c>
      <c r="D1242" s="8" t="s">
        <v>4922</v>
      </c>
      <c r="E1242" s="9" t="s">
        <v>4923</v>
      </c>
      <c r="F1242" s="8"/>
      <c r="G1242" s="9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</row>
    <row r="1243" spans="1:19" ht="15.75" customHeight="1">
      <c r="A1243" s="8">
        <v>246243505</v>
      </c>
      <c r="B1243" s="8" t="s">
        <v>10336</v>
      </c>
      <c r="C1243" s="8" t="s">
        <v>10495</v>
      </c>
      <c r="D1243" s="8" t="s">
        <v>4926</v>
      </c>
      <c r="E1243" s="9" t="s">
        <v>4927</v>
      </c>
      <c r="F1243" s="8"/>
      <c r="G1243" s="9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</row>
    <row r="1244" spans="1:19" ht="15.75" customHeight="1">
      <c r="A1244" s="8">
        <v>246243579</v>
      </c>
      <c r="B1244" s="8" t="s">
        <v>10380</v>
      </c>
      <c r="C1244" s="8" t="s">
        <v>10496</v>
      </c>
      <c r="D1244" s="8" t="s">
        <v>4930</v>
      </c>
      <c r="E1244" s="9">
        <v>87015310151</v>
      </c>
      <c r="F1244" s="8"/>
      <c r="G1244" s="9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</row>
    <row r="1245" spans="1:19" ht="15.75" customHeight="1">
      <c r="A1245" s="8">
        <v>246243611</v>
      </c>
      <c r="B1245" s="8" t="s">
        <v>8338</v>
      </c>
      <c r="C1245" s="8" t="s">
        <v>8241</v>
      </c>
      <c r="D1245" s="8" t="s">
        <v>10497</v>
      </c>
      <c r="E1245" s="9">
        <v>87710883766</v>
      </c>
      <c r="F1245" s="8"/>
      <c r="G1245" s="9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</row>
    <row r="1246" spans="1:19" ht="15.75" customHeight="1">
      <c r="A1246" s="8">
        <v>246243636</v>
      </c>
      <c r="B1246" s="8" t="s">
        <v>10498</v>
      </c>
      <c r="C1246" s="8" t="s">
        <v>10499</v>
      </c>
      <c r="D1246" s="8" t="s">
        <v>4933</v>
      </c>
      <c r="E1246" s="9">
        <v>87476743927</v>
      </c>
      <c r="F1246" s="8"/>
      <c r="G1246" s="9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</row>
    <row r="1247" spans="1:19" ht="15.75" customHeight="1">
      <c r="A1247" s="8">
        <v>246243865</v>
      </c>
      <c r="B1247" s="8" t="s">
        <v>10487</v>
      </c>
      <c r="C1247" s="8" t="s">
        <v>10500</v>
      </c>
      <c r="D1247" s="8" t="s">
        <v>4936</v>
      </c>
      <c r="E1247" s="9" t="s">
        <v>4937</v>
      </c>
      <c r="F1247" s="8"/>
      <c r="G1247" s="9"/>
      <c r="H1247" s="8" t="s">
        <v>8241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</row>
    <row r="1248" spans="1:19" ht="15.75" customHeight="1">
      <c r="A1248" s="8">
        <v>246243983</v>
      </c>
      <c r="B1248" s="8" t="s">
        <v>10501</v>
      </c>
      <c r="C1248" s="8" t="s">
        <v>10502</v>
      </c>
      <c r="D1248" s="8" t="s">
        <v>4940</v>
      </c>
      <c r="E1248" s="9">
        <v>998933175838</v>
      </c>
      <c r="F1248" s="8"/>
      <c r="G1248" s="9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</row>
    <row r="1249" spans="1:19" ht="15.75" customHeight="1">
      <c r="A1249" s="8">
        <v>246244107</v>
      </c>
      <c r="B1249" s="8" t="s">
        <v>10503</v>
      </c>
      <c r="C1249" s="8" t="s">
        <v>10504</v>
      </c>
      <c r="D1249" s="8" t="s">
        <v>4943</v>
      </c>
      <c r="E1249" s="9">
        <v>998901888088</v>
      </c>
      <c r="F1249" s="8"/>
      <c r="G1249" s="9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</row>
    <row r="1250" spans="1:19" ht="15.75" customHeight="1">
      <c r="A1250" s="8">
        <v>246244217</v>
      </c>
      <c r="B1250" s="8" t="s">
        <v>9997</v>
      </c>
      <c r="C1250" s="8" t="s">
        <v>8578</v>
      </c>
      <c r="D1250" s="8" t="s">
        <v>4945</v>
      </c>
      <c r="E1250" s="9" t="s">
        <v>4946</v>
      </c>
      <c r="F1250" s="8"/>
      <c r="G1250" s="9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</row>
    <row r="1251" spans="1:19" ht="15.75" customHeight="1">
      <c r="A1251" s="8">
        <v>246244437</v>
      </c>
      <c r="B1251" s="8" t="s">
        <v>10505</v>
      </c>
      <c r="C1251" s="8" t="s">
        <v>9511</v>
      </c>
      <c r="D1251" s="8" t="s">
        <v>4949</v>
      </c>
      <c r="E1251" s="9" t="s">
        <v>4950</v>
      </c>
      <c r="F1251" s="8"/>
      <c r="G1251" s="9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</row>
    <row r="1252" spans="1:19" ht="15.75" customHeight="1">
      <c r="A1252" s="8">
        <v>246244942</v>
      </c>
      <c r="B1252" s="8" t="s">
        <v>8674</v>
      </c>
      <c r="C1252" s="8" t="s">
        <v>10506</v>
      </c>
      <c r="D1252" s="8" t="s">
        <v>4953</v>
      </c>
      <c r="E1252" s="9" t="s">
        <v>4954</v>
      </c>
      <c r="F1252" s="8"/>
      <c r="G1252" s="9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</row>
    <row r="1253" spans="1:19" ht="15.75" customHeight="1">
      <c r="A1253" s="8">
        <v>246245009</v>
      </c>
      <c r="B1253" s="8" t="s">
        <v>9632</v>
      </c>
      <c r="C1253" s="8" t="s">
        <v>10507</v>
      </c>
      <c r="D1253" s="8" t="s">
        <v>10508</v>
      </c>
      <c r="E1253" s="9">
        <v>998330543717</v>
      </c>
      <c r="F1253" s="8"/>
      <c r="G1253" s="9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</row>
    <row r="1254" spans="1:19" ht="15.75" customHeight="1">
      <c r="A1254" s="8">
        <v>246245091</v>
      </c>
      <c r="B1254" s="8" t="s">
        <v>10509</v>
      </c>
      <c r="C1254" s="8" t="s">
        <v>10510</v>
      </c>
      <c r="D1254" s="8" t="s">
        <v>4957</v>
      </c>
      <c r="E1254" s="9" t="s">
        <v>4958</v>
      </c>
      <c r="F1254" s="8"/>
      <c r="G1254" s="9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</row>
    <row r="1255" spans="1:19" ht="15.75" customHeight="1">
      <c r="A1255" s="8">
        <v>246245423</v>
      </c>
      <c r="B1255" s="8" t="s">
        <v>9026</v>
      </c>
      <c r="C1255" s="8" t="s">
        <v>10511</v>
      </c>
      <c r="D1255" s="8" t="s">
        <v>4961</v>
      </c>
      <c r="E1255" s="9" t="s">
        <v>4962</v>
      </c>
      <c r="F1255" s="8"/>
      <c r="G1255" s="9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</row>
    <row r="1256" spans="1:19" ht="15.75" customHeight="1">
      <c r="A1256" s="8">
        <v>246245676</v>
      </c>
      <c r="B1256" s="8" t="s">
        <v>10512</v>
      </c>
      <c r="C1256" s="8" t="s">
        <v>10513</v>
      </c>
      <c r="D1256" s="8" t="s">
        <v>4965</v>
      </c>
      <c r="E1256" s="9">
        <v>998909013123</v>
      </c>
      <c r="F1256" s="8"/>
      <c r="G1256" s="9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</row>
    <row r="1257" spans="1:19" ht="15.75" customHeight="1">
      <c r="A1257" s="8">
        <v>246245973</v>
      </c>
      <c r="B1257" s="8" t="s">
        <v>7919</v>
      </c>
      <c r="C1257" s="8" t="s">
        <v>10514</v>
      </c>
      <c r="D1257" s="8" t="s">
        <v>4968</v>
      </c>
      <c r="E1257" s="9" t="s">
        <v>4969</v>
      </c>
      <c r="F1257" s="8" t="s">
        <v>10515</v>
      </c>
      <c r="G1257" s="9">
        <v>43</v>
      </c>
      <c r="H1257" s="8" t="s">
        <v>8241</v>
      </c>
      <c r="I1257" s="8" t="s">
        <v>10516</v>
      </c>
      <c r="J1257" s="8"/>
      <c r="K1257" s="8"/>
      <c r="L1257" s="8"/>
      <c r="M1257" s="8"/>
      <c r="N1257" s="8"/>
      <c r="O1257" s="8"/>
      <c r="P1257" s="8"/>
      <c r="Q1257" s="8"/>
      <c r="R1257" s="8"/>
      <c r="S1257" s="8"/>
    </row>
    <row r="1258" spans="1:19" ht="15.75" customHeight="1">
      <c r="A1258" s="8">
        <v>246246036</v>
      </c>
      <c r="B1258" s="8" t="s">
        <v>10517</v>
      </c>
      <c r="C1258" s="8" t="s">
        <v>10518</v>
      </c>
      <c r="D1258" s="8" t="s">
        <v>4972</v>
      </c>
      <c r="E1258" s="9">
        <v>870220550666</v>
      </c>
      <c r="F1258" s="8"/>
      <c r="G1258" s="9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</row>
    <row r="1259" spans="1:19" ht="15.75" customHeight="1">
      <c r="A1259" s="8">
        <v>246246104</v>
      </c>
      <c r="B1259" s="8" t="s">
        <v>10519</v>
      </c>
      <c r="C1259" s="8" t="s">
        <v>10520</v>
      </c>
      <c r="D1259" s="8" t="s">
        <v>4975</v>
      </c>
      <c r="E1259" s="9" t="s">
        <v>4976</v>
      </c>
      <c r="F1259" s="8"/>
      <c r="G1259" s="9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</row>
    <row r="1260" spans="1:19" ht="15.75" customHeight="1">
      <c r="A1260" s="8">
        <v>246246198</v>
      </c>
      <c r="B1260" s="8" t="s">
        <v>10521</v>
      </c>
      <c r="C1260" s="8" t="s">
        <v>10522</v>
      </c>
      <c r="D1260" s="8" t="s">
        <v>4979</v>
      </c>
      <c r="E1260" s="9">
        <v>87753542479</v>
      </c>
      <c r="F1260" s="8"/>
      <c r="G1260" s="9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</row>
    <row r="1261" spans="1:19" ht="15.75" customHeight="1">
      <c r="A1261" s="8">
        <v>246246227</v>
      </c>
      <c r="B1261" s="8" t="s">
        <v>10197</v>
      </c>
      <c r="C1261" s="8" t="s">
        <v>10523</v>
      </c>
      <c r="D1261" s="8" t="s">
        <v>4982</v>
      </c>
      <c r="E1261" s="9" t="s">
        <v>4983</v>
      </c>
      <c r="F1261" s="8"/>
      <c r="G1261" s="9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</row>
    <row r="1262" spans="1:19" ht="15.75" customHeight="1">
      <c r="A1262" s="8">
        <v>246246655</v>
      </c>
      <c r="B1262" s="8" t="s">
        <v>10524</v>
      </c>
      <c r="C1262" s="8" t="s">
        <v>10525</v>
      </c>
      <c r="D1262" s="8" t="s">
        <v>4986</v>
      </c>
      <c r="E1262" s="9" t="s">
        <v>4987</v>
      </c>
      <c r="F1262" s="8"/>
      <c r="G1262" s="9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</row>
    <row r="1263" spans="1:19" ht="15.75" customHeight="1">
      <c r="A1263" s="8">
        <v>246246896</v>
      </c>
      <c r="B1263" s="8" t="s">
        <v>10526</v>
      </c>
      <c r="C1263" s="8" t="s">
        <v>10527</v>
      </c>
      <c r="D1263" s="8" t="s">
        <v>4990</v>
      </c>
      <c r="E1263" s="9" t="s">
        <v>4991</v>
      </c>
      <c r="F1263" s="8"/>
      <c r="G1263" s="9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</row>
    <row r="1264" spans="1:19" ht="15.75" customHeight="1">
      <c r="A1264" s="8">
        <v>246247562</v>
      </c>
      <c r="B1264" s="8" t="s">
        <v>10528</v>
      </c>
      <c r="C1264" s="8" t="s">
        <v>10529</v>
      </c>
      <c r="D1264" s="8" t="s">
        <v>4994</v>
      </c>
      <c r="E1264" s="9" t="s">
        <v>4995</v>
      </c>
      <c r="F1264" s="8"/>
      <c r="G1264" s="9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</row>
    <row r="1265" spans="1:19" ht="15.75" customHeight="1">
      <c r="A1265" s="8">
        <v>246247600</v>
      </c>
      <c r="B1265" s="8" t="s">
        <v>9522</v>
      </c>
      <c r="C1265" s="8" t="s">
        <v>10530</v>
      </c>
      <c r="D1265" s="8" t="s">
        <v>4998</v>
      </c>
      <c r="E1265" s="9">
        <v>87027596552</v>
      </c>
      <c r="F1265" s="8"/>
      <c r="G1265" s="9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</row>
    <row r="1266" spans="1:19" ht="15.75" customHeight="1">
      <c r="A1266" s="8">
        <v>246248487</v>
      </c>
      <c r="B1266" s="8" t="s">
        <v>10531</v>
      </c>
      <c r="C1266" s="8" t="s">
        <v>10532</v>
      </c>
      <c r="D1266" s="8" t="s">
        <v>5004</v>
      </c>
      <c r="E1266" s="9">
        <v>87474646376</v>
      </c>
      <c r="F1266" s="8"/>
      <c r="G1266" s="9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</row>
    <row r="1267" spans="1:19" ht="15.75" customHeight="1">
      <c r="A1267" s="8">
        <v>246248705</v>
      </c>
      <c r="B1267" s="8" t="s">
        <v>10464</v>
      </c>
      <c r="C1267" s="8" t="s">
        <v>10533</v>
      </c>
      <c r="D1267" s="8" t="s">
        <v>5007</v>
      </c>
      <c r="E1267" s="9">
        <v>87474352661</v>
      </c>
      <c r="F1267" s="8"/>
      <c r="G1267" s="9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</row>
    <row r="1268" spans="1:19" ht="15.75" customHeight="1">
      <c r="A1268" s="8">
        <v>246248804</v>
      </c>
      <c r="B1268" s="8" t="s">
        <v>10534</v>
      </c>
      <c r="C1268" s="8" t="s">
        <v>10535</v>
      </c>
      <c r="D1268" s="8" t="s">
        <v>5010</v>
      </c>
      <c r="E1268" s="9" t="s">
        <v>5011</v>
      </c>
      <c r="F1268" s="8"/>
      <c r="G1268" s="9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</row>
    <row r="1269" spans="1:19" ht="15.75" customHeight="1">
      <c r="A1269" s="8">
        <v>246249265</v>
      </c>
      <c r="B1269" s="8" t="s">
        <v>10503</v>
      </c>
      <c r="C1269" s="8" t="s">
        <v>10536</v>
      </c>
      <c r="D1269" s="8" t="s">
        <v>5014</v>
      </c>
      <c r="E1269" s="9" t="s">
        <v>5015</v>
      </c>
      <c r="F1269" s="8"/>
      <c r="G1269" s="9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</row>
    <row r="1270" spans="1:19" ht="15.75" customHeight="1">
      <c r="A1270" s="8">
        <v>246249278</v>
      </c>
      <c r="B1270" s="8" t="s">
        <v>9997</v>
      </c>
      <c r="C1270" s="8" t="s">
        <v>10537</v>
      </c>
      <c r="D1270" s="8" t="s">
        <v>5018</v>
      </c>
      <c r="E1270" s="9">
        <v>87759041663</v>
      </c>
      <c r="F1270" s="8"/>
      <c r="G1270" s="9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</row>
    <row r="1271" spans="1:19" ht="15.75" customHeight="1">
      <c r="A1271" s="8">
        <v>246249477</v>
      </c>
      <c r="B1271" s="8" t="s">
        <v>9157</v>
      </c>
      <c r="C1271" s="8" t="s">
        <v>10538</v>
      </c>
      <c r="D1271" s="8" t="s">
        <v>5021</v>
      </c>
      <c r="E1271" s="9" t="s">
        <v>5022</v>
      </c>
      <c r="F1271" s="8" t="s">
        <v>10539</v>
      </c>
      <c r="G1271" s="9">
        <v>37</v>
      </c>
      <c r="H1271" s="8" t="s">
        <v>8558</v>
      </c>
      <c r="I1271" s="8" t="s">
        <v>8559</v>
      </c>
      <c r="J1271" s="8"/>
      <c r="K1271" s="8"/>
      <c r="L1271" s="8"/>
      <c r="M1271" s="8"/>
      <c r="N1271" s="8"/>
      <c r="O1271" s="8"/>
      <c r="P1271" s="8"/>
      <c r="Q1271" s="8"/>
      <c r="R1271" s="8"/>
      <c r="S1271" s="8"/>
    </row>
    <row r="1272" spans="1:19" ht="15.75" customHeight="1">
      <c r="A1272" s="8">
        <v>246251177</v>
      </c>
      <c r="B1272" s="8" t="s">
        <v>10540</v>
      </c>
      <c r="C1272" s="8" t="s">
        <v>10541</v>
      </c>
      <c r="D1272" s="8" t="s">
        <v>10542</v>
      </c>
      <c r="E1272" s="9">
        <v>87783463409</v>
      </c>
      <c r="F1272" s="8"/>
      <c r="G1272" s="9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</row>
    <row r="1273" spans="1:19" ht="15.75" customHeight="1">
      <c r="A1273" s="8">
        <v>246251547</v>
      </c>
      <c r="B1273" s="8" t="s">
        <v>8410</v>
      </c>
      <c r="C1273" s="8" t="s">
        <v>10543</v>
      </c>
      <c r="D1273" s="8" t="s">
        <v>5025</v>
      </c>
      <c r="E1273" s="9">
        <v>87028569359</v>
      </c>
      <c r="F1273" s="8"/>
      <c r="G1273" s="9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</row>
    <row r="1274" spans="1:19" ht="15.75" customHeight="1">
      <c r="A1274" s="8">
        <v>246251812</v>
      </c>
      <c r="B1274" s="8" t="s">
        <v>10544</v>
      </c>
      <c r="C1274" s="8" t="s">
        <v>10506</v>
      </c>
      <c r="D1274" s="8" t="s">
        <v>5028</v>
      </c>
      <c r="E1274" s="9" t="s">
        <v>5029</v>
      </c>
      <c r="F1274" s="8"/>
      <c r="G1274" s="9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</row>
    <row r="1275" spans="1:19" ht="15.75" customHeight="1">
      <c r="A1275" s="8">
        <v>246251926</v>
      </c>
      <c r="B1275" s="8" t="s">
        <v>10545</v>
      </c>
      <c r="C1275" s="8" t="s">
        <v>10546</v>
      </c>
      <c r="D1275" s="8" t="s">
        <v>5032</v>
      </c>
      <c r="E1275" s="9" t="s">
        <v>5033</v>
      </c>
      <c r="F1275" s="8"/>
      <c r="G1275" s="9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</row>
    <row r="1276" spans="1:19" ht="15.75" customHeight="1">
      <c r="A1276" s="8">
        <v>246253776</v>
      </c>
      <c r="B1276" s="8" t="s">
        <v>9977</v>
      </c>
      <c r="C1276" s="8" t="s">
        <v>10547</v>
      </c>
      <c r="D1276" s="8" t="s">
        <v>5036</v>
      </c>
      <c r="E1276" s="9">
        <v>79213806562</v>
      </c>
      <c r="F1276" s="8" t="s">
        <v>10548</v>
      </c>
      <c r="G1276" s="9">
        <v>1</v>
      </c>
      <c r="H1276" s="8" t="s">
        <v>8463</v>
      </c>
      <c r="I1276" s="8" t="s">
        <v>8464</v>
      </c>
      <c r="J1276" s="8"/>
      <c r="K1276" s="8"/>
      <c r="L1276" s="8"/>
      <c r="M1276" s="8"/>
      <c r="N1276" s="8"/>
      <c r="O1276" s="8"/>
      <c r="P1276" s="8"/>
      <c r="Q1276" s="8"/>
      <c r="R1276" s="8"/>
      <c r="S1276" s="8"/>
    </row>
    <row r="1277" spans="1:19" ht="15.75" customHeight="1">
      <c r="A1277" s="8">
        <v>246254501</v>
      </c>
      <c r="B1277" s="8" t="s">
        <v>10549</v>
      </c>
      <c r="C1277" s="8" t="s">
        <v>10532</v>
      </c>
      <c r="D1277" s="8" t="s">
        <v>5039</v>
      </c>
      <c r="E1277" s="9" t="s">
        <v>5040</v>
      </c>
      <c r="F1277" s="8"/>
      <c r="G1277" s="9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</row>
    <row r="1278" spans="1:19" ht="15.75" customHeight="1">
      <c r="A1278" s="8">
        <v>246254609</v>
      </c>
      <c r="B1278" s="8" t="s">
        <v>10550</v>
      </c>
      <c r="C1278" s="8" t="s">
        <v>10551</v>
      </c>
      <c r="D1278" s="8" t="s">
        <v>5043</v>
      </c>
      <c r="E1278" s="9" t="s">
        <v>5044</v>
      </c>
      <c r="F1278" s="8"/>
      <c r="G1278" s="9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</row>
    <row r="1279" spans="1:19" ht="15.75" customHeight="1">
      <c r="A1279" s="8">
        <v>246254829</v>
      </c>
      <c r="B1279" s="8" t="s">
        <v>8479</v>
      </c>
      <c r="C1279" s="8" t="s">
        <v>10552</v>
      </c>
      <c r="D1279" s="8" t="s">
        <v>5047</v>
      </c>
      <c r="E1279" s="9" t="s">
        <v>5048</v>
      </c>
      <c r="F1279" s="8"/>
      <c r="G1279" s="9"/>
      <c r="H1279" s="8" t="s">
        <v>8241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</row>
    <row r="1280" spans="1:19" ht="15.75" customHeight="1">
      <c r="A1280" s="8">
        <v>246255192</v>
      </c>
      <c r="B1280" s="8" t="s">
        <v>8373</v>
      </c>
      <c r="C1280" s="8" t="s">
        <v>9485</v>
      </c>
      <c r="D1280" s="8" t="s">
        <v>5051</v>
      </c>
      <c r="E1280" s="9">
        <v>87027159558</v>
      </c>
      <c r="F1280" s="8"/>
      <c r="G1280" s="9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</row>
    <row r="1281" spans="1:19" ht="15.75" customHeight="1">
      <c r="A1281" s="8">
        <v>246255366</v>
      </c>
      <c r="B1281" s="8" t="s">
        <v>8206</v>
      </c>
      <c r="C1281" s="8" t="s">
        <v>8560</v>
      </c>
      <c r="D1281" s="8" t="s">
        <v>5053</v>
      </c>
      <c r="E1281" s="9">
        <v>79005618183</v>
      </c>
      <c r="F1281" s="8"/>
      <c r="G1281" s="9"/>
      <c r="H1281" s="8" t="s">
        <v>8164</v>
      </c>
      <c r="I1281" s="8" t="s">
        <v>10553</v>
      </c>
      <c r="J1281" s="8"/>
      <c r="K1281" s="8"/>
      <c r="L1281" s="8"/>
      <c r="M1281" s="8"/>
      <c r="N1281" s="8"/>
      <c r="O1281" s="8"/>
      <c r="P1281" s="8"/>
      <c r="Q1281" s="8"/>
      <c r="R1281" s="8"/>
      <c r="S1281" s="8"/>
    </row>
    <row r="1282" spans="1:19" ht="15.75" customHeight="1">
      <c r="A1282" s="8">
        <v>246255582</v>
      </c>
      <c r="B1282" s="8" t="s">
        <v>10554</v>
      </c>
      <c r="C1282" s="8" t="s">
        <v>10555</v>
      </c>
      <c r="D1282" s="8" t="s">
        <v>5056</v>
      </c>
      <c r="E1282" s="9" t="s">
        <v>5057</v>
      </c>
      <c r="F1282" s="8"/>
      <c r="G1282" s="9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</row>
    <row r="1283" spans="1:19" ht="15.75" customHeight="1">
      <c r="A1283" s="8">
        <v>246255706</v>
      </c>
      <c r="B1283" s="8" t="s">
        <v>7768</v>
      </c>
      <c r="C1283" s="8" t="s">
        <v>10556</v>
      </c>
      <c r="D1283" s="8" t="s">
        <v>5060</v>
      </c>
      <c r="E1283" s="9" t="s">
        <v>5061</v>
      </c>
      <c r="F1283" s="8"/>
      <c r="G1283" s="9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</row>
    <row r="1284" spans="1:19" ht="15.75" customHeight="1">
      <c r="A1284" s="8">
        <v>246255814</v>
      </c>
      <c r="B1284" s="8" t="s">
        <v>9461</v>
      </c>
      <c r="C1284" s="8" t="s">
        <v>10557</v>
      </c>
      <c r="D1284" s="8" t="s">
        <v>5064</v>
      </c>
      <c r="E1284" s="9" t="s">
        <v>5065</v>
      </c>
      <c r="F1284" s="8"/>
      <c r="G1284" s="9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</row>
    <row r="1285" spans="1:19" ht="15.75" customHeight="1">
      <c r="A1285" s="8">
        <v>246255992</v>
      </c>
      <c r="B1285" s="8" t="s">
        <v>10558</v>
      </c>
      <c r="C1285" s="8" t="s">
        <v>10559</v>
      </c>
      <c r="D1285" s="8" t="s">
        <v>5068</v>
      </c>
      <c r="E1285" s="9">
        <v>87787111557</v>
      </c>
      <c r="F1285" s="8"/>
      <c r="G1285" s="9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</row>
    <row r="1286" spans="1:19" ht="15.75" customHeight="1">
      <c r="A1286" s="8">
        <v>246256315</v>
      </c>
      <c r="B1286" s="8" t="s">
        <v>10560</v>
      </c>
      <c r="C1286" s="8" t="s">
        <v>10561</v>
      </c>
      <c r="D1286" s="8" t="s">
        <v>5071</v>
      </c>
      <c r="E1286" s="9">
        <v>77021047208</v>
      </c>
      <c r="F1286" s="8"/>
      <c r="G1286" s="9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</row>
    <row r="1287" spans="1:19" ht="15.75" customHeight="1">
      <c r="A1287" s="8">
        <v>246256326</v>
      </c>
      <c r="B1287" s="8" t="s">
        <v>10562</v>
      </c>
      <c r="C1287" s="8" t="s">
        <v>10563</v>
      </c>
      <c r="D1287" s="8" t="s">
        <v>5074</v>
      </c>
      <c r="E1287" s="9">
        <v>87752641325</v>
      </c>
      <c r="F1287" s="8"/>
      <c r="G1287" s="9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</row>
    <row r="1288" spans="1:19" ht="15.75" customHeight="1">
      <c r="A1288" s="8">
        <v>246256492</v>
      </c>
      <c r="B1288" s="8" t="s">
        <v>10564</v>
      </c>
      <c r="C1288" s="8" t="s">
        <v>10565</v>
      </c>
      <c r="D1288" s="8" t="s">
        <v>5077</v>
      </c>
      <c r="E1288" s="9" t="s">
        <v>5078</v>
      </c>
      <c r="F1288" s="8"/>
      <c r="G1288" s="9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</row>
    <row r="1289" spans="1:19" ht="15.75" customHeight="1">
      <c r="A1289" s="8">
        <v>246256968</v>
      </c>
      <c r="B1289" s="8" t="s">
        <v>10566</v>
      </c>
      <c r="C1289" s="8" t="s">
        <v>10567</v>
      </c>
      <c r="D1289" s="8" t="s">
        <v>5081</v>
      </c>
      <c r="E1289" s="9">
        <v>87059707737</v>
      </c>
      <c r="F1289" s="8" t="s">
        <v>10568</v>
      </c>
      <c r="G1289" s="9">
        <v>0</v>
      </c>
      <c r="H1289" s="8" t="s">
        <v>8241</v>
      </c>
      <c r="I1289" s="8" t="s">
        <v>8426</v>
      </c>
      <c r="J1289" s="8"/>
      <c r="K1289" s="8"/>
      <c r="L1289" s="8"/>
      <c r="M1289" s="8"/>
      <c r="N1289" s="8"/>
      <c r="O1289" s="8"/>
      <c r="P1289" s="8"/>
      <c r="Q1289" s="8"/>
      <c r="R1289" s="8"/>
      <c r="S1289" s="8"/>
    </row>
    <row r="1290" spans="1:19" ht="15.75" customHeight="1">
      <c r="A1290" s="8">
        <v>246257628</v>
      </c>
      <c r="B1290" s="8" t="s">
        <v>10569</v>
      </c>
      <c r="C1290" s="8" t="s">
        <v>10570</v>
      </c>
      <c r="D1290" s="8" t="s">
        <v>5084</v>
      </c>
      <c r="E1290" s="9" t="s">
        <v>5085</v>
      </c>
      <c r="F1290" s="8"/>
      <c r="G1290" s="9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</row>
    <row r="1291" spans="1:19" ht="15.75" customHeight="1">
      <c r="A1291" s="8">
        <v>246257719</v>
      </c>
      <c r="B1291" s="8" t="s">
        <v>10571</v>
      </c>
      <c r="C1291" s="8" t="s">
        <v>10572</v>
      </c>
      <c r="D1291" s="8" t="s">
        <v>5088</v>
      </c>
      <c r="E1291" s="9" t="s">
        <v>5089</v>
      </c>
      <c r="F1291" s="8"/>
      <c r="G1291" s="9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</row>
    <row r="1292" spans="1:19" ht="15.75" customHeight="1">
      <c r="A1292" s="8">
        <v>246257769</v>
      </c>
      <c r="B1292" s="8" t="s">
        <v>8581</v>
      </c>
      <c r="C1292" s="8" t="s">
        <v>10573</v>
      </c>
      <c r="D1292" s="8" t="s">
        <v>5092</v>
      </c>
      <c r="E1292" s="9">
        <v>87028622956</v>
      </c>
      <c r="F1292" s="8"/>
      <c r="G1292" s="9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</row>
    <row r="1293" spans="1:19" ht="15.75" customHeight="1">
      <c r="A1293" s="8">
        <v>246257961</v>
      </c>
      <c r="B1293" s="8" t="s">
        <v>10545</v>
      </c>
      <c r="C1293" s="8" t="s">
        <v>10574</v>
      </c>
      <c r="D1293" s="8" t="s">
        <v>5095</v>
      </c>
      <c r="E1293" s="9">
        <v>933141468</v>
      </c>
      <c r="F1293" s="8"/>
      <c r="G1293" s="9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</row>
    <row r="1294" spans="1:19" ht="15.75" customHeight="1">
      <c r="A1294" s="8">
        <v>246258066</v>
      </c>
      <c r="B1294" s="8" t="s">
        <v>10575</v>
      </c>
      <c r="C1294" s="8" t="s">
        <v>10576</v>
      </c>
      <c r="D1294" s="8" t="s">
        <v>5098</v>
      </c>
      <c r="E1294" s="9">
        <v>87788715092</v>
      </c>
      <c r="F1294" s="8"/>
      <c r="G1294" s="9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</row>
    <row r="1295" spans="1:19" ht="15.75" customHeight="1">
      <c r="A1295" s="8">
        <v>246258447</v>
      </c>
      <c r="B1295" s="8" t="s">
        <v>8479</v>
      </c>
      <c r="C1295" s="8" t="s">
        <v>10577</v>
      </c>
      <c r="D1295" s="8" t="s">
        <v>10578</v>
      </c>
      <c r="E1295" s="9" t="s">
        <v>10579</v>
      </c>
      <c r="F1295" s="8"/>
      <c r="G1295" s="9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</row>
    <row r="1296" spans="1:19" ht="15.75" customHeight="1">
      <c r="A1296" s="8">
        <v>246258950</v>
      </c>
      <c r="B1296" s="8" t="s">
        <v>8234</v>
      </c>
      <c r="C1296" s="8" t="s">
        <v>10580</v>
      </c>
      <c r="D1296" s="8" t="s">
        <v>5101</v>
      </c>
      <c r="E1296" s="9">
        <v>87011267320</v>
      </c>
      <c r="F1296" s="8"/>
      <c r="G1296" s="9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</row>
    <row r="1297" spans="1:19" ht="15.75" customHeight="1">
      <c r="A1297" s="8">
        <v>246259675</v>
      </c>
      <c r="B1297" s="8" t="s">
        <v>8628</v>
      </c>
      <c r="C1297" s="8" t="s">
        <v>10581</v>
      </c>
      <c r="D1297" s="8" t="s">
        <v>5104</v>
      </c>
      <c r="E1297" s="9" t="s">
        <v>5105</v>
      </c>
      <c r="F1297" s="8"/>
      <c r="G1297" s="9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</row>
    <row r="1298" spans="1:19" ht="15.75" customHeight="1">
      <c r="A1298" s="8">
        <v>246259778</v>
      </c>
      <c r="B1298" s="8" t="s">
        <v>10582</v>
      </c>
      <c r="C1298" s="8" t="s">
        <v>10583</v>
      </c>
      <c r="D1298" s="8" t="s">
        <v>10584</v>
      </c>
      <c r="E1298" s="9">
        <v>87716938885</v>
      </c>
      <c r="F1298" s="8"/>
      <c r="G1298" s="9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</row>
    <row r="1299" spans="1:19" ht="15.75" customHeight="1">
      <c r="A1299" s="8">
        <v>246260069</v>
      </c>
      <c r="B1299" s="8" t="s">
        <v>8694</v>
      </c>
      <c r="C1299" s="8" t="s">
        <v>10585</v>
      </c>
      <c r="D1299" s="8" t="s">
        <v>5108</v>
      </c>
      <c r="E1299" s="9">
        <v>998977553836</v>
      </c>
      <c r="F1299" s="8"/>
      <c r="G1299" s="9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</row>
    <row r="1300" spans="1:19" ht="15.75" customHeight="1">
      <c r="A1300" s="8">
        <v>246260262</v>
      </c>
      <c r="B1300" s="8" t="s">
        <v>10586</v>
      </c>
      <c r="C1300" s="8" t="s">
        <v>10587</v>
      </c>
      <c r="D1300" s="8" t="s">
        <v>10588</v>
      </c>
      <c r="E1300" s="9">
        <v>995828599</v>
      </c>
      <c r="F1300" s="8"/>
      <c r="G1300" s="9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</row>
    <row r="1301" spans="1:19" ht="15.75" customHeight="1">
      <c r="A1301" s="8">
        <v>246260263</v>
      </c>
      <c r="B1301" s="8" t="s">
        <v>10589</v>
      </c>
      <c r="C1301" s="8" t="s">
        <v>10590</v>
      </c>
      <c r="D1301" s="8" t="s">
        <v>5111</v>
      </c>
      <c r="E1301" s="9">
        <v>87756323044</v>
      </c>
      <c r="F1301" s="8"/>
      <c r="G1301" s="9"/>
      <c r="H1301" s="8" t="s">
        <v>8241</v>
      </c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</row>
    <row r="1302" spans="1:19" ht="15.75" customHeight="1">
      <c r="A1302" s="8">
        <v>246261034</v>
      </c>
      <c r="B1302" s="8" t="s">
        <v>8283</v>
      </c>
      <c r="C1302" s="8" t="s">
        <v>10591</v>
      </c>
      <c r="D1302" s="8" t="s">
        <v>5114</v>
      </c>
      <c r="E1302" s="9">
        <v>77012262240</v>
      </c>
      <c r="F1302" s="8"/>
      <c r="G1302" s="9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</row>
    <row r="1303" spans="1:19" ht="15.75" customHeight="1">
      <c r="A1303" s="8">
        <v>246261345</v>
      </c>
      <c r="B1303" s="8" t="s">
        <v>10461</v>
      </c>
      <c r="C1303" s="8" t="s">
        <v>10592</v>
      </c>
      <c r="D1303" s="8" t="s">
        <v>5117</v>
      </c>
      <c r="E1303" s="9" t="s">
        <v>5118</v>
      </c>
      <c r="F1303" s="8"/>
      <c r="G1303" s="9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</row>
    <row r="1304" spans="1:19" ht="15.75" customHeight="1">
      <c r="A1304" s="8">
        <v>246261511</v>
      </c>
      <c r="B1304" s="8" t="s">
        <v>8373</v>
      </c>
      <c r="C1304" s="8" t="s">
        <v>10593</v>
      </c>
      <c r="D1304" s="8" t="s">
        <v>5121</v>
      </c>
      <c r="E1304" s="9">
        <v>993731615</v>
      </c>
      <c r="F1304" s="8" t="s">
        <v>10594</v>
      </c>
      <c r="G1304" s="9">
        <v>35</v>
      </c>
      <c r="H1304" s="8" t="s">
        <v>8463</v>
      </c>
      <c r="I1304" s="8" t="s">
        <v>10595</v>
      </c>
      <c r="J1304" s="8"/>
      <c r="K1304" s="8"/>
      <c r="L1304" s="8"/>
      <c r="M1304" s="8"/>
      <c r="N1304" s="8"/>
      <c r="O1304" s="8"/>
      <c r="P1304" s="8"/>
      <c r="Q1304" s="8"/>
      <c r="R1304" s="8"/>
      <c r="S1304" s="8"/>
    </row>
    <row r="1305" spans="1:19" ht="15.75" customHeight="1">
      <c r="A1305" s="8">
        <v>246261790</v>
      </c>
      <c r="B1305" s="8" t="s">
        <v>7768</v>
      </c>
      <c r="C1305" s="8" t="s">
        <v>10596</v>
      </c>
      <c r="D1305" s="8" t="s">
        <v>5124</v>
      </c>
      <c r="E1305" s="9" t="s">
        <v>5125</v>
      </c>
      <c r="F1305" s="8"/>
      <c r="G1305" s="9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</row>
    <row r="1306" spans="1:19" ht="15.75" customHeight="1">
      <c r="A1306" s="8">
        <v>246261999</v>
      </c>
      <c r="B1306" s="8" t="s">
        <v>10597</v>
      </c>
      <c r="C1306" s="8" t="s">
        <v>10598</v>
      </c>
      <c r="D1306" s="8" t="s">
        <v>5128</v>
      </c>
      <c r="E1306" s="9">
        <v>7771366975</v>
      </c>
      <c r="F1306" s="8"/>
      <c r="G1306" s="9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</row>
    <row r="1307" spans="1:19" ht="15.75" customHeight="1">
      <c r="A1307" s="8">
        <v>246262718</v>
      </c>
      <c r="B1307" s="8" t="s">
        <v>10599</v>
      </c>
      <c r="C1307" s="8" t="s">
        <v>10600</v>
      </c>
      <c r="D1307" s="8" t="s">
        <v>5131</v>
      </c>
      <c r="E1307" s="9">
        <v>87013642524</v>
      </c>
      <c r="F1307" s="8"/>
      <c r="G1307" s="9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</row>
    <row r="1308" spans="1:19" ht="15.75" customHeight="1">
      <c r="A1308" s="8">
        <v>246262769</v>
      </c>
      <c r="B1308" s="8" t="s">
        <v>10540</v>
      </c>
      <c r="C1308" s="8" t="s">
        <v>10601</v>
      </c>
      <c r="D1308" s="8" t="s">
        <v>5134</v>
      </c>
      <c r="E1308" s="9">
        <v>87011814445</v>
      </c>
      <c r="F1308" s="8"/>
      <c r="G1308" s="9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</row>
    <row r="1309" spans="1:19" ht="15.75" customHeight="1">
      <c r="A1309" s="8">
        <v>246263088</v>
      </c>
      <c r="B1309" s="8" t="s">
        <v>10602</v>
      </c>
      <c r="C1309" s="8" t="s">
        <v>10603</v>
      </c>
      <c r="D1309" s="8" t="s">
        <v>5137</v>
      </c>
      <c r="E1309" s="9">
        <v>87779208901</v>
      </c>
      <c r="F1309" s="8"/>
      <c r="G1309" s="9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</row>
    <row r="1310" spans="1:19" ht="15.75" customHeight="1">
      <c r="A1310" s="8">
        <v>246263223</v>
      </c>
      <c r="B1310" s="8" t="s">
        <v>10336</v>
      </c>
      <c r="C1310" s="8" t="s">
        <v>10604</v>
      </c>
      <c r="D1310" s="8" t="s">
        <v>5140</v>
      </c>
      <c r="E1310" s="9" t="s">
        <v>5141</v>
      </c>
      <c r="F1310" s="8"/>
      <c r="G1310" s="9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</row>
    <row r="1311" spans="1:19" ht="15.75" customHeight="1">
      <c r="A1311" s="8">
        <v>246264369</v>
      </c>
      <c r="B1311" s="8" t="s">
        <v>10325</v>
      </c>
      <c r="C1311" s="8" t="s">
        <v>10605</v>
      </c>
      <c r="D1311" s="8" t="s">
        <v>5144</v>
      </c>
      <c r="E1311" s="9" t="s">
        <v>5145</v>
      </c>
      <c r="F1311" s="8"/>
      <c r="G1311" s="9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</row>
    <row r="1312" spans="1:19" ht="15.75" customHeight="1">
      <c r="A1312" s="8">
        <v>246264712</v>
      </c>
      <c r="B1312" s="8" t="s">
        <v>10606</v>
      </c>
      <c r="C1312" s="8" t="s">
        <v>10607</v>
      </c>
      <c r="D1312" s="8" t="s">
        <v>5148</v>
      </c>
      <c r="E1312" s="9" t="s">
        <v>5149</v>
      </c>
      <c r="F1312" s="8"/>
      <c r="G1312" s="9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</row>
    <row r="1313" spans="1:19" ht="15.75" customHeight="1">
      <c r="A1313" s="8">
        <v>246264975</v>
      </c>
      <c r="B1313" s="8" t="s">
        <v>10608</v>
      </c>
      <c r="C1313" s="8" t="s">
        <v>10609</v>
      </c>
      <c r="D1313" s="8" t="s">
        <v>5152</v>
      </c>
      <c r="E1313" s="9">
        <v>7015539311</v>
      </c>
      <c r="F1313" s="8" t="s">
        <v>10610</v>
      </c>
      <c r="G1313" s="9">
        <v>38</v>
      </c>
      <c r="H1313" s="8" t="s">
        <v>8241</v>
      </c>
      <c r="I1313" s="8" t="s">
        <v>8242</v>
      </c>
      <c r="J1313" s="8"/>
      <c r="K1313" s="8"/>
      <c r="L1313" s="8"/>
      <c r="M1313" s="8"/>
      <c r="N1313" s="8"/>
      <c r="O1313" s="8"/>
      <c r="P1313" s="8"/>
      <c r="Q1313" s="8"/>
      <c r="R1313" s="8"/>
      <c r="S1313" s="8"/>
    </row>
    <row r="1314" spans="1:19" ht="15.75" customHeight="1">
      <c r="A1314" s="8">
        <v>246265021</v>
      </c>
      <c r="B1314" s="8" t="s">
        <v>8206</v>
      </c>
      <c r="C1314" s="8" t="s">
        <v>10611</v>
      </c>
      <c r="D1314" s="8" t="s">
        <v>5155</v>
      </c>
      <c r="E1314" s="9" t="s">
        <v>5156</v>
      </c>
      <c r="F1314" s="8" t="s">
        <v>10612</v>
      </c>
      <c r="G1314" s="9">
        <v>57</v>
      </c>
      <c r="H1314" s="8" t="s">
        <v>8164</v>
      </c>
      <c r="I1314" s="8" t="s">
        <v>8165</v>
      </c>
      <c r="J1314" s="8"/>
      <c r="K1314" s="8"/>
      <c r="L1314" s="8"/>
      <c r="M1314" s="8"/>
      <c r="N1314" s="8"/>
      <c r="O1314" s="8"/>
      <c r="P1314" s="8"/>
      <c r="Q1314" s="8"/>
      <c r="R1314" s="8"/>
      <c r="S1314" s="8"/>
    </row>
    <row r="1315" spans="1:19" ht="15.75" customHeight="1">
      <c r="A1315" s="8">
        <v>246265522</v>
      </c>
      <c r="B1315" s="8" t="s">
        <v>10613</v>
      </c>
      <c r="C1315" s="8" t="s">
        <v>10614</v>
      </c>
      <c r="D1315" s="8" t="s">
        <v>5159</v>
      </c>
      <c r="E1315" s="9" t="s">
        <v>5160</v>
      </c>
      <c r="F1315" s="8"/>
      <c r="G1315" s="9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</row>
    <row r="1316" spans="1:19" ht="15.75" customHeight="1">
      <c r="A1316" s="8">
        <v>246266080</v>
      </c>
      <c r="B1316" s="8" t="s">
        <v>10440</v>
      </c>
      <c r="C1316" s="8" t="s">
        <v>10440</v>
      </c>
      <c r="D1316" s="8" t="s">
        <v>5163</v>
      </c>
      <c r="E1316" s="9">
        <v>87777777777</v>
      </c>
      <c r="F1316" s="8"/>
      <c r="G1316" s="9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</row>
    <row r="1317" spans="1:19" ht="15.75" customHeight="1">
      <c r="A1317" s="8">
        <v>246266377</v>
      </c>
      <c r="B1317" s="8" t="s">
        <v>8469</v>
      </c>
      <c r="C1317" s="8" t="s">
        <v>10615</v>
      </c>
      <c r="D1317" s="8" t="s">
        <v>5166</v>
      </c>
      <c r="E1317" s="9">
        <v>87055053768</v>
      </c>
      <c r="F1317" s="8"/>
      <c r="G1317" s="9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</row>
    <row r="1318" spans="1:19" ht="15.75" customHeight="1">
      <c r="A1318" s="8">
        <v>246266548</v>
      </c>
      <c r="B1318" s="8" t="s">
        <v>10483</v>
      </c>
      <c r="C1318" s="8" t="s">
        <v>8230</v>
      </c>
      <c r="D1318" s="8" t="s">
        <v>5169</v>
      </c>
      <c r="E1318" s="9" t="s">
        <v>5170</v>
      </c>
      <c r="F1318" s="8"/>
      <c r="G1318" s="9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</row>
    <row r="1319" spans="1:19" ht="15.75" customHeight="1">
      <c r="A1319" s="8">
        <v>246266597</v>
      </c>
      <c r="B1319" s="8" t="s">
        <v>10608</v>
      </c>
      <c r="C1319" s="8" t="s">
        <v>8735</v>
      </c>
      <c r="D1319" s="8" t="s">
        <v>5173</v>
      </c>
      <c r="E1319" s="9">
        <v>87081599579</v>
      </c>
      <c r="F1319" s="8"/>
      <c r="G1319" s="9"/>
      <c r="H1319" s="8" t="s">
        <v>10616</v>
      </c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</row>
    <row r="1320" spans="1:19" ht="15.75" customHeight="1">
      <c r="A1320" s="8">
        <v>246266660</v>
      </c>
      <c r="B1320" s="8" t="s">
        <v>8304</v>
      </c>
      <c r="C1320" s="8" t="s">
        <v>9903</v>
      </c>
      <c r="D1320" s="8" t="s">
        <v>5176</v>
      </c>
      <c r="E1320" s="9">
        <v>87075505852</v>
      </c>
      <c r="F1320" s="8"/>
      <c r="G1320" s="9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</row>
    <row r="1321" spans="1:19" ht="15.75" customHeight="1">
      <c r="A1321" s="8">
        <v>246267426</v>
      </c>
      <c r="B1321" s="8" t="s">
        <v>10617</v>
      </c>
      <c r="C1321" s="8" t="s">
        <v>10618</v>
      </c>
      <c r="D1321" s="8" t="s">
        <v>5179</v>
      </c>
      <c r="E1321" s="9" t="s">
        <v>5180</v>
      </c>
      <c r="F1321" s="8"/>
      <c r="G1321" s="9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</row>
    <row r="1322" spans="1:19" ht="15.75" customHeight="1">
      <c r="A1322" s="8">
        <v>246267456</v>
      </c>
      <c r="B1322" s="8" t="s">
        <v>10619</v>
      </c>
      <c r="C1322" s="8" t="s">
        <v>10620</v>
      </c>
      <c r="D1322" s="8" t="s">
        <v>5183</v>
      </c>
      <c r="E1322" s="9">
        <v>87077663127</v>
      </c>
      <c r="F1322" s="8"/>
      <c r="G1322" s="9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</row>
    <row r="1323" spans="1:19" ht="15.75" customHeight="1">
      <c r="A1323" s="8">
        <v>246267884</v>
      </c>
      <c r="B1323" s="8" t="s">
        <v>9188</v>
      </c>
      <c r="C1323" s="8" t="s">
        <v>10621</v>
      </c>
      <c r="D1323" s="8" t="s">
        <v>5186</v>
      </c>
      <c r="E1323" s="9" t="s">
        <v>5187</v>
      </c>
      <c r="F1323" s="8"/>
      <c r="G1323" s="9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</row>
    <row r="1324" spans="1:19" ht="15.75" customHeight="1">
      <c r="A1324" s="8">
        <v>246268178</v>
      </c>
      <c r="B1324" s="8" t="s">
        <v>10622</v>
      </c>
      <c r="C1324" s="8" t="s">
        <v>10623</v>
      </c>
      <c r="D1324" s="8" t="s">
        <v>10624</v>
      </c>
      <c r="E1324" s="9">
        <v>998946393576</v>
      </c>
      <c r="F1324" s="8"/>
      <c r="G1324" s="9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</row>
    <row r="1325" spans="1:19" ht="15.75" customHeight="1">
      <c r="A1325" s="8">
        <v>246268450</v>
      </c>
      <c r="B1325" s="8" t="s">
        <v>7919</v>
      </c>
      <c r="C1325" s="8" t="s">
        <v>8230</v>
      </c>
      <c r="D1325" s="8" t="s">
        <v>10625</v>
      </c>
      <c r="E1325" s="9" t="s">
        <v>10626</v>
      </c>
      <c r="F1325" s="8"/>
      <c r="G1325" s="9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</row>
    <row r="1326" spans="1:19" ht="15.75" customHeight="1">
      <c r="A1326" s="8">
        <v>246269048</v>
      </c>
      <c r="B1326" s="8" t="s">
        <v>8581</v>
      </c>
      <c r="C1326" s="8" t="s">
        <v>8230</v>
      </c>
      <c r="D1326" s="8" t="s">
        <v>5190</v>
      </c>
      <c r="E1326" s="9">
        <v>903540424</v>
      </c>
      <c r="F1326" s="8"/>
      <c r="G1326" s="9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</row>
    <row r="1327" spans="1:19" ht="15.75" customHeight="1">
      <c r="A1327" s="8">
        <v>246269162</v>
      </c>
      <c r="B1327" s="8" t="s">
        <v>10492</v>
      </c>
      <c r="C1327" s="8" t="s">
        <v>10627</v>
      </c>
      <c r="D1327" s="8" t="s">
        <v>5193</v>
      </c>
      <c r="E1327" s="9">
        <v>87069062888</v>
      </c>
      <c r="F1327" s="8"/>
      <c r="G1327" s="9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</row>
    <row r="1328" spans="1:19" ht="15.75" customHeight="1">
      <c r="A1328" s="8">
        <v>246269342</v>
      </c>
      <c r="B1328" s="8" t="s">
        <v>7768</v>
      </c>
      <c r="C1328" s="8" t="s">
        <v>10628</v>
      </c>
      <c r="D1328" s="8" t="s">
        <v>5196</v>
      </c>
      <c r="E1328" s="9">
        <v>87772176138</v>
      </c>
      <c r="F1328" s="8" t="s">
        <v>10629</v>
      </c>
      <c r="G1328" s="9">
        <v>26</v>
      </c>
      <c r="H1328" s="8" t="s">
        <v>8728</v>
      </c>
      <c r="I1328" s="8" t="s">
        <v>10630</v>
      </c>
      <c r="J1328" s="8"/>
      <c r="K1328" s="8"/>
      <c r="L1328" s="8"/>
      <c r="M1328" s="8"/>
      <c r="N1328" s="8"/>
      <c r="O1328" s="8"/>
      <c r="P1328" s="8"/>
      <c r="Q1328" s="8"/>
      <c r="R1328" s="8"/>
      <c r="S1328" s="8"/>
    </row>
    <row r="1329" spans="1:19" ht="15.75" customHeight="1">
      <c r="A1329" s="8">
        <v>246269961</v>
      </c>
      <c r="B1329" s="8" t="s">
        <v>10631</v>
      </c>
      <c r="C1329" s="8" t="s">
        <v>10632</v>
      </c>
      <c r="D1329" s="8" t="s">
        <v>5200</v>
      </c>
      <c r="E1329" s="9" t="s">
        <v>5201</v>
      </c>
      <c r="F1329" s="8"/>
      <c r="G1329" s="9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</row>
    <row r="1330" spans="1:19" ht="15.75" customHeight="1">
      <c r="A1330" s="8">
        <v>246270077</v>
      </c>
      <c r="B1330" s="8" t="s">
        <v>10633</v>
      </c>
      <c r="C1330" s="8" t="s">
        <v>10634</v>
      </c>
      <c r="D1330" s="8" t="s">
        <v>5204</v>
      </c>
      <c r="E1330" s="9" t="s">
        <v>5205</v>
      </c>
      <c r="F1330" s="8"/>
      <c r="G1330" s="9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</row>
    <row r="1331" spans="1:19" ht="15.75" customHeight="1">
      <c r="A1331" s="8">
        <v>246270202</v>
      </c>
      <c r="B1331" s="8" t="s">
        <v>8717</v>
      </c>
      <c r="C1331" s="8" t="s">
        <v>10635</v>
      </c>
      <c r="D1331" s="8" t="s">
        <v>5208</v>
      </c>
      <c r="E1331" s="9" t="s">
        <v>5209</v>
      </c>
      <c r="F1331" s="8"/>
      <c r="G1331" s="9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</row>
    <row r="1332" spans="1:19" ht="15.75" customHeight="1">
      <c r="A1332" s="8">
        <v>246270659</v>
      </c>
      <c r="B1332" s="8" t="s">
        <v>10461</v>
      </c>
      <c r="C1332" s="8" t="s">
        <v>10636</v>
      </c>
      <c r="D1332" s="8" t="s">
        <v>5212</v>
      </c>
      <c r="E1332" s="9" t="s">
        <v>5213</v>
      </c>
      <c r="F1332" s="8"/>
      <c r="G1332" s="9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</row>
    <row r="1333" spans="1:19" ht="15.75" customHeight="1">
      <c r="A1333" s="8">
        <v>246270916</v>
      </c>
      <c r="B1333" s="8" t="s">
        <v>10637</v>
      </c>
      <c r="C1333" s="8" t="s">
        <v>10638</v>
      </c>
      <c r="D1333" s="8" t="s">
        <v>5216</v>
      </c>
      <c r="E1333" s="9" t="s">
        <v>5217</v>
      </c>
      <c r="F1333" s="8"/>
      <c r="G1333" s="9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</row>
    <row r="1334" spans="1:19" ht="15.75" customHeight="1">
      <c r="A1334" s="8">
        <v>246270926</v>
      </c>
      <c r="B1334" s="8" t="s">
        <v>10365</v>
      </c>
      <c r="C1334" s="8" t="s">
        <v>8585</v>
      </c>
      <c r="D1334" s="8" t="s">
        <v>5220</v>
      </c>
      <c r="E1334" s="9" t="s">
        <v>5221</v>
      </c>
      <c r="F1334" s="8" t="s">
        <v>10639</v>
      </c>
      <c r="G1334" s="9">
        <v>35</v>
      </c>
      <c r="H1334" s="8" t="s">
        <v>8241</v>
      </c>
      <c r="I1334" s="8" t="s">
        <v>10640</v>
      </c>
      <c r="J1334" s="8"/>
      <c r="K1334" s="8"/>
      <c r="L1334" s="8"/>
      <c r="M1334" s="8"/>
      <c r="N1334" s="8"/>
      <c r="O1334" s="8"/>
      <c r="P1334" s="8"/>
      <c r="Q1334" s="8"/>
      <c r="R1334" s="8"/>
      <c r="S1334" s="8"/>
    </row>
    <row r="1335" spans="1:19" ht="15.75" customHeight="1">
      <c r="A1335" s="8">
        <v>246271791</v>
      </c>
      <c r="B1335" s="8" t="s">
        <v>8579</v>
      </c>
      <c r="C1335" s="8" t="s">
        <v>10641</v>
      </c>
      <c r="D1335" s="8" t="s">
        <v>5224</v>
      </c>
      <c r="E1335" s="9">
        <v>87477481077</v>
      </c>
      <c r="F1335" s="8"/>
      <c r="G1335" s="9"/>
      <c r="H1335" s="8" t="s">
        <v>8715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</row>
    <row r="1336" spans="1:19" ht="15.75" customHeight="1">
      <c r="A1336" s="8">
        <v>246271933</v>
      </c>
      <c r="B1336" s="8" t="s">
        <v>10642</v>
      </c>
      <c r="C1336" s="8" t="s">
        <v>10643</v>
      </c>
      <c r="D1336" s="8" t="s">
        <v>5227</v>
      </c>
      <c r="E1336" s="9">
        <v>77004480404</v>
      </c>
      <c r="F1336" s="8"/>
      <c r="G1336" s="9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</row>
    <row r="1337" spans="1:19" ht="15.75" customHeight="1">
      <c r="A1337" s="8">
        <v>246272247</v>
      </c>
      <c r="B1337" s="8" t="s">
        <v>10644</v>
      </c>
      <c r="C1337" s="8" t="s">
        <v>10645</v>
      </c>
      <c r="D1337" s="8" t="s">
        <v>10646</v>
      </c>
      <c r="E1337" s="9" t="s">
        <v>10647</v>
      </c>
      <c r="F1337" s="8"/>
      <c r="G1337" s="9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</row>
    <row r="1338" spans="1:19" ht="15.75" customHeight="1">
      <c r="A1338" s="8">
        <v>246272379</v>
      </c>
      <c r="B1338" s="8" t="s">
        <v>8942</v>
      </c>
      <c r="C1338" s="8" t="s">
        <v>10358</v>
      </c>
      <c r="D1338" s="8" t="s">
        <v>5230</v>
      </c>
      <c r="E1338" s="9" t="s">
        <v>5231</v>
      </c>
      <c r="F1338" s="8"/>
      <c r="G1338" s="9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</row>
    <row r="1339" spans="1:19" ht="15.75" customHeight="1">
      <c r="A1339" s="8">
        <v>246272630</v>
      </c>
      <c r="B1339" s="8" t="s">
        <v>8579</v>
      </c>
      <c r="C1339" s="8" t="s">
        <v>10648</v>
      </c>
      <c r="D1339" s="8" t="s">
        <v>5234</v>
      </c>
      <c r="E1339" s="9" t="s">
        <v>5235</v>
      </c>
      <c r="F1339" s="8"/>
      <c r="G1339" s="9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</row>
    <row r="1340" spans="1:19" ht="15.75" customHeight="1">
      <c r="A1340" s="8">
        <v>246272708</v>
      </c>
      <c r="B1340" s="8" t="s">
        <v>10649</v>
      </c>
      <c r="C1340" s="8" t="s">
        <v>10650</v>
      </c>
      <c r="D1340" s="8" t="s">
        <v>5238</v>
      </c>
      <c r="E1340" s="9">
        <v>87783559875</v>
      </c>
      <c r="F1340" s="8"/>
      <c r="G1340" s="9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</row>
    <row r="1341" spans="1:19" ht="15.75" customHeight="1">
      <c r="A1341" s="8">
        <v>246272834</v>
      </c>
      <c r="B1341" s="8" t="s">
        <v>10651</v>
      </c>
      <c r="C1341" s="8" t="s">
        <v>10652</v>
      </c>
      <c r="D1341" s="8" t="s">
        <v>5241</v>
      </c>
      <c r="E1341" s="9">
        <v>87082956209</v>
      </c>
      <c r="F1341" s="8"/>
      <c r="G1341" s="9"/>
      <c r="H1341" s="8" t="s">
        <v>8241</v>
      </c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</row>
    <row r="1342" spans="1:19" ht="15.75" customHeight="1">
      <c r="A1342" s="8">
        <v>246272987</v>
      </c>
      <c r="B1342" s="8" t="s">
        <v>8773</v>
      </c>
      <c r="C1342" s="8" t="s">
        <v>10653</v>
      </c>
      <c r="D1342" s="8" t="s">
        <v>5244</v>
      </c>
      <c r="E1342" s="9">
        <v>87470322087</v>
      </c>
      <c r="F1342" s="8"/>
      <c r="G1342" s="9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</row>
    <row r="1343" spans="1:19" ht="15.75" customHeight="1">
      <c r="A1343" s="8">
        <v>246273018</v>
      </c>
      <c r="B1343" s="8" t="s">
        <v>10654</v>
      </c>
      <c r="C1343" s="8" t="s">
        <v>10655</v>
      </c>
      <c r="D1343" s="8" t="s">
        <v>5247</v>
      </c>
      <c r="E1343" s="9" t="s">
        <v>5248</v>
      </c>
      <c r="F1343" s="8"/>
      <c r="G1343" s="9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</row>
    <row r="1344" spans="1:19" ht="15.75" customHeight="1">
      <c r="A1344" s="8">
        <v>246273020</v>
      </c>
      <c r="B1344" s="8" t="s">
        <v>10656</v>
      </c>
      <c r="C1344" s="8" t="s">
        <v>10657</v>
      </c>
      <c r="D1344" s="8" t="s">
        <v>5251</v>
      </c>
      <c r="E1344" s="9" t="s">
        <v>5252</v>
      </c>
      <c r="F1344" s="8"/>
      <c r="G1344" s="9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</row>
    <row r="1345" spans="1:19" ht="15.75" customHeight="1">
      <c r="A1345" s="8">
        <v>246273049</v>
      </c>
      <c r="B1345" s="8" t="s">
        <v>9213</v>
      </c>
      <c r="C1345" s="8" t="s">
        <v>10658</v>
      </c>
      <c r="D1345" s="8" t="s">
        <v>5255</v>
      </c>
      <c r="E1345" s="9">
        <v>79871364660</v>
      </c>
      <c r="F1345" s="8"/>
      <c r="G1345" s="9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</row>
    <row r="1346" spans="1:19" ht="15.75" customHeight="1">
      <c r="A1346" s="8">
        <v>246273153</v>
      </c>
      <c r="B1346" s="8" t="s">
        <v>8689</v>
      </c>
      <c r="C1346" s="8" t="s">
        <v>10659</v>
      </c>
      <c r="D1346" s="8" t="s">
        <v>5258</v>
      </c>
      <c r="E1346" s="9" t="s">
        <v>5259</v>
      </c>
      <c r="F1346" s="8"/>
      <c r="G1346" s="9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</row>
    <row r="1347" spans="1:19" ht="15.75" customHeight="1">
      <c r="A1347" s="8">
        <v>246273302</v>
      </c>
      <c r="B1347" s="8" t="s">
        <v>8760</v>
      </c>
      <c r="C1347" s="8" t="s">
        <v>10660</v>
      </c>
      <c r="D1347" s="8" t="s">
        <v>5262</v>
      </c>
      <c r="E1347" s="9" t="s">
        <v>5263</v>
      </c>
      <c r="F1347" s="8" t="s">
        <v>10661</v>
      </c>
      <c r="G1347" s="9">
        <v>52</v>
      </c>
      <c r="H1347" s="8" t="s">
        <v>8241</v>
      </c>
      <c r="I1347" s="8" t="s">
        <v>10662</v>
      </c>
      <c r="J1347" s="8"/>
      <c r="K1347" s="8"/>
      <c r="L1347" s="8"/>
      <c r="M1347" s="8"/>
      <c r="N1347" s="8"/>
      <c r="O1347" s="8"/>
      <c r="P1347" s="8"/>
      <c r="Q1347" s="8"/>
      <c r="R1347" s="8"/>
      <c r="S1347" s="8"/>
    </row>
    <row r="1348" spans="1:19" ht="15.75" customHeight="1">
      <c r="A1348" s="8">
        <v>246273350</v>
      </c>
      <c r="B1348" s="8" t="s">
        <v>10644</v>
      </c>
      <c r="C1348" s="8" t="s">
        <v>10663</v>
      </c>
      <c r="D1348" s="8" t="s">
        <v>5266</v>
      </c>
      <c r="E1348" s="9">
        <v>998850646</v>
      </c>
      <c r="F1348" s="8" t="s">
        <v>10664</v>
      </c>
      <c r="G1348" s="9">
        <v>20</v>
      </c>
      <c r="H1348" s="8" t="s">
        <v>10419</v>
      </c>
      <c r="I1348" s="8" t="s">
        <v>10665</v>
      </c>
      <c r="J1348" s="8"/>
      <c r="K1348" s="8"/>
      <c r="L1348" s="8"/>
      <c r="M1348" s="8"/>
      <c r="N1348" s="8"/>
      <c r="O1348" s="8"/>
      <c r="P1348" s="8"/>
      <c r="Q1348" s="8"/>
      <c r="R1348" s="8"/>
      <c r="S1348" s="8"/>
    </row>
    <row r="1349" spans="1:19" ht="15.75" customHeight="1">
      <c r="A1349" s="8">
        <v>246273858</v>
      </c>
      <c r="B1349" s="8" t="s">
        <v>10666</v>
      </c>
      <c r="C1349" s="8" t="s">
        <v>10667</v>
      </c>
      <c r="D1349" s="8" t="s">
        <v>5270</v>
      </c>
      <c r="E1349" s="9">
        <v>87076100983</v>
      </c>
      <c r="F1349" s="8"/>
      <c r="G1349" s="9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</row>
    <row r="1350" spans="1:19" ht="15.75" customHeight="1">
      <c r="A1350" s="8">
        <v>246273976</v>
      </c>
      <c r="B1350" s="8" t="s">
        <v>10668</v>
      </c>
      <c r="C1350" s="8" t="s">
        <v>10669</v>
      </c>
      <c r="D1350" s="8" t="s">
        <v>5273</v>
      </c>
      <c r="E1350" s="9" t="s">
        <v>5274</v>
      </c>
      <c r="F1350" s="8"/>
      <c r="G1350" s="9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</row>
    <row r="1351" spans="1:19" ht="15.75" customHeight="1">
      <c r="A1351" s="8">
        <v>246274146</v>
      </c>
      <c r="B1351" s="8" t="s">
        <v>10670</v>
      </c>
      <c r="C1351" s="8" t="s">
        <v>10671</v>
      </c>
      <c r="D1351" s="8" t="s">
        <v>5277</v>
      </c>
      <c r="E1351" s="9" t="s">
        <v>5278</v>
      </c>
      <c r="F1351" s="8"/>
      <c r="G1351" s="9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</row>
    <row r="1352" spans="1:19" ht="15.75" customHeight="1">
      <c r="A1352" s="8">
        <v>246275086</v>
      </c>
      <c r="B1352" s="8" t="s">
        <v>10365</v>
      </c>
      <c r="C1352" s="8" t="s">
        <v>10672</v>
      </c>
      <c r="D1352" s="8" t="s">
        <v>5281</v>
      </c>
      <c r="E1352" s="9" t="s">
        <v>5282</v>
      </c>
      <c r="F1352" s="8"/>
      <c r="G1352" s="9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</row>
    <row r="1353" spans="1:19" ht="15.75" customHeight="1">
      <c r="A1353" s="8">
        <v>246275110</v>
      </c>
      <c r="B1353" s="8" t="s">
        <v>8410</v>
      </c>
      <c r="C1353" s="8" t="s">
        <v>10673</v>
      </c>
      <c r="D1353" s="8" t="s">
        <v>5285</v>
      </c>
      <c r="E1353" s="9">
        <v>87784091163</v>
      </c>
      <c r="F1353" s="8" t="s">
        <v>10674</v>
      </c>
      <c r="G1353" s="9">
        <v>35</v>
      </c>
      <c r="H1353" s="8" t="s">
        <v>8728</v>
      </c>
      <c r="I1353" s="8" t="s">
        <v>8281</v>
      </c>
      <c r="J1353" s="8"/>
      <c r="K1353" s="8"/>
      <c r="L1353" s="8"/>
      <c r="M1353" s="8"/>
      <c r="N1353" s="8"/>
      <c r="O1353" s="8"/>
      <c r="P1353" s="8"/>
      <c r="Q1353" s="8"/>
      <c r="R1353" s="8"/>
      <c r="S1353" s="8"/>
    </row>
    <row r="1354" spans="1:19" ht="15.75" customHeight="1">
      <c r="A1354" s="8">
        <v>246275274</v>
      </c>
      <c r="B1354" s="8" t="s">
        <v>10675</v>
      </c>
      <c r="C1354" s="8" t="s">
        <v>10676</v>
      </c>
      <c r="D1354" s="8" t="s">
        <v>10677</v>
      </c>
      <c r="E1354" s="9">
        <v>998900040062</v>
      </c>
      <c r="F1354" s="8"/>
      <c r="G1354" s="9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</row>
    <row r="1355" spans="1:19" ht="15.75" customHeight="1">
      <c r="A1355" s="8">
        <v>246275406</v>
      </c>
      <c r="B1355" s="8" t="s">
        <v>10566</v>
      </c>
      <c r="C1355" s="8" t="s">
        <v>10627</v>
      </c>
      <c r="D1355" s="8" t="s">
        <v>5288</v>
      </c>
      <c r="E1355" s="9">
        <v>87089880158</v>
      </c>
      <c r="F1355" s="8"/>
      <c r="G1355" s="9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</row>
    <row r="1356" spans="1:19" ht="15.75" customHeight="1">
      <c r="A1356" s="8">
        <v>246275466</v>
      </c>
      <c r="B1356" s="8" t="s">
        <v>8721</v>
      </c>
      <c r="C1356" s="8" t="s">
        <v>10678</v>
      </c>
      <c r="D1356" s="8" t="s">
        <v>5291</v>
      </c>
      <c r="E1356" s="9">
        <v>87471529829</v>
      </c>
      <c r="F1356" s="8"/>
      <c r="G1356" s="9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</row>
    <row r="1357" spans="1:19" ht="15.75" customHeight="1">
      <c r="A1357" s="8">
        <v>246275822</v>
      </c>
      <c r="B1357" s="8" t="s">
        <v>8866</v>
      </c>
      <c r="C1357" s="8" t="s">
        <v>9362</v>
      </c>
      <c r="D1357" s="8" t="s">
        <v>5294</v>
      </c>
      <c r="E1357" s="9" t="s">
        <v>5295</v>
      </c>
      <c r="F1357" s="8"/>
      <c r="G1357" s="9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</row>
    <row r="1358" spans="1:19" ht="15.75" customHeight="1">
      <c r="A1358" s="8">
        <v>246276005</v>
      </c>
      <c r="B1358" s="8" t="s">
        <v>10679</v>
      </c>
      <c r="C1358" s="8" t="s">
        <v>10680</v>
      </c>
      <c r="D1358" s="8" t="s">
        <v>5298</v>
      </c>
      <c r="E1358" s="9" t="s">
        <v>5299</v>
      </c>
      <c r="F1358" s="8"/>
      <c r="G1358" s="9"/>
      <c r="H1358" s="8" t="s">
        <v>8463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</row>
    <row r="1359" spans="1:19" ht="15.75" customHeight="1">
      <c r="A1359" s="8">
        <v>246276048</v>
      </c>
      <c r="B1359" s="8" t="s">
        <v>8479</v>
      </c>
      <c r="C1359" s="8" t="s">
        <v>10681</v>
      </c>
      <c r="D1359" s="8" t="s">
        <v>5302</v>
      </c>
      <c r="E1359" s="9">
        <v>87014562141</v>
      </c>
      <c r="F1359" s="8"/>
      <c r="G1359" s="9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</row>
    <row r="1360" spans="1:19" ht="15.75" customHeight="1">
      <c r="A1360" s="8">
        <v>246276224</v>
      </c>
      <c r="B1360" s="8" t="s">
        <v>10682</v>
      </c>
      <c r="C1360" s="8" t="s">
        <v>10627</v>
      </c>
      <c r="D1360" s="8" t="s">
        <v>5305</v>
      </c>
      <c r="E1360" s="9" t="s">
        <v>5306</v>
      </c>
      <c r="F1360" s="8"/>
      <c r="G1360" s="9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</row>
    <row r="1361" spans="1:19" ht="15.75" customHeight="1">
      <c r="A1361" s="8">
        <v>246276338</v>
      </c>
      <c r="B1361" s="8" t="s">
        <v>10683</v>
      </c>
      <c r="C1361" s="8" t="s">
        <v>10684</v>
      </c>
      <c r="D1361" s="8" t="s">
        <v>5309</v>
      </c>
      <c r="E1361" s="9" t="s">
        <v>5310</v>
      </c>
      <c r="F1361" s="8"/>
      <c r="G1361" s="9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</row>
    <row r="1362" spans="1:19" ht="15.75" customHeight="1">
      <c r="A1362" s="8">
        <v>246276483</v>
      </c>
      <c r="B1362" s="8" t="s">
        <v>8721</v>
      </c>
      <c r="C1362" s="8" t="s">
        <v>10685</v>
      </c>
      <c r="D1362" s="8" t="s">
        <v>5313</v>
      </c>
      <c r="E1362" s="9">
        <v>87077673593</v>
      </c>
      <c r="F1362" s="8"/>
      <c r="G1362" s="9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</row>
    <row r="1363" spans="1:19" ht="15.75" customHeight="1">
      <c r="A1363" s="8">
        <v>246276599</v>
      </c>
      <c r="B1363" s="8" t="s">
        <v>10686</v>
      </c>
      <c r="C1363" s="8" t="s">
        <v>10687</v>
      </c>
      <c r="D1363" s="8" t="s">
        <v>5316</v>
      </c>
      <c r="E1363" s="9">
        <v>909971429</v>
      </c>
      <c r="F1363" s="8"/>
      <c r="G1363" s="9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</row>
    <row r="1364" spans="1:19" ht="15.75" customHeight="1">
      <c r="A1364" s="8">
        <v>246277234</v>
      </c>
      <c r="B1364" s="8" t="s">
        <v>10688</v>
      </c>
      <c r="C1364" s="8" t="s">
        <v>10689</v>
      </c>
      <c r="D1364" s="8" t="s">
        <v>5319</v>
      </c>
      <c r="E1364" s="9">
        <v>79103295589</v>
      </c>
      <c r="F1364" s="8" t="s">
        <v>10690</v>
      </c>
      <c r="G1364" s="9">
        <v>49</v>
      </c>
      <c r="H1364" s="8" t="s">
        <v>8789</v>
      </c>
      <c r="I1364" s="8" t="s">
        <v>10691</v>
      </c>
      <c r="J1364" s="8"/>
      <c r="K1364" s="8"/>
      <c r="L1364" s="8"/>
      <c r="M1364" s="8"/>
      <c r="N1364" s="8"/>
      <c r="O1364" s="8"/>
      <c r="P1364" s="8"/>
      <c r="Q1364" s="8"/>
      <c r="R1364" s="8"/>
      <c r="S1364" s="8"/>
    </row>
    <row r="1365" spans="1:19" ht="15.75" customHeight="1">
      <c r="A1365" s="8">
        <v>246277307</v>
      </c>
      <c r="B1365" s="8" t="s">
        <v>10692</v>
      </c>
      <c r="C1365" s="8" t="s">
        <v>10693</v>
      </c>
      <c r="D1365" s="8" t="s">
        <v>5322</v>
      </c>
      <c r="E1365" s="9">
        <v>87769163657</v>
      </c>
      <c r="F1365" s="8"/>
      <c r="G1365" s="9"/>
      <c r="H1365" s="8" t="s">
        <v>8241</v>
      </c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</row>
    <row r="1366" spans="1:19" ht="15.75" customHeight="1">
      <c r="A1366" s="8">
        <v>246277579</v>
      </c>
      <c r="B1366" s="8" t="s">
        <v>7818</v>
      </c>
      <c r="C1366" s="8" t="s">
        <v>10694</v>
      </c>
      <c r="D1366" s="8" t="s">
        <v>5325</v>
      </c>
      <c r="E1366" s="9" t="s">
        <v>5326</v>
      </c>
      <c r="F1366" s="8"/>
      <c r="G1366" s="9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</row>
    <row r="1367" spans="1:19" ht="15.75" customHeight="1">
      <c r="A1367" s="8">
        <v>246278167</v>
      </c>
      <c r="B1367" s="8" t="s">
        <v>8742</v>
      </c>
      <c r="C1367" s="8" t="s">
        <v>10695</v>
      </c>
      <c r="D1367" s="8" t="s">
        <v>5329</v>
      </c>
      <c r="E1367" s="9">
        <v>87075959551</v>
      </c>
      <c r="F1367" s="8"/>
      <c r="G1367" s="9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</row>
    <row r="1368" spans="1:19" ht="15.75" customHeight="1">
      <c r="A1368" s="8">
        <v>246279063</v>
      </c>
      <c r="B1368" s="8" t="s">
        <v>10696</v>
      </c>
      <c r="C1368" s="8" t="s">
        <v>10535</v>
      </c>
      <c r="D1368" s="8" t="s">
        <v>5332</v>
      </c>
      <c r="E1368" s="9">
        <v>972360605</v>
      </c>
      <c r="F1368" s="8"/>
      <c r="G1368" s="9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</row>
    <row r="1369" spans="1:19" ht="15.75" customHeight="1">
      <c r="A1369" s="8">
        <v>246279215</v>
      </c>
      <c r="B1369" s="8" t="s">
        <v>10697</v>
      </c>
      <c r="C1369" s="8" t="s">
        <v>10698</v>
      </c>
      <c r="D1369" s="8" t="s">
        <v>10699</v>
      </c>
      <c r="E1369" s="9">
        <v>79030077773</v>
      </c>
      <c r="F1369" s="8"/>
      <c r="G1369" s="9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</row>
    <row r="1370" spans="1:19" ht="15.75" customHeight="1">
      <c r="A1370" s="8">
        <v>246279282</v>
      </c>
      <c r="B1370" s="8" t="s">
        <v>10700</v>
      </c>
      <c r="C1370" s="8" t="s">
        <v>10701</v>
      </c>
      <c r="D1370" s="8" t="s">
        <v>5335</v>
      </c>
      <c r="E1370" s="9">
        <v>87017733203</v>
      </c>
      <c r="F1370" s="8"/>
      <c r="G1370" s="9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</row>
    <row r="1371" spans="1:19" ht="15.75" customHeight="1">
      <c r="A1371" s="8">
        <v>246279363</v>
      </c>
      <c r="B1371" s="8" t="s">
        <v>8410</v>
      </c>
      <c r="C1371" s="8" t="s">
        <v>10702</v>
      </c>
      <c r="D1371" s="8" t="s">
        <v>5338</v>
      </c>
      <c r="E1371" s="9">
        <v>77051803243</v>
      </c>
      <c r="F1371" s="8"/>
      <c r="G1371" s="9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</row>
    <row r="1372" spans="1:19" ht="15.75" customHeight="1">
      <c r="A1372" s="8">
        <v>246279401</v>
      </c>
      <c r="B1372" s="8" t="s">
        <v>10703</v>
      </c>
      <c r="C1372" s="8" t="s">
        <v>10704</v>
      </c>
      <c r="D1372" s="8" t="s">
        <v>5341</v>
      </c>
      <c r="E1372" s="9" t="s">
        <v>5342</v>
      </c>
      <c r="F1372" s="8"/>
      <c r="G1372" s="9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</row>
    <row r="1373" spans="1:19" ht="15.75" customHeight="1">
      <c r="A1373" s="8">
        <v>246279411</v>
      </c>
      <c r="B1373" s="8" t="s">
        <v>10427</v>
      </c>
      <c r="C1373" s="8" t="s">
        <v>10705</v>
      </c>
      <c r="D1373" s="8" t="s">
        <v>5345</v>
      </c>
      <c r="E1373" s="9">
        <v>87076870772</v>
      </c>
      <c r="F1373" s="8"/>
      <c r="G1373" s="9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</row>
    <row r="1374" spans="1:19" ht="15.75" customHeight="1">
      <c r="A1374" s="8">
        <v>246279696</v>
      </c>
      <c r="B1374" s="8" t="s">
        <v>7399</v>
      </c>
      <c r="C1374" s="8" t="s">
        <v>10706</v>
      </c>
      <c r="D1374" s="8" t="s">
        <v>10707</v>
      </c>
      <c r="E1374" s="9">
        <v>77052216617</v>
      </c>
      <c r="F1374" s="8"/>
      <c r="G1374" s="9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</row>
    <row r="1375" spans="1:19" ht="15.75" customHeight="1">
      <c r="A1375" s="8">
        <v>246279867</v>
      </c>
      <c r="B1375" s="8" t="s">
        <v>9157</v>
      </c>
      <c r="C1375" s="8" t="s">
        <v>10708</v>
      </c>
      <c r="D1375" s="8" t="s">
        <v>5348</v>
      </c>
      <c r="E1375" s="9">
        <v>79530423449</v>
      </c>
      <c r="F1375" s="8"/>
      <c r="G1375" s="9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</row>
    <row r="1376" spans="1:19" ht="15.75" customHeight="1">
      <c r="A1376" s="8">
        <v>246279988</v>
      </c>
      <c r="B1376" s="8" t="s">
        <v>8866</v>
      </c>
      <c r="C1376" s="8" t="s">
        <v>10475</v>
      </c>
      <c r="D1376" s="8" t="s">
        <v>5351</v>
      </c>
      <c r="E1376" s="9">
        <v>87471159395</v>
      </c>
      <c r="F1376" s="8"/>
      <c r="G1376" s="9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</row>
    <row r="1377" spans="1:19" ht="15.75" customHeight="1">
      <c r="A1377" s="8">
        <v>246280578</v>
      </c>
      <c r="B1377" s="8" t="s">
        <v>10709</v>
      </c>
      <c r="C1377" s="8" t="s">
        <v>9197</v>
      </c>
      <c r="D1377" s="8" t="s">
        <v>5354</v>
      </c>
      <c r="E1377" s="9" t="s">
        <v>5355</v>
      </c>
      <c r="F1377" s="8"/>
      <c r="G1377" s="9"/>
      <c r="H1377" s="8" t="s">
        <v>8183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</row>
    <row r="1378" spans="1:19" ht="15.75" customHeight="1">
      <c r="A1378" s="8">
        <v>246281013</v>
      </c>
      <c r="B1378" s="8" t="s">
        <v>7787</v>
      </c>
      <c r="C1378" s="8" t="s">
        <v>10710</v>
      </c>
      <c r="D1378" s="8" t="s">
        <v>10711</v>
      </c>
      <c r="E1378" s="9">
        <v>909968680</v>
      </c>
      <c r="F1378" s="8"/>
      <c r="G1378" s="9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</row>
    <row r="1379" spans="1:19" ht="15.75" customHeight="1">
      <c r="A1379" s="8">
        <v>246281208</v>
      </c>
      <c r="B1379" s="8" t="s">
        <v>7399</v>
      </c>
      <c r="C1379" s="8" t="s">
        <v>10712</v>
      </c>
      <c r="D1379" s="8" t="s">
        <v>5358</v>
      </c>
      <c r="E1379" s="9" t="s">
        <v>5359</v>
      </c>
      <c r="F1379" s="8" t="s">
        <v>10713</v>
      </c>
      <c r="G1379" s="9">
        <v>0</v>
      </c>
      <c r="H1379" s="8" t="s">
        <v>8463</v>
      </c>
      <c r="I1379" s="8" t="s">
        <v>8464</v>
      </c>
      <c r="J1379" s="8"/>
      <c r="K1379" s="8"/>
      <c r="L1379" s="8"/>
      <c r="M1379" s="8"/>
      <c r="N1379" s="8"/>
      <c r="O1379" s="8"/>
      <c r="P1379" s="8"/>
      <c r="Q1379" s="8"/>
      <c r="R1379" s="8"/>
      <c r="S1379" s="8"/>
    </row>
    <row r="1380" spans="1:19" ht="15.75" customHeight="1">
      <c r="A1380" s="8">
        <v>246281469</v>
      </c>
      <c r="B1380" s="8" t="s">
        <v>10714</v>
      </c>
      <c r="C1380" s="8" t="s">
        <v>9796</v>
      </c>
      <c r="D1380" s="8" t="s">
        <v>5362</v>
      </c>
      <c r="E1380" s="9" t="s">
        <v>5363</v>
      </c>
      <c r="F1380" s="8"/>
      <c r="G1380" s="9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</row>
    <row r="1381" spans="1:19" ht="15.75" customHeight="1">
      <c r="A1381" s="8">
        <v>246281739</v>
      </c>
      <c r="B1381" s="8" t="s">
        <v>7399</v>
      </c>
      <c r="C1381" s="8" t="s">
        <v>9221</v>
      </c>
      <c r="D1381" s="8" t="s">
        <v>5366</v>
      </c>
      <c r="E1381" s="9" t="s">
        <v>5367</v>
      </c>
      <c r="F1381" s="8"/>
      <c r="G1381" s="9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</row>
    <row r="1382" spans="1:19" ht="15.75" customHeight="1">
      <c r="A1382" s="8">
        <v>246282066</v>
      </c>
      <c r="B1382" s="8" t="s">
        <v>10715</v>
      </c>
      <c r="C1382" s="8" t="s">
        <v>10716</v>
      </c>
      <c r="D1382" s="8" t="s">
        <v>5370</v>
      </c>
      <c r="E1382" s="9" t="s">
        <v>5371</v>
      </c>
      <c r="F1382" s="8"/>
      <c r="G1382" s="9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</row>
    <row r="1383" spans="1:19" ht="15.75" customHeight="1">
      <c r="A1383" s="8">
        <v>246282142</v>
      </c>
      <c r="B1383" s="8" t="s">
        <v>10717</v>
      </c>
      <c r="C1383" s="8" t="s">
        <v>10718</v>
      </c>
      <c r="D1383" s="8" t="s">
        <v>5374</v>
      </c>
      <c r="E1383" s="9" t="s">
        <v>5375</v>
      </c>
      <c r="F1383" s="8"/>
      <c r="G1383" s="9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</row>
    <row r="1384" spans="1:19" ht="15.75" customHeight="1">
      <c r="A1384" s="8">
        <v>246282352</v>
      </c>
      <c r="B1384" s="8" t="s">
        <v>10719</v>
      </c>
      <c r="C1384" s="8" t="s">
        <v>9803</v>
      </c>
      <c r="D1384" s="8" t="s">
        <v>5378</v>
      </c>
      <c r="E1384" s="9" t="s">
        <v>5379</v>
      </c>
      <c r="F1384" s="8"/>
      <c r="G1384" s="9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</row>
    <row r="1385" spans="1:19" ht="15.75" customHeight="1">
      <c r="A1385" s="8">
        <v>246282437</v>
      </c>
      <c r="B1385" s="8" t="s">
        <v>8304</v>
      </c>
      <c r="C1385" s="8" t="s">
        <v>10720</v>
      </c>
      <c r="D1385" s="8" t="s">
        <v>5382</v>
      </c>
      <c r="E1385" s="9">
        <v>79393778594</v>
      </c>
      <c r="F1385" s="8"/>
      <c r="G1385" s="9"/>
      <c r="H1385" s="8" t="s">
        <v>8164</v>
      </c>
      <c r="I1385" s="8" t="s">
        <v>10721</v>
      </c>
      <c r="J1385" s="8"/>
      <c r="K1385" s="8"/>
      <c r="L1385" s="8"/>
      <c r="M1385" s="8"/>
      <c r="N1385" s="8"/>
      <c r="O1385" s="8"/>
      <c r="P1385" s="8"/>
      <c r="Q1385" s="8"/>
      <c r="R1385" s="8"/>
      <c r="S1385" s="8"/>
    </row>
    <row r="1386" spans="1:19" ht="15.75" customHeight="1">
      <c r="A1386" s="8">
        <v>246282683</v>
      </c>
      <c r="B1386" s="8" t="s">
        <v>9157</v>
      </c>
      <c r="C1386" s="8" t="s">
        <v>10722</v>
      </c>
      <c r="D1386" s="8" t="s">
        <v>5385</v>
      </c>
      <c r="E1386" s="9">
        <v>998909270462</v>
      </c>
      <c r="F1386" s="8"/>
      <c r="G1386" s="9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</row>
    <row r="1387" spans="1:19" ht="15.75" customHeight="1">
      <c r="A1387" s="8">
        <v>246282767</v>
      </c>
      <c r="B1387" s="8" t="s">
        <v>10723</v>
      </c>
      <c r="C1387" s="8" t="s">
        <v>10724</v>
      </c>
      <c r="D1387" s="8" t="s">
        <v>10725</v>
      </c>
      <c r="E1387" s="9" t="s">
        <v>10726</v>
      </c>
      <c r="F1387" s="8"/>
      <c r="G1387" s="9"/>
      <c r="H1387" s="8" t="s">
        <v>8164</v>
      </c>
      <c r="I1387" s="8" t="s">
        <v>10727</v>
      </c>
      <c r="J1387" s="8"/>
      <c r="K1387" s="8"/>
      <c r="L1387" s="8"/>
      <c r="M1387" s="8"/>
      <c r="N1387" s="8"/>
      <c r="O1387" s="8"/>
      <c r="P1387" s="8"/>
      <c r="Q1387" s="8"/>
      <c r="R1387" s="8"/>
      <c r="S1387" s="8"/>
    </row>
    <row r="1388" spans="1:19" ht="15.75" customHeight="1">
      <c r="A1388" s="8">
        <v>246283121</v>
      </c>
      <c r="B1388" s="8" t="s">
        <v>10728</v>
      </c>
      <c r="C1388" s="8" t="s">
        <v>10729</v>
      </c>
      <c r="D1388" s="8" t="s">
        <v>5388</v>
      </c>
      <c r="E1388" s="9" t="s">
        <v>5389</v>
      </c>
      <c r="F1388" s="8"/>
      <c r="G1388" s="9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</row>
    <row r="1389" spans="1:19" ht="15.75" customHeight="1">
      <c r="A1389" s="8">
        <v>246283495</v>
      </c>
      <c r="B1389" s="8" t="s">
        <v>9997</v>
      </c>
      <c r="C1389" s="8" t="s">
        <v>10730</v>
      </c>
      <c r="D1389" s="8" t="s">
        <v>5392</v>
      </c>
      <c r="E1389" s="9">
        <v>87015965085</v>
      </c>
      <c r="F1389" s="8"/>
      <c r="G1389" s="9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</row>
    <row r="1390" spans="1:19" ht="15.75" customHeight="1">
      <c r="A1390" s="8">
        <v>246284219</v>
      </c>
      <c r="B1390" s="8" t="s">
        <v>8398</v>
      </c>
      <c r="C1390" s="8" t="s">
        <v>10731</v>
      </c>
      <c r="D1390" s="8" t="s">
        <v>5395</v>
      </c>
      <c r="E1390" s="9">
        <v>909117979</v>
      </c>
      <c r="F1390" s="8"/>
      <c r="G1390" s="9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</row>
    <row r="1391" spans="1:19" ht="15.75" customHeight="1">
      <c r="A1391" s="8">
        <v>246284334</v>
      </c>
      <c r="B1391" s="8" t="s">
        <v>10732</v>
      </c>
      <c r="C1391" s="8" t="s">
        <v>10733</v>
      </c>
      <c r="D1391" s="8" t="s">
        <v>5398</v>
      </c>
      <c r="E1391" s="9">
        <v>903023325</v>
      </c>
      <c r="F1391" s="8"/>
      <c r="G1391" s="9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</row>
    <row r="1392" spans="1:19" ht="15.75" customHeight="1">
      <c r="A1392" s="8">
        <v>246284655</v>
      </c>
      <c r="B1392" s="8" t="s">
        <v>10734</v>
      </c>
      <c r="C1392" s="8" t="s">
        <v>10735</v>
      </c>
      <c r="D1392" s="8" t="s">
        <v>5401</v>
      </c>
      <c r="E1392" s="9" t="s">
        <v>5402</v>
      </c>
      <c r="F1392" s="8"/>
      <c r="G1392" s="9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</row>
    <row r="1393" spans="1:19" ht="15.75" customHeight="1">
      <c r="A1393" s="8">
        <v>246284705</v>
      </c>
      <c r="B1393" s="8" t="s">
        <v>10736</v>
      </c>
      <c r="C1393" s="8" t="s">
        <v>10737</v>
      </c>
      <c r="D1393" s="8" t="s">
        <v>5405</v>
      </c>
      <c r="E1393" s="9">
        <v>79642669422</v>
      </c>
      <c r="F1393" s="8"/>
      <c r="G1393" s="9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</row>
    <row r="1394" spans="1:19" ht="15.75" customHeight="1">
      <c r="A1394" s="8">
        <v>246285056</v>
      </c>
      <c r="B1394" s="8" t="s">
        <v>7399</v>
      </c>
      <c r="C1394" s="8" t="s">
        <v>10475</v>
      </c>
      <c r="D1394" s="8" t="s">
        <v>5408</v>
      </c>
      <c r="E1394" s="9" t="s">
        <v>5409</v>
      </c>
      <c r="F1394" s="8" t="s">
        <v>10738</v>
      </c>
      <c r="G1394" s="9">
        <v>47</v>
      </c>
      <c r="H1394" s="8" t="s">
        <v>8728</v>
      </c>
      <c r="I1394" s="8" t="s">
        <v>10739</v>
      </c>
      <c r="J1394" s="8"/>
      <c r="K1394" s="8"/>
      <c r="L1394" s="8"/>
      <c r="M1394" s="8"/>
      <c r="N1394" s="8"/>
      <c r="O1394" s="8"/>
      <c r="P1394" s="8"/>
      <c r="Q1394" s="8"/>
      <c r="R1394" s="8"/>
      <c r="S1394" s="8"/>
    </row>
    <row r="1395" spans="1:19" ht="15.75" customHeight="1">
      <c r="A1395" s="8">
        <v>246285125</v>
      </c>
      <c r="B1395" s="8" t="s">
        <v>10740</v>
      </c>
      <c r="C1395" s="8" t="s">
        <v>10741</v>
      </c>
      <c r="D1395" s="8" t="s">
        <v>10742</v>
      </c>
      <c r="E1395" s="9">
        <v>998909588397</v>
      </c>
      <c r="F1395" s="8"/>
      <c r="G1395" s="9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</row>
    <row r="1396" spans="1:19" ht="15.75" customHeight="1">
      <c r="A1396" s="8">
        <v>246285197</v>
      </c>
      <c r="B1396" s="8" t="s">
        <v>10743</v>
      </c>
      <c r="C1396" s="8" t="s">
        <v>10744</v>
      </c>
      <c r="D1396" s="8" t="s">
        <v>5412</v>
      </c>
      <c r="E1396" s="9">
        <v>87475650768</v>
      </c>
      <c r="F1396" s="8"/>
      <c r="G1396" s="9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</row>
    <row r="1397" spans="1:19" ht="15.75" customHeight="1">
      <c r="A1397" s="8">
        <v>246285511</v>
      </c>
      <c r="B1397" s="8" t="s">
        <v>10745</v>
      </c>
      <c r="C1397" s="8" t="s">
        <v>10310</v>
      </c>
      <c r="D1397" s="8" t="s">
        <v>5415</v>
      </c>
      <c r="E1397" s="9">
        <v>998994320442</v>
      </c>
      <c r="F1397" s="8"/>
      <c r="G1397" s="9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</row>
    <row r="1398" spans="1:19" ht="15.75" customHeight="1">
      <c r="A1398" s="8">
        <v>246285608</v>
      </c>
      <c r="B1398" s="8" t="s">
        <v>10746</v>
      </c>
      <c r="C1398" s="8" t="s">
        <v>10747</v>
      </c>
      <c r="D1398" s="8" t="s">
        <v>5418</v>
      </c>
      <c r="E1398" s="9">
        <v>87017706070</v>
      </c>
      <c r="F1398" s="8"/>
      <c r="G1398" s="9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</row>
    <row r="1399" spans="1:19" ht="15.75" customHeight="1">
      <c r="A1399" s="8">
        <v>246285695</v>
      </c>
      <c r="B1399" s="8" t="s">
        <v>10748</v>
      </c>
      <c r="C1399" s="8" t="s">
        <v>10749</v>
      </c>
      <c r="D1399" s="8" t="s">
        <v>5421</v>
      </c>
      <c r="E1399" s="9">
        <v>87018184159</v>
      </c>
      <c r="F1399" s="8"/>
      <c r="G1399" s="9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</row>
    <row r="1400" spans="1:19" ht="15.75" customHeight="1">
      <c r="A1400" s="8">
        <v>246285898</v>
      </c>
      <c r="B1400" s="8" t="s">
        <v>10750</v>
      </c>
      <c r="C1400" s="8" t="s">
        <v>10751</v>
      </c>
      <c r="D1400" s="8" t="s">
        <v>5424</v>
      </c>
      <c r="E1400" s="9" t="s">
        <v>5425</v>
      </c>
      <c r="F1400" s="8"/>
      <c r="G1400" s="9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</row>
    <row r="1401" spans="1:19" ht="15.75" customHeight="1">
      <c r="A1401" s="8">
        <v>246285926</v>
      </c>
      <c r="B1401" s="8" t="s">
        <v>10449</v>
      </c>
      <c r="C1401" s="8" t="s">
        <v>10752</v>
      </c>
      <c r="D1401" s="8" t="s">
        <v>5428</v>
      </c>
      <c r="E1401" s="9">
        <v>87053733370</v>
      </c>
      <c r="F1401" s="8"/>
      <c r="G1401" s="9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</row>
    <row r="1402" spans="1:19" ht="15.75" customHeight="1">
      <c r="A1402" s="8">
        <v>246285975</v>
      </c>
      <c r="B1402" s="8" t="s">
        <v>8669</v>
      </c>
      <c r="C1402" s="8" t="s">
        <v>9647</v>
      </c>
      <c r="D1402" s="8" t="s">
        <v>5431</v>
      </c>
      <c r="E1402" s="9">
        <v>87055084661</v>
      </c>
      <c r="F1402" s="8" t="s">
        <v>10753</v>
      </c>
      <c r="G1402" s="9">
        <v>52</v>
      </c>
      <c r="H1402" s="8" t="s">
        <v>10754</v>
      </c>
      <c r="I1402" s="8" t="s">
        <v>10755</v>
      </c>
      <c r="J1402" s="8"/>
      <c r="K1402" s="8"/>
      <c r="L1402" s="8"/>
      <c r="M1402" s="8"/>
      <c r="N1402" s="8"/>
      <c r="O1402" s="8"/>
      <c r="P1402" s="8"/>
      <c r="Q1402" s="8"/>
      <c r="R1402" s="8"/>
      <c r="S1402" s="8"/>
    </row>
    <row r="1403" spans="1:19" ht="15.75" customHeight="1">
      <c r="A1403" s="8">
        <v>246286047</v>
      </c>
      <c r="B1403" s="8" t="s">
        <v>10756</v>
      </c>
      <c r="C1403" s="8" t="s">
        <v>10757</v>
      </c>
      <c r="D1403" s="8" t="s">
        <v>5434</v>
      </c>
      <c r="E1403" s="9" t="s">
        <v>5435</v>
      </c>
      <c r="F1403" s="8"/>
      <c r="G1403" s="9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</row>
    <row r="1404" spans="1:19" ht="15.75" customHeight="1">
      <c r="A1404" s="8">
        <v>246286552</v>
      </c>
      <c r="B1404" s="8" t="s">
        <v>10758</v>
      </c>
      <c r="C1404" s="8" t="s">
        <v>10759</v>
      </c>
      <c r="D1404" s="8" t="s">
        <v>5438</v>
      </c>
      <c r="E1404" s="9">
        <v>909903050</v>
      </c>
      <c r="F1404" s="8"/>
      <c r="G1404" s="9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</row>
    <row r="1405" spans="1:19" ht="15.75" customHeight="1">
      <c r="A1405" s="8">
        <v>246287060</v>
      </c>
      <c r="B1405" s="8" t="s">
        <v>10760</v>
      </c>
      <c r="C1405" s="8" t="s">
        <v>10761</v>
      </c>
      <c r="D1405" s="8" t="s">
        <v>5441</v>
      </c>
      <c r="E1405" s="9" t="s">
        <v>5442</v>
      </c>
      <c r="F1405" s="8"/>
      <c r="G1405" s="9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</row>
    <row r="1406" spans="1:19" ht="15.75" customHeight="1">
      <c r="A1406" s="8">
        <v>246287196</v>
      </c>
      <c r="B1406" s="8" t="s">
        <v>7768</v>
      </c>
      <c r="C1406" s="8" t="s">
        <v>10529</v>
      </c>
      <c r="D1406" s="8" t="s">
        <v>5445</v>
      </c>
      <c r="E1406" s="9">
        <v>87074303782</v>
      </c>
      <c r="F1406" s="8"/>
      <c r="G1406" s="9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</row>
    <row r="1407" spans="1:19" ht="15.75" customHeight="1">
      <c r="A1407" s="8">
        <v>246287529</v>
      </c>
      <c r="B1407" s="8" t="s">
        <v>10483</v>
      </c>
      <c r="C1407" s="8" t="s">
        <v>10762</v>
      </c>
      <c r="D1407" s="8" t="s">
        <v>5448</v>
      </c>
      <c r="E1407" s="9" t="s">
        <v>5449</v>
      </c>
      <c r="F1407" s="8"/>
      <c r="G1407" s="9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</row>
    <row r="1408" spans="1:19" ht="15.75" customHeight="1">
      <c r="A1408" s="8">
        <v>246288137</v>
      </c>
      <c r="B1408" s="8" t="s">
        <v>10526</v>
      </c>
      <c r="C1408" s="8" t="s">
        <v>10763</v>
      </c>
      <c r="D1408" s="8" t="s">
        <v>10764</v>
      </c>
      <c r="E1408" s="9">
        <v>87087468863</v>
      </c>
      <c r="F1408" s="8"/>
      <c r="G1408" s="9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</row>
    <row r="1409" spans="1:19" ht="15.75" customHeight="1">
      <c r="A1409" s="8">
        <v>246288419</v>
      </c>
      <c r="B1409" s="8" t="s">
        <v>8304</v>
      </c>
      <c r="C1409" s="8" t="s">
        <v>10765</v>
      </c>
      <c r="D1409" s="8" t="s">
        <v>5452</v>
      </c>
      <c r="E1409" s="9">
        <v>87775096258</v>
      </c>
      <c r="F1409" s="8"/>
      <c r="G1409" s="9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</row>
    <row r="1410" spans="1:19" ht="15.75" customHeight="1">
      <c r="A1410" s="8">
        <v>246288424</v>
      </c>
      <c r="B1410" s="8" t="s">
        <v>10766</v>
      </c>
      <c r="C1410" s="8" t="s">
        <v>10767</v>
      </c>
      <c r="D1410" s="8" t="s">
        <v>5455</v>
      </c>
      <c r="E1410" s="9" t="s">
        <v>5456</v>
      </c>
      <c r="F1410" s="8"/>
      <c r="G1410" s="9"/>
      <c r="H1410" s="8" t="s">
        <v>8241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</row>
    <row r="1411" spans="1:19" ht="15.75" customHeight="1">
      <c r="A1411" s="8">
        <v>246288899</v>
      </c>
      <c r="B1411" s="8" t="s">
        <v>8234</v>
      </c>
      <c r="C1411" s="8" t="s">
        <v>10768</v>
      </c>
      <c r="D1411" s="8" t="s">
        <v>5459</v>
      </c>
      <c r="E1411" s="9">
        <v>87024339064</v>
      </c>
      <c r="F1411" s="8"/>
      <c r="G1411" s="9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</row>
    <row r="1412" spans="1:19" ht="15.75" customHeight="1">
      <c r="A1412" s="8">
        <v>246289418</v>
      </c>
      <c r="B1412" s="8" t="s">
        <v>8304</v>
      </c>
      <c r="C1412" s="8" t="s">
        <v>10769</v>
      </c>
      <c r="D1412" s="8" t="s">
        <v>5462</v>
      </c>
      <c r="E1412" s="9">
        <v>87055065829</v>
      </c>
      <c r="F1412" s="8"/>
      <c r="G1412" s="9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</row>
    <row r="1413" spans="1:19" ht="15.75" customHeight="1">
      <c r="A1413" s="8">
        <v>246289783</v>
      </c>
      <c r="B1413" s="8" t="s">
        <v>10770</v>
      </c>
      <c r="C1413" s="8" t="s">
        <v>10771</v>
      </c>
      <c r="D1413" s="8" t="s">
        <v>5466</v>
      </c>
      <c r="E1413" s="9" t="s">
        <v>5467</v>
      </c>
      <c r="F1413" s="8"/>
      <c r="G1413" s="9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</row>
    <row r="1414" spans="1:19" ht="15.75" customHeight="1">
      <c r="A1414" s="8">
        <v>246289837</v>
      </c>
      <c r="B1414" s="8" t="s">
        <v>8206</v>
      </c>
      <c r="C1414" s="8" t="s">
        <v>10772</v>
      </c>
      <c r="D1414" s="8" t="s">
        <v>5470</v>
      </c>
      <c r="E1414" s="9" t="s">
        <v>5471</v>
      </c>
      <c r="F1414" s="8"/>
      <c r="G1414" s="9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</row>
    <row r="1415" spans="1:19" ht="15.75" customHeight="1">
      <c r="A1415" s="8">
        <v>246289997</v>
      </c>
      <c r="B1415" s="8" t="s">
        <v>7768</v>
      </c>
      <c r="C1415" s="8" t="s">
        <v>10773</v>
      </c>
      <c r="D1415" s="8" t="s">
        <v>5474</v>
      </c>
      <c r="E1415" s="9" t="s">
        <v>5475</v>
      </c>
      <c r="F1415" s="8" t="s">
        <v>10774</v>
      </c>
      <c r="G1415" s="9">
        <v>42</v>
      </c>
      <c r="H1415" s="8" t="s">
        <v>8463</v>
      </c>
      <c r="I1415" s="8" t="s">
        <v>10775</v>
      </c>
      <c r="J1415" s="8"/>
      <c r="K1415" s="8"/>
      <c r="L1415" s="8"/>
      <c r="M1415" s="8"/>
      <c r="N1415" s="8"/>
      <c r="O1415" s="8"/>
      <c r="P1415" s="8"/>
      <c r="Q1415" s="8"/>
      <c r="R1415" s="8"/>
      <c r="S1415" s="8"/>
    </row>
    <row r="1416" spans="1:19" ht="15.75" customHeight="1">
      <c r="A1416" s="8">
        <v>246290095</v>
      </c>
      <c r="B1416" s="8" t="s">
        <v>10776</v>
      </c>
      <c r="C1416" s="8" t="s">
        <v>10776</v>
      </c>
      <c r="D1416" s="8" t="s">
        <v>5478</v>
      </c>
      <c r="E1416" s="9">
        <v>87012187018</v>
      </c>
      <c r="F1416" s="8"/>
      <c r="G1416" s="9"/>
      <c r="H1416" s="8" t="s">
        <v>8241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</row>
    <row r="1417" spans="1:19" ht="15.75" customHeight="1">
      <c r="A1417" s="8">
        <v>246290104</v>
      </c>
      <c r="B1417" s="8" t="s">
        <v>10777</v>
      </c>
      <c r="C1417" s="8" t="s">
        <v>10778</v>
      </c>
      <c r="D1417" s="8" t="s">
        <v>5481</v>
      </c>
      <c r="E1417" s="9" t="s">
        <v>5482</v>
      </c>
      <c r="F1417" s="8"/>
      <c r="G1417" s="9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</row>
    <row r="1418" spans="1:19" ht="15.75" customHeight="1">
      <c r="A1418" s="8">
        <v>246290666</v>
      </c>
      <c r="B1418" s="8" t="s">
        <v>10779</v>
      </c>
      <c r="C1418" s="8" t="s">
        <v>10780</v>
      </c>
      <c r="D1418" s="8" t="s">
        <v>10781</v>
      </c>
      <c r="E1418" s="9">
        <v>936522808</v>
      </c>
      <c r="F1418" s="8" t="s">
        <v>10782</v>
      </c>
      <c r="G1418" s="9">
        <v>23</v>
      </c>
      <c r="H1418" s="8" t="s">
        <v>8728</v>
      </c>
      <c r="I1418" s="8" t="s">
        <v>10783</v>
      </c>
      <c r="J1418" s="8"/>
      <c r="K1418" s="8"/>
      <c r="L1418" s="8"/>
      <c r="M1418" s="8"/>
      <c r="N1418" s="8"/>
      <c r="O1418" s="8"/>
      <c r="P1418" s="8"/>
      <c r="Q1418" s="8"/>
      <c r="R1418" s="8"/>
      <c r="S1418" s="8"/>
    </row>
    <row r="1419" spans="1:19" ht="15.75" customHeight="1">
      <c r="A1419" s="8">
        <v>246290881</v>
      </c>
      <c r="B1419" s="8" t="s">
        <v>8866</v>
      </c>
      <c r="C1419" s="8" t="s">
        <v>10784</v>
      </c>
      <c r="D1419" s="8" t="s">
        <v>5485</v>
      </c>
      <c r="E1419" s="9">
        <v>87079047751</v>
      </c>
      <c r="F1419" s="8"/>
      <c r="G1419" s="9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</row>
    <row r="1420" spans="1:19" ht="15.75" customHeight="1">
      <c r="A1420" s="8">
        <v>246290912</v>
      </c>
      <c r="B1420" s="8" t="s">
        <v>10785</v>
      </c>
      <c r="C1420" s="8" t="s">
        <v>10786</v>
      </c>
      <c r="D1420" s="8" t="s">
        <v>5488</v>
      </c>
      <c r="E1420" s="9">
        <v>87770278118</v>
      </c>
      <c r="F1420" s="8"/>
      <c r="G1420" s="9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</row>
    <row r="1421" spans="1:19" ht="15.75" customHeight="1">
      <c r="A1421" s="8">
        <v>246291113</v>
      </c>
      <c r="B1421" s="8" t="s">
        <v>10787</v>
      </c>
      <c r="C1421" s="8" t="s">
        <v>10788</v>
      </c>
      <c r="D1421" s="8" t="s">
        <v>5491</v>
      </c>
      <c r="E1421" s="9">
        <v>909835350</v>
      </c>
      <c r="F1421" s="8"/>
      <c r="G1421" s="9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</row>
    <row r="1422" spans="1:19" ht="15.75" customHeight="1">
      <c r="A1422" s="8">
        <v>246291241</v>
      </c>
      <c r="B1422" s="8" t="s">
        <v>9115</v>
      </c>
      <c r="C1422" s="8" t="s">
        <v>10789</v>
      </c>
      <c r="D1422" s="8" t="s">
        <v>5494</v>
      </c>
      <c r="E1422" s="9">
        <v>87773500708</v>
      </c>
      <c r="F1422" s="8"/>
      <c r="G1422" s="9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</row>
    <row r="1423" spans="1:19" ht="15.75" customHeight="1">
      <c r="A1423" s="8">
        <v>246291242</v>
      </c>
      <c r="B1423" s="8" t="s">
        <v>10790</v>
      </c>
      <c r="C1423" s="8" t="s">
        <v>10791</v>
      </c>
      <c r="D1423" s="8" t="s">
        <v>5497</v>
      </c>
      <c r="E1423" s="9">
        <v>87072298487</v>
      </c>
      <c r="F1423" s="8"/>
      <c r="G1423" s="9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</row>
    <row r="1424" spans="1:19" ht="15.75" customHeight="1">
      <c r="A1424" s="8">
        <v>246291421</v>
      </c>
      <c r="B1424" s="8" t="s">
        <v>10792</v>
      </c>
      <c r="C1424" s="8" t="s">
        <v>10793</v>
      </c>
      <c r="D1424" s="8" t="s">
        <v>10794</v>
      </c>
      <c r="E1424" s="9" t="s">
        <v>10795</v>
      </c>
      <c r="F1424" s="8"/>
      <c r="G1424" s="9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</row>
    <row r="1425" spans="1:19" ht="15.75" customHeight="1">
      <c r="A1425" s="8">
        <v>246292056</v>
      </c>
      <c r="B1425" s="8" t="s">
        <v>9101</v>
      </c>
      <c r="C1425" s="8" t="s">
        <v>10796</v>
      </c>
      <c r="D1425" s="8" t="s">
        <v>5499</v>
      </c>
      <c r="E1425" s="9">
        <v>87003761206</v>
      </c>
      <c r="F1425" s="8"/>
      <c r="G1425" s="9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</row>
    <row r="1426" spans="1:19" ht="15.75" customHeight="1">
      <c r="A1426" s="8">
        <v>246292214</v>
      </c>
      <c r="B1426" s="8" t="s">
        <v>10797</v>
      </c>
      <c r="C1426" s="8" t="s">
        <v>10797</v>
      </c>
      <c r="D1426" s="8" t="s">
        <v>5502</v>
      </c>
      <c r="E1426" s="9">
        <v>87028063346</v>
      </c>
      <c r="F1426" s="8"/>
      <c r="G1426" s="9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</row>
    <row r="1427" spans="1:19" ht="15.75" customHeight="1">
      <c r="A1427" s="8">
        <v>246292232</v>
      </c>
      <c r="B1427" s="8" t="s">
        <v>10798</v>
      </c>
      <c r="C1427" s="8" t="s">
        <v>10799</v>
      </c>
      <c r="D1427" s="8" t="s">
        <v>10800</v>
      </c>
      <c r="E1427" s="9">
        <v>87770874568</v>
      </c>
      <c r="F1427" s="8" t="s">
        <v>10801</v>
      </c>
      <c r="G1427" s="9">
        <v>33</v>
      </c>
      <c r="H1427" s="8" t="s">
        <v>8728</v>
      </c>
      <c r="I1427" s="8" t="s">
        <v>10739</v>
      </c>
      <c r="J1427" s="8"/>
      <c r="K1427" s="8"/>
      <c r="L1427" s="8"/>
      <c r="M1427" s="8"/>
      <c r="N1427" s="8"/>
      <c r="O1427" s="8"/>
      <c r="P1427" s="8"/>
      <c r="Q1427" s="8"/>
      <c r="R1427" s="8"/>
      <c r="S1427" s="8"/>
    </row>
    <row r="1428" spans="1:19" ht="15.75" customHeight="1">
      <c r="A1428" s="8">
        <v>246292977</v>
      </c>
      <c r="B1428" s="8" t="s">
        <v>10802</v>
      </c>
      <c r="C1428" s="8" t="s">
        <v>10803</v>
      </c>
      <c r="D1428" s="8" t="s">
        <v>10804</v>
      </c>
      <c r="E1428" s="9">
        <v>991303388</v>
      </c>
      <c r="F1428" s="8"/>
      <c r="G1428" s="9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</row>
    <row r="1429" spans="1:19" ht="15.75" customHeight="1">
      <c r="A1429" s="8">
        <v>246293106</v>
      </c>
      <c r="B1429" s="8" t="s">
        <v>8172</v>
      </c>
      <c r="C1429" s="8" t="s">
        <v>10805</v>
      </c>
      <c r="D1429" s="8" t="s">
        <v>5505</v>
      </c>
      <c r="E1429" s="9">
        <v>935602083</v>
      </c>
      <c r="F1429" s="8"/>
      <c r="G1429" s="9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</row>
    <row r="1430" spans="1:19" ht="15.75" customHeight="1">
      <c r="A1430" s="8">
        <v>246293458</v>
      </c>
      <c r="B1430" s="8" t="s">
        <v>10806</v>
      </c>
      <c r="C1430" s="8" t="s">
        <v>10807</v>
      </c>
      <c r="D1430" s="8" t="s">
        <v>5508</v>
      </c>
      <c r="E1430" s="9">
        <v>77014016226</v>
      </c>
      <c r="F1430" s="8" t="s">
        <v>10808</v>
      </c>
      <c r="G1430" s="9">
        <v>46</v>
      </c>
      <c r="H1430" s="8" t="s">
        <v>8728</v>
      </c>
      <c r="I1430" s="8" t="s">
        <v>10739</v>
      </c>
      <c r="J1430" s="8"/>
      <c r="K1430" s="8"/>
      <c r="L1430" s="8"/>
      <c r="M1430" s="8"/>
      <c r="N1430" s="8"/>
      <c r="O1430" s="8"/>
      <c r="P1430" s="8"/>
      <c r="Q1430" s="8"/>
      <c r="R1430" s="8"/>
      <c r="S1430" s="8"/>
    </row>
    <row r="1431" spans="1:19" ht="15.75" customHeight="1">
      <c r="A1431" s="8">
        <v>246293510</v>
      </c>
      <c r="B1431" s="8" t="s">
        <v>10809</v>
      </c>
      <c r="C1431" s="8" t="s">
        <v>10810</v>
      </c>
      <c r="D1431" s="8" t="s">
        <v>5511</v>
      </c>
      <c r="E1431" s="9" t="s">
        <v>5512</v>
      </c>
      <c r="F1431" s="8"/>
      <c r="G1431" s="9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</row>
    <row r="1432" spans="1:19" ht="15.75" customHeight="1">
      <c r="A1432" s="8">
        <v>246294882</v>
      </c>
      <c r="B1432" s="8" t="s">
        <v>10811</v>
      </c>
      <c r="C1432" s="8" t="s">
        <v>10812</v>
      </c>
      <c r="D1432" s="8" t="s">
        <v>5515</v>
      </c>
      <c r="E1432" s="9">
        <v>87010480400</v>
      </c>
      <c r="F1432" s="8"/>
      <c r="G1432" s="9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</row>
    <row r="1433" spans="1:19" ht="15.75" customHeight="1">
      <c r="A1433" s="8">
        <v>246295367</v>
      </c>
      <c r="B1433" s="8" t="s">
        <v>10315</v>
      </c>
      <c r="C1433" s="8" t="s">
        <v>10813</v>
      </c>
      <c r="D1433" s="8" t="s">
        <v>5518</v>
      </c>
      <c r="E1433" s="9" t="s">
        <v>5519</v>
      </c>
      <c r="F1433" s="8"/>
      <c r="G1433" s="9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</row>
    <row r="1434" spans="1:19" ht="15.75" customHeight="1">
      <c r="A1434" s="8">
        <v>246295828</v>
      </c>
      <c r="B1434" s="8" t="s">
        <v>8643</v>
      </c>
      <c r="C1434" s="8" t="s">
        <v>10814</v>
      </c>
      <c r="D1434" s="8" t="s">
        <v>5522</v>
      </c>
      <c r="E1434" s="9">
        <v>87086442654</v>
      </c>
      <c r="F1434" s="8"/>
      <c r="G1434" s="9"/>
      <c r="H1434" s="8" t="s">
        <v>8241</v>
      </c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</row>
    <row r="1435" spans="1:19" ht="15.75" customHeight="1">
      <c r="A1435" s="8">
        <v>246296655</v>
      </c>
      <c r="B1435" s="8" t="s">
        <v>8206</v>
      </c>
      <c r="C1435" s="8" t="s">
        <v>10815</v>
      </c>
      <c r="D1435" s="8" t="s">
        <v>5525</v>
      </c>
      <c r="E1435" s="9" t="s">
        <v>5526</v>
      </c>
      <c r="F1435" s="8"/>
      <c r="G1435" s="9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</row>
    <row r="1436" spans="1:19" ht="15.75" customHeight="1">
      <c r="A1436" s="8">
        <v>246296835</v>
      </c>
      <c r="B1436" s="8" t="s">
        <v>8771</v>
      </c>
      <c r="C1436" s="8" t="s">
        <v>10816</v>
      </c>
      <c r="D1436" s="8" t="s">
        <v>5529</v>
      </c>
      <c r="E1436" s="9" t="s">
        <v>5530</v>
      </c>
      <c r="F1436" s="8"/>
      <c r="G1436" s="9"/>
      <c r="H1436" s="8" t="s">
        <v>8241</v>
      </c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</row>
    <row r="1437" spans="1:19" ht="15.75" customHeight="1">
      <c r="A1437" s="8">
        <v>246296904</v>
      </c>
      <c r="B1437" s="8" t="s">
        <v>10817</v>
      </c>
      <c r="C1437" s="8" t="s">
        <v>10818</v>
      </c>
      <c r="D1437" s="8" t="s">
        <v>5533</v>
      </c>
      <c r="E1437" s="9">
        <v>87772927781</v>
      </c>
      <c r="F1437" s="8"/>
      <c r="G1437" s="9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</row>
    <row r="1438" spans="1:19" ht="15.75" customHeight="1">
      <c r="A1438" s="8">
        <v>246296955</v>
      </c>
      <c r="B1438" s="8" t="s">
        <v>10540</v>
      </c>
      <c r="C1438" s="8" t="s">
        <v>10819</v>
      </c>
      <c r="D1438" s="8" t="s">
        <v>5536</v>
      </c>
      <c r="E1438" s="9" t="s">
        <v>5537</v>
      </c>
      <c r="F1438" s="8"/>
      <c r="G1438" s="9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</row>
    <row r="1439" spans="1:19" ht="15.75" customHeight="1">
      <c r="A1439" s="8">
        <v>246297163</v>
      </c>
      <c r="B1439" s="8" t="s">
        <v>8760</v>
      </c>
      <c r="C1439" s="8" t="s">
        <v>10820</v>
      </c>
      <c r="D1439" s="8" t="s">
        <v>10821</v>
      </c>
      <c r="E1439" s="9">
        <v>79113072217</v>
      </c>
      <c r="F1439" s="8"/>
      <c r="G1439" s="9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</row>
    <row r="1440" spans="1:19" ht="15.75" customHeight="1">
      <c r="A1440" s="8">
        <v>246297245</v>
      </c>
      <c r="B1440" s="8" t="s">
        <v>10325</v>
      </c>
      <c r="C1440" s="8" t="s">
        <v>10822</v>
      </c>
      <c r="D1440" s="8" t="s">
        <v>5540</v>
      </c>
      <c r="E1440" s="9" t="s">
        <v>5541</v>
      </c>
      <c r="F1440" s="8"/>
      <c r="G1440" s="9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</row>
    <row r="1441" spans="1:19" ht="15.75" customHeight="1">
      <c r="A1441" s="8">
        <v>246297320</v>
      </c>
      <c r="B1441" s="8" t="s">
        <v>8206</v>
      </c>
      <c r="C1441" s="8" t="s">
        <v>10823</v>
      </c>
      <c r="D1441" s="8" t="s">
        <v>5544</v>
      </c>
      <c r="E1441" s="9" t="s">
        <v>5545</v>
      </c>
      <c r="F1441" s="8"/>
      <c r="G1441" s="9"/>
      <c r="H1441" s="8" t="s">
        <v>8241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</row>
    <row r="1442" spans="1:19" ht="15.75" customHeight="1">
      <c r="A1442" s="8">
        <v>246298075</v>
      </c>
      <c r="B1442" s="8" t="s">
        <v>8365</v>
      </c>
      <c r="C1442" s="8" t="s">
        <v>10824</v>
      </c>
      <c r="D1442" s="8" t="s">
        <v>5548</v>
      </c>
      <c r="E1442" s="9" t="s">
        <v>5549</v>
      </c>
      <c r="F1442" s="8"/>
      <c r="G1442" s="9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</row>
    <row r="1443" spans="1:19" ht="15.75" customHeight="1">
      <c r="A1443" s="8">
        <v>246306269</v>
      </c>
      <c r="B1443" s="8" t="s">
        <v>7919</v>
      </c>
      <c r="C1443" s="8" t="s">
        <v>10825</v>
      </c>
      <c r="D1443" s="8" t="s">
        <v>5552</v>
      </c>
      <c r="E1443" s="9" t="s">
        <v>5553</v>
      </c>
      <c r="F1443" s="8"/>
      <c r="G1443" s="9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</row>
    <row r="1444" spans="1:19" ht="15.75" customHeight="1">
      <c r="A1444" s="8">
        <v>246309104</v>
      </c>
      <c r="B1444" s="8" t="s">
        <v>8431</v>
      </c>
      <c r="C1444" s="8" t="s">
        <v>10826</v>
      </c>
      <c r="D1444" s="8" t="s">
        <v>5556</v>
      </c>
      <c r="E1444" s="9">
        <v>87086449514</v>
      </c>
      <c r="F1444" s="8"/>
      <c r="G1444" s="9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</row>
    <row r="1445" spans="1:19" ht="15.75" customHeight="1">
      <c r="A1445" s="8">
        <v>246311930</v>
      </c>
      <c r="B1445" s="8" t="s">
        <v>10827</v>
      </c>
      <c r="C1445" s="8" t="s">
        <v>10828</v>
      </c>
      <c r="D1445" s="8" t="s">
        <v>5559</v>
      </c>
      <c r="E1445" s="9">
        <v>87076452817</v>
      </c>
      <c r="F1445" s="8"/>
      <c r="G1445" s="9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</row>
    <row r="1446" spans="1:19" ht="15.75" customHeight="1">
      <c r="A1446" s="8">
        <v>246312795</v>
      </c>
      <c r="B1446" s="8" t="s">
        <v>8434</v>
      </c>
      <c r="C1446" s="8" t="s">
        <v>10829</v>
      </c>
      <c r="D1446" s="8" t="s">
        <v>5562</v>
      </c>
      <c r="E1446" s="9">
        <v>87</v>
      </c>
      <c r="F1446" s="8"/>
      <c r="G1446" s="9"/>
      <c r="H1446" s="8" t="s">
        <v>8241</v>
      </c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</row>
    <row r="1447" spans="1:19" ht="15.75" customHeight="1">
      <c r="A1447" s="8">
        <v>246313432</v>
      </c>
      <c r="B1447" s="8" t="s">
        <v>10483</v>
      </c>
      <c r="C1447" s="8" t="s">
        <v>10830</v>
      </c>
      <c r="D1447" s="8" t="s">
        <v>10831</v>
      </c>
      <c r="E1447" s="9" t="s">
        <v>10832</v>
      </c>
      <c r="F1447" s="8"/>
      <c r="G1447" s="9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</row>
    <row r="1448" spans="1:19" ht="15.75" customHeight="1">
      <c r="A1448" s="8">
        <v>246313453</v>
      </c>
      <c r="B1448" s="8" t="s">
        <v>10833</v>
      </c>
      <c r="C1448" s="8" t="s">
        <v>10833</v>
      </c>
      <c r="D1448" s="8" t="s">
        <v>5565</v>
      </c>
      <c r="E1448" s="9">
        <v>998913744878</v>
      </c>
      <c r="F1448" s="8"/>
      <c r="G1448" s="9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</row>
    <row r="1449" spans="1:19" ht="15.75" customHeight="1">
      <c r="A1449" s="8">
        <v>246313506</v>
      </c>
      <c r="B1449" s="8" t="s">
        <v>8479</v>
      </c>
      <c r="C1449" s="8" t="s">
        <v>10834</v>
      </c>
      <c r="D1449" s="8" t="s">
        <v>5568</v>
      </c>
      <c r="E1449" s="9">
        <v>87756800084</v>
      </c>
      <c r="F1449" s="8"/>
      <c r="G1449" s="9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</row>
    <row r="1450" spans="1:19" ht="15.75" customHeight="1">
      <c r="A1450" s="8">
        <v>246313580</v>
      </c>
      <c r="B1450" s="8" t="s">
        <v>10092</v>
      </c>
      <c r="C1450" s="8" t="s">
        <v>10835</v>
      </c>
      <c r="D1450" s="8" t="s">
        <v>5571</v>
      </c>
      <c r="E1450" s="9">
        <v>87777959862</v>
      </c>
      <c r="F1450" s="8"/>
      <c r="G1450" s="9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</row>
    <row r="1451" spans="1:19" ht="15.75" customHeight="1">
      <c r="A1451" s="8">
        <v>246313855</v>
      </c>
      <c r="B1451" s="8" t="s">
        <v>10836</v>
      </c>
      <c r="C1451" s="8" t="s">
        <v>10837</v>
      </c>
      <c r="D1451" s="8" t="s">
        <v>5574</v>
      </c>
      <c r="E1451" s="9" t="s">
        <v>5575</v>
      </c>
      <c r="F1451" s="8"/>
      <c r="G1451" s="9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</row>
    <row r="1452" spans="1:19" ht="15.75" customHeight="1">
      <c r="A1452" s="8">
        <v>246313956</v>
      </c>
      <c r="B1452" s="8" t="s">
        <v>10459</v>
      </c>
      <c r="C1452" s="8" t="s">
        <v>10838</v>
      </c>
      <c r="D1452" s="8" t="s">
        <v>5578</v>
      </c>
      <c r="E1452" s="9" t="s">
        <v>5579</v>
      </c>
      <c r="F1452" s="8" t="s">
        <v>10839</v>
      </c>
      <c r="G1452" s="9">
        <v>32</v>
      </c>
      <c r="H1452" s="8" t="s">
        <v>10840</v>
      </c>
      <c r="I1452" s="8" t="s">
        <v>10841</v>
      </c>
      <c r="J1452" s="8"/>
      <c r="K1452" s="8"/>
      <c r="L1452" s="8"/>
      <c r="M1452" s="8"/>
      <c r="N1452" s="8"/>
      <c r="O1452" s="8"/>
      <c r="P1452" s="8"/>
      <c r="Q1452" s="8"/>
      <c r="R1452" s="8"/>
      <c r="S1452" s="8"/>
    </row>
    <row r="1453" spans="1:19" ht="15.75" customHeight="1">
      <c r="A1453" s="8">
        <v>246314396</v>
      </c>
      <c r="B1453" s="8" t="s">
        <v>8304</v>
      </c>
      <c r="C1453" s="8" t="s">
        <v>10842</v>
      </c>
      <c r="D1453" s="8" t="s">
        <v>5582</v>
      </c>
      <c r="E1453" s="9">
        <v>87769978147</v>
      </c>
      <c r="F1453" s="8"/>
      <c r="G1453" s="9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</row>
    <row r="1454" spans="1:19" ht="15.75" customHeight="1">
      <c r="A1454" s="8">
        <v>246314508</v>
      </c>
      <c r="B1454" s="8" t="s">
        <v>10843</v>
      </c>
      <c r="C1454" s="8" t="s">
        <v>10844</v>
      </c>
      <c r="D1454" s="8" t="s">
        <v>5585</v>
      </c>
      <c r="E1454" s="9" t="s">
        <v>5586</v>
      </c>
      <c r="F1454" s="8"/>
      <c r="G1454" s="9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</row>
    <row r="1455" spans="1:19" ht="15.75" customHeight="1">
      <c r="A1455" s="8">
        <v>246314969</v>
      </c>
      <c r="B1455" s="8" t="s">
        <v>9285</v>
      </c>
      <c r="C1455" s="8" t="s">
        <v>10845</v>
      </c>
      <c r="D1455" s="8" t="s">
        <v>5589</v>
      </c>
      <c r="E1455" s="9">
        <v>998900696035</v>
      </c>
      <c r="F1455" s="8"/>
      <c r="G1455" s="9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</row>
    <row r="1456" spans="1:19" ht="15.75" customHeight="1">
      <c r="A1456" s="8">
        <v>246315933</v>
      </c>
      <c r="B1456" s="8" t="s">
        <v>8753</v>
      </c>
      <c r="C1456" s="8" t="s">
        <v>10846</v>
      </c>
      <c r="D1456" s="8" t="s">
        <v>5592</v>
      </c>
      <c r="E1456" s="9" t="s">
        <v>5593</v>
      </c>
      <c r="F1456" s="8"/>
      <c r="G1456" s="9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</row>
    <row r="1457" spans="1:19" ht="15.75" customHeight="1">
      <c r="A1457" s="8">
        <v>246316297</v>
      </c>
      <c r="B1457" s="8" t="s">
        <v>10847</v>
      </c>
      <c r="C1457" s="8" t="s">
        <v>10848</v>
      </c>
      <c r="D1457" s="8" t="s">
        <v>5596</v>
      </c>
      <c r="E1457" s="9">
        <v>7763168848</v>
      </c>
      <c r="F1457" s="8"/>
      <c r="G1457" s="9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</row>
    <row r="1458" spans="1:19" ht="15.75" customHeight="1">
      <c r="A1458" s="8">
        <v>246316542</v>
      </c>
      <c r="B1458" s="8" t="s">
        <v>10449</v>
      </c>
      <c r="C1458" s="8" t="s">
        <v>10849</v>
      </c>
      <c r="D1458" s="8" t="s">
        <v>5599</v>
      </c>
      <c r="E1458" s="9" t="s">
        <v>5600</v>
      </c>
      <c r="F1458" s="8"/>
      <c r="G1458" s="9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</row>
    <row r="1459" spans="1:19" ht="15.75" customHeight="1">
      <c r="A1459" s="8">
        <v>246316596</v>
      </c>
      <c r="B1459" s="8" t="s">
        <v>9522</v>
      </c>
      <c r="C1459" s="8" t="s">
        <v>10850</v>
      </c>
      <c r="D1459" s="8" t="s">
        <v>5603</v>
      </c>
      <c r="E1459" s="9" t="s">
        <v>5604</v>
      </c>
      <c r="F1459" s="8" t="s">
        <v>10851</v>
      </c>
      <c r="G1459" s="9">
        <v>32</v>
      </c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</row>
    <row r="1460" spans="1:19" ht="15.75" customHeight="1">
      <c r="A1460" s="8">
        <v>246316822</v>
      </c>
      <c r="B1460" s="8" t="s">
        <v>10852</v>
      </c>
      <c r="C1460" s="8" t="s">
        <v>10853</v>
      </c>
      <c r="D1460" s="8" t="s">
        <v>5607</v>
      </c>
      <c r="E1460" s="9" t="s">
        <v>5608</v>
      </c>
      <c r="F1460" s="8"/>
      <c r="G1460" s="9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</row>
    <row r="1461" spans="1:19" ht="15.75" customHeight="1">
      <c r="A1461" s="8">
        <v>246317121</v>
      </c>
      <c r="B1461" s="8" t="s">
        <v>10854</v>
      </c>
      <c r="C1461" s="8" t="s">
        <v>10855</v>
      </c>
      <c r="D1461" s="8" t="s">
        <v>5611</v>
      </c>
      <c r="E1461" s="9" t="s">
        <v>5612</v>
      </c>
      <c r="F1461" s="8"/>
      <c r="G1461" s="9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</row>
    <row r="1462" spans="1:19" ht="15.75" customHeight="1">
      <c r="A1462" s="8">
        <v>246317656</v>
      </c>
      <c r="B1462" s="8" t="s">
        <v>10856</v>
      </c>
      <c r="C1462" s="8" t="s">
        <v>10857</v>
      </c>
      <c r="D1462" s="8" t="s">
        <v>10858</v>
      </c>
      <c r="E1462" s="9" t="s">
        <v>10859</v>
      </c>
      <c r="F1462" s="8"/>
      <c r="G1462" s="9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</row>
    <row r="1463" spans="1:19" ht="15.75" customHeight="1">
      <c r="A1463" s="8">
        <v>246317686</v>
      </c>
      <c r="B1463" s="8" t="s">
        <v>10860</v>
      </c>
      <c r="C1463" s="8" t="s">
        <v>10861</v>
      </c>
      <c r="D1463" s="8" t="s">
        <v>10862</v>
      </c>
      <c r="E1463" s="9" t="s">
        <v>10863</v>
      </c>
      <c r="F1463" s="8"/>
      <c r="G1463" s="9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</row>
    <row r="1464" spans="1:19" ht="15.75" customHeight="1">
      <c r="A1464" s="8">
        <v>246317993</v>
      </c>
      <c r="B1464" s="8" t="s">
        <v>10864</v>
      </c>
      <c r="C1464" s="8" t="s">
        <v>10865</v>
      </c>
      <c r="D1464" s="8" t="s">
        <v>5615</v>
      </c>
      <c r="E1464" s="9">
        <v>998913038700</v>
      </c>
      <c r="F1464" s="8"/>
      <c r="G1464" s="9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</row>
    <row r="1465" spans="1:19" ht="15.75" customHeight="1">
      <c r="A1465" s="8">
        <v>246318000</v>
      </c>
      <c r="B1465" s="8" t="s">
        <v>10866</v>
      </c>
      <c r="C1465" s="8" t="s">
        <v>10867</v>
      </c>
      <c r="D1465" s="8" t="s">
        <v>5618</v>
      </c>
      <c r="E1465" s="9">
        <v>87472411174</v>
      </c>
      <c r="F1465" s="8"/>
      <c r="G1465" s="9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</row>
    <row r="1466" spans="1:19" ht="15.75" customHeight="1">
      <c r="A1466" s="8">
        <v>246318187</v>
      </c>
      <c r="B1466" s="8" t="s">
        <v>8393</v>
      </c>
      <c r="C1466" s="8" t="s">
        <v>9221</v>
      </c>
      <c r="D1466" s="8" t="s">
        <v>5621</v>
      </c>
      <c r="E1466" s="9" t="s">
        <v>5622</v>
      </c>
      <c r="F1466" s="8"/>
      <c r="G1466" s="9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</row>
    <row r="1467" spans="1:19" ht="15.75" customHeight="1">
      <c r="A1467" s="8">
        <v>246318886</v>
      </c>
      <c r="B1467" s="8" t="s">
        <v>10549</v>
      </c>
      <c r="C1467" s="8" t="s">
        <v>10868</v>
      </c>
      <c r="D1467" s="8" t="s">
        <v>5625</v>
      </c>
      <c r="E1467" s="9" t="s">
        <v>5626</v>
      </c>
      <c r="F1467" s="8"/>
      <c r="G1467" s="9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</row>
    <row r="1468" spans="1:19" ht="15.75" customHeight="1">
      <c r="A1468" s="8">
        <v>246319257</v>
      </c>
      <c r="B1468" s="8" t="s">
        <v>10869</v>
      </c>
      <c r="C1468" s="8" t="s">
        <v>10870</v>
      </c>
      <c r="D1468" s="8" t="s">
        <v>5629</v>
      </c>
      <c r="E1468" s="9" t="s">
        <v>5630</v>
      </c>
      <c r="F1468" s="8"/>
      <c r="G1468" s="9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</row>
    <row r="1469" spans="1:19" ht="15.75" customHeight="1">
      <c r="A1469" s="8">
        <v>246319504</v>
      </c>
      <c r="B1469" s="8" t="s">
        <v>8866</v>
      </c>
      <c r="C1469" s="8" t="s">
        <v>10871</v>
      </c>
      <c r="D1469" s="8" t="s">
        <v>5633</v>
      </c>
      <c r="E1469" s="9" t="s">
        <v>5634</v>
      </c>
      <c r="F1469" s="8"/>
      <c r="G1469" s="9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</row>
    <row r="1470" spans="1:19" ht="15.75" customHeight="1">
      <c r="A1470" s="8">
        <v>246319723</v>
      </c>
      <c r="B1470" s="8" t="s">
        <v>10872</v>
      </c>
      <c r="C1470" s="8" t="s">
        <v>10873</v>
      </c>
      <c r="D1470" s="8" t="s">
        <v>5637</v>
      </c>
      <c r="E1470" s="9">
        <v>8701909885</v>
      </c>
      <c r="F1470" s="8"/>
      <c r="G1470" s="9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</row>
    <row r="1471" spans="1:19" ht="15.75" customHeight="1">
      <c r="A1471" s="8">
        <v>246319961</v>
      </c>
      <c r="B1471" s="8" t="s">
        <v>10874</v>
      </c>
      <c r="C1471" s="8" t="s">
        <v>10875</v>
      </c>
      <c r="D1471" s="8" t="s">
        <v>5640</v>
      </c>
      <c r="E1471" s="9" t="s">
        <v>5641</v>
      </c>
      <c r="F1471" s="8"/>
      <c r="G1471" s="9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</row>
    <row r="1472" spans="1:19" ht="15.75" customHeight="1">
      <c r="A1472" s="8">
        <v>246320135</v>
      </c>
      <c r="B1472" s="8" t="s">
        <v>10876</v>
      </c>
      <c r="C1472" s="8" t="s">
        <v>10877</v>
      </c>
      <c r="D1472" s="8" t="s">
        <v>5644</v>
      </c>
      <c r="E1472" s="9" t="s">
        <v>5645</v>
      </c>
      <c r="F1472" s="8"/>
      <c r="G1472" s="9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</row>
    <row r="1473" spans="1:19" ht="15.75" customHeight="1">
      <c r="A1473" s="8">
        <v>246320282</v>
      </c>
      <c r="B1473" s="8" t="s">
        <v>8186</v>
      </c>
      <c r="C1473" s="8" t="s">
        <v>10878</v>
      </c>
      <c r="D1473" s="8" t="s">
        <v>10879</v>
      </c>
      <c r="E1473" s="9" t="s">
        <v>10880</v>
      </c>
      <c r="F1473" s="8"/>
      <c r="G1473" s="9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</row>
    <row r="1474" spans="1:19" ht="15.75" customHeight="1">
      <c r="A1474" s="8">
        <v>246320644</v>
      </c>
      <c r="B1474" s="8" t="s">
        <v>8197</v>
      </c>
      <c r="C1474" s="8" t="s">
        <v>10881</v>
      </c>
      <c r="D1474" s="8" t="s">
        <v>5648</v>
      </c>
      <c r="E1474" s="9" t="s">
        <v>5649</v>
      </c>
      <c r="F1474" s="8"/>
      <c r="G1474" s="9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</row>
    <row r="1475" spans="1:19" ht="15.75" customHeight="1">
      <c r="A1475" s="8">
        <v>246321599</v>
      </c>
      <c r="B1475" s="8" t="s">
        <v>10882</v>
      </c>
      <c r="C1475" s="8" t="s">
        <v>10883</v>
      </c>
      <c r="D1475" s="8" t="s">
        <v>10884</v>
      </c>
      <c r="E1475" s="9">
        <v>79869249775</v>
      </c>
      <c r="F1475" s="8"/>
      <c r="G1475" s="9"/>
      <c r="H1475" s="8" t="s">
        <v>8164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</row>
    <row r="1476" spans="1:19" ht="15.75" customHeight="1">
      <c r="A1476" s="8">
        <v>246322170</v>
      </c>
      <c r="B1476" s="8" t="s">
        <v>8186</v>
      </c>
      <c r="C1476" s="8" t="s">
        <v>10885</v>
      </c>
      <c r="D1476" s="8" t="s">
        <v>5652</v>
      </c>
      <c r="E1476" s="9">
        <v>903272769</v>
      </c>
      <c r="F1476" s="8"/>
      <c r="G1476" s="9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</row>
    <row r="1477" spans="1:19" ht="15.75" customHeight="1">
      <c r="A1477" s="8">
        <v>246323578</v>
      </c>
      <c r="B1477" s="8" t="s">
        <v>10886</v>
      </c>
      <c r="C1477" s="8" t="s">
        <v>10887</v>
      </c>
      <c r="D1477" s="8" t="s">
        <v>5655</v>
      </c>
      <c r="E1477" s="9" t="s">
        <v>5656</v>
      </c>
      <c r="F1477" s="8"/>
      <c r="G1477" s="9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</row>
    <row r="1478" spans="1:19" ht="15.75" customHeight="1">
      <c r="A1478" s="8">
        <v>246323892</v>
      </c>
      <c r="B1478" s="8" t="s">
        <v>8234</v>
      </c>
      <c r="C1478" s="8" t="s">
        <v>10475</v>
      </c>
      <c r="D1478" s="8" t="s">
        <v>5659</v>
      </c>
      <c r="E1478" s="9">
        <v>87786475929</v>
      </c>
      <c r="F1478" s="8"/>
      <c r="G1478" s="9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</row>
    <row r="1479" spans="1:19" ht="15.75" customHeight="1">
      <c r="A1479" s="8">
        <v>246324786</v>
      </c>
      <c r="B1479" s="8" t="s">
        <v>10608</v>
      </c>
      <c r="C1479" s="8" t="s">
        <v>10627</v>
      </c>
      <c r="D1479" s="8" t="s">
        <v>5662</v>
      </c>
      <c r="E1479" s="9" t="s">
        <v>5663</v>
      </c>
      <c r="F1479" s="8"/>
      <c r="G1479" s="9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</row>
    <row r="1480" spans="1:19" ht="15.75" customHeight="1">
      <c r="A1480" s="8">
        <v>246325248</v>
      </c>
      <c r="B1480" s="8" t="s">
        <v>7768</v>
      </c>
      <c r="C1480" s="8" t="s">
        <v>9383</v>
      </c>
      <c r="D1480" s="8" t="s">
        <v>5666</v>
      </c>
      <c r="E1480" s="9">
        <v>998902305234</v>
      </c>
      <c r="F1480" s="8"/>
      <c r="G1480" s="9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</row>
    <row r="1481" spans="1:19" ht="15.75" customHeight="1">
      <c r="A1481" s="8">
        <v>246325441</v>
      </c>
      <c r="B1481" s="8" t="s">
        <v>10608</v>
      </c>
      <c r="C1481" s="8" t="s">
        <v>10888</v>
      </c>
      <c r="D1481" s="8" t="s">
        <v>5669</v>
      </c>
      <c r="E1481" s="9">
        <v>87771091979</v>
      </c>
      <c r="F1481" s="8"/>
      <c r="G1481" s="9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</row>
    <row r="1482" spans="1:19" ht="15.75" customHeight="1">
      <c r="A1482" s="8">
        <v>246326762</v>
      </c>
      <c r="B1482" s="8" t="s">
        <v>8694</v>
      </c>
      <c r="C1482" s="8" t="s">
        <v>8694</v>
      </c>
      <c r="D1482" s="8" t="s">
        <v>5672</v>
      </c>
      <c r="E1482" s="9">
        <v>87711530780</v>
      </c>
      <c r="F1482" s="8"/>
      <c r="G1482" s="9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</row>
    <row r="1483" spans="1:19" ht="15.75" customHeight="1">
      <c r="A1483" s="8">
        <v>246327301</v>
      </c>
      <c r="B1483" s="8" t="s">
        <v>10566</v>
      </c>
      <c r="C1483" s="8" t="s">
        <v>10889</v>
      </c>
      <c r="D1483" s="8" t="s">
        <v>5675</v>
      </c>
      <c r="E1483" s="9" t="s">
        <v>5676</v>
      </c>
      <c r="F1483" s="8"/>
      <c r="G1483" s="9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</row>
    <row r="1484" spans="1:19" ht="15.75" customHeight="1">
      <c r="A1484" s="8">
        <v>246327459</v>
      </c>
      <c r="B1484" s="8" t="s">
        <v>10890</v>
      </c>
      <c r="C1484" s="8" t="s">
        <v>10891</v>
      </c>
      <c r="D1484" s="8" t="s">
        <v>5679</v>
      </c>
      <c r="E1484" s="9" t="s">
        <v>5680</v>
      </c>
      <c r="F1484" s="8"/>
      <c r="G1484" s="9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</row>
    <row r="1485" spans="1:19" ht="15.75" customHeight="1">
      <c r="A1485" s="8">
        <v>246327704</v>
      </c>
      <c r="B1485" s="8" t="s">
        <v>10860</v>
      </c>
      <c r="C1485" s="8" t="s">
        <v>10892</v>
      </c>
      <c r="D1485" s="8" t="s">
        <v>5683</v>
      </c>
      <c r="E1485" s="9" t="s">
        <v>5684</v>
      </c>
      <c r="F1485" s="8"/>
      <c r="G1485" s="9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</row>
    <row r="1486" spans="1:19" ht="15.75" customHeight="1">
      <c r="A1486" s="8">
        <v>246327733</v>
      </c>
      <c r="B1486" s="8" t="s">
        <v>8301</v>
      </c>
      <c r="C1486" s="8" t="s">
        <v>10893</v>
      </c>
      <c r="D1486" s="8" t="s">
        <v>5687</v>
      </c>
      <c r="E1486" s="9" t="s">
        <v>5688</v>
      </c>
      <c r="F1486" s="8" t="s">
        <v>10894</v>
      </c>
      <c r="G1486" s="9">
        <v>0</v>
      </c>
      <c r="H1486" s="8" t="s">
        <v>8164</v>
      </c>
      <c r="I1486" s="8" t="s">
        <v>10895</v>
      </c>
      <c r="J1486" s="8"/>
      <c r="K1486" s="8"/>
      <c r="L1486" s="8"/>
      <c r="M1486" s="8"/>
      <c r="N1486" s="8"/>
      <c r="O1486" s="8"/>
      <c r="P1486" s="8"/>
      <c r="Q1486" s="8"/>
      <c r="R1486" s="8"/>
      <c r="S1486" s="8"/>
    </row>
    <row r="1487" spans="1:19" ht="15.75" customHeight="1">
      <c r="A1487" s="8">
        <v>246328205</v>
      </c>
      <c r="B1487" s="8" t="s">
        <v>8988</v>
      </c>
      <c r="C1487" s="8" t="s">
        <v>10896</v>
      </c>
      <c r="D1487" s="8" t="s">
        <v>5691</v>
      </c>
      <c r="E1487" s="9">
        <v>77783550305</v>
      </c>
      <c r="F1487" s="8" t="s">
        <v>10897</v>
      </c>
      <c r="G1487" s="9">
        <v>42</v>
      </c>
      <c r="H1487" s="8" t="s">
        <v>8241</v>
      </c>
      <c r="I1487" s="8" t="s">
        <v>10662</v>
      </c>
      <c r="J1487" s="8"/>
      <c r="K1487" s="8"/>
      <c r="L1487" s="8"/>
      <c r="M1487" s="8"/>
      <c r="N1487" s="8"/>
      <c r="O1487" s="8"/>
      <c r="P1487" s="8"/>
      <c r="Q1487" s="8"/>
      <c r="R1487" s="8"/>
      <c r="S1487" s="8"/>
    </row>
    <row r="1488" spans="1:19" ht="15.75" customHeight="1">
      <c r="A1488" s="8">
        <v>246328311</v>
      </c>
      <c r="B1488" s="8" t="s">
        <v>10898</v>
      </c>
      <c r="C1488" s="8" t="s">
        <v>10899</v>
      </c>
      <c r="D1488" s="8" t="s">
        <v>10900</v>
      </c>
      <c r="E1488" s="9">
        <v>56809863</v>
      </c>
      <c r="F1488" s="8"/>
      <c r="G1488" s="9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</row>
    <row r="1489" spans="1:19" ht="15.75" customHeight="1">
      <c r="A1489" s="8">
        <v>246329117</v>
      </c>
      <c r="B1489" s="8" t="s">
        <v>10682</v>
      </c>
      <c r="C1489" s="8" t="s">
        <v>10901</v>
      </c>
      <c r="D1489" s="8" t="s">
        <v>5694</v>
      </c>
      <c r="E1489" s="9" t="s">
        <v>5695</v>
      </c>
      <c r="F1489" s="8"/>
      <c r="G1489" s="9"/>
      <c r="H1489" s="8" t="s">
        <v>8522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</row>
    <row r="1490" spans="1:19" ht="15.75" customHeight="1">
      <c r="A1490" s="8">
        <v>246329709</v>
      </c>
      <c r="B1490" s="8" t="s">
        <v>10902</v>
      </c>
      <c r="C1490" s="8" t="s">
        <v>10342</v>
      </c>
      <c r="D1490" s="8" t="s">
        <v>5698</v>
      </c>
      <c r="E1490" s="9" t="s">
        <v>5699</v>
      </c>
      <c r="F1490" s="8"/>
      <c r="G1490" s="9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</row>
    <row r="1491" spans="1:19" ht="15.75" customHeight="1">
      <c r="A1491" s="8">
        <v>246330170</v>
      </c>
      <c r="B1491" s="8" t="s">
        <v>10903</v>
      </c>
      <c r="C1491" s="8" t="s">
        <v>10904</v>
      </c>
      <c r="D1491" s="8" t="s">
        <v>5702</v>
      </c>
      <c r="E1491" s="9">
        <v>87058810088</v>
      </c>
      <c r="F1491" s="8"/>
      <c r="G1491" s="9"/>
      <c r="H1491" s="8" t="s">
        <v>8164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</row>
    <row r="1492" spans="1:19" ht="15.75" customHeight="1">
      <c r="A1492" s="8">
        <v>246331104</v>
      </c>
      <c r="B1492" s="8" t="s">
        <v>8684</v>
      </c>
      <c r="C1492" s="8" t="s">
        <v>10905</v>
      </c>
      <c r="D1492" s="8" t="s">
        <v>5706</v>
      </c>
      <c r="E1492" s="9" t="s">
        <v>5707</v>
      </c>
      <c r="F1492" s="8"/>
      <c r="G1492" s="9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</row>
    <row r="1493" spans="1:19" ht="15.75" customHeight="1">
      <c r="A1493" s="8">
        <v>246331532</v>
      </c>
      <c r="B1493" s="8" t="s">
        <v>7818</v>
      </c>
      <c r="C1493" s="8" t="s">
        <v>10906</v>
      </c>
      <c r="D1493" s="8" t="s">
        <v>5710</v>
      </c>
      <c r="E1493" s="9" t="s">
        <v>5711</v>
      </c>
      <c r="F1493" s="8"/>
      <c r="G1493" s="9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</row>
    <row r="1494" spans="1:19" ht="15.75" customHeight="1">
      <c r="A1494" s="8">
        <v>246331643</v>
      </c>
      <c r="B1494" s="8" t="s">
        <v>10907</v>
      </c>
      <c r="C1494" s="8" t="s">
        <v>10908</v>
      </c>
      <c r="D1494" s="8" t="s">
        <v>5714</v>
      </c>
      <c r="E1494" s="9">
        <v>87777778309</v>
      </c>
      <c r="F1494" s="8"/>
      <c r="G1494" s="9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</row>
    <row r="1495" spans="1:19" ht="15.75" customHeight="1">
      <c r="A1495" s="8">
        <v>246332083</v>
      </c>
      <c r="B1495" s="8" t="s">
        <v>8455</v>
      </c>
      <c r="C1495" s="8" t="s">
        <v>9157</v>
      </c>
      <c r="D1495" s="8" t="s">
        <v>5717</v>
      </c>
      <c r="E1495" s="9">
        <v>998998987015</v>
      </c>
      <c r="F1495" s="8"/>
      <c r="G1495" s="9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</row>
    <row r="1496" spans="1:19" ht="15.75" customHeight="1">
      <c r="A1496" s="8">
        <v>246332261</v>
      </c>
      <c r="B1496" s="8" t="s">
        <v>10540</v>
      </c>
      <c r="C1496" s="8" t="s">
        <v>10909</v>
      </c>
      <c r="D1496" s="8" t="s">
        <v>5720</v>
      </c>
      <c r="E1496" s="9">
        <v>87028296601</v>
      </c>
      <c r="F1496" s="8"/>
      <c r="G1496" s="9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</row>
    <row r="1497" spans="1:19" ht="15.75" customHeight="1">
      <c r="A1497" s="8">
        <v>246332902</v>
      </c>
      <c r="B1497" s="8" t="s">
        <v>10351</v>
      </c>
      <c r="C1497" s="8" t="s">
        <v>10910</v>
      </c>
      <c r="D1497" s="8" t="s">
        <v>5723</v>
      </c>
      <c r="E1497" s="9" t="s">
        <v>5724</v>
      </c>
      <c r="F1497" s="8" t="s">
        <v>10911</v>
      </c>
      <c r="G1497" s="9">
        <v>37</v>
      </c>
      <c r="H1497" s="8" t="s">
        <v>8799</v>
      </c>
      <c r="I1497" s="8" t="s">
        <v>10595</v>
      </c>
      <c r="J1497" s="8"/>
      <c r="K1497" s="8"/>
      <c r="L1497" s="8"/>
      <c r="M1497" s="8"/>
      <c r="N1497" s="8"/>
      <c r="O1497" s="8"/>
      <c r="P1497" s="8"/>
      <c r="Q1497" s="8"/>
      <c r="R1497" s="8"/>
      <c r="S1497" s="8"/>
    </row>
    <row r="1498" spans="1:19" ht="15.75" customHeight="1">
      <c r="A1498" s="8">
        <v>246332998</v>
      </c>
      <c r="B1498" s="8" t="s">
        <v>8444</v>
      </c>
      <c r="C1498" s="8" t="s">
        <v>10912</v>
      </c>
      <c r="D1498" s="8" t="s">
        <v>10913</v>
      </c>
      <c r="E1498" s="9">
        <v>87028218223</v>
      </c>
      <c r="F1498" s="8"/>
      <c r="G1498" s="9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</row>
    <row r="1499" spans="1:19" ht="15.75" customHeight="1">
      <c r="A1499" s="8">
        <v>246333174</v>
      </c>
      <c r="B1499" s="8" t="s">
        <v>8717</v>
      </c>
      <c r="C1499" s="8" t="s">
        <v>10914</v>
      </c>
      <c r="D1499" s="8" t="s">
        <v>5727</v>
      </c>
      <c r="E1499" s="9" t="s">
        <v>5728</v>
      </c>
      <c r="F1499" s="8"/>
      <c r="G1499" s="9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</row>
    <row r="1500" spans="1:19" ht="15.75" customHeight="1">
      <c r="A1500" s="8">
        <v>246333246</v>
      </c>
      <c r="B1500" s="8" t="s">
        <v>10915</v>
      </c>
      <c r="C1500" s="8" t="s">
        <v>10916</v>
      </c>
      <c r="D1500" s="8" t="s">
        <v>5731</v>
      </c>
      <c r="E1500" s="9" t="s">
        <v>5732</v>
      </c>
      <c r="F1500" s="8"/>
      <c r="G1500" s="9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</row>
    <row r="1501" spans="1:19" ht="15.75" customHeight="1">
      <c r="A1501" s="8">
        <v>246333357</v>
      </c>
      <c r="B1501" s="8" t="s">
        <v>7818</v>
      </c>
      <c r="C1501" s="8" t="s">
        <v>10917</v>
      </c>
      <c r="D1501" s="8" t="s">
        <v>5735</v>
      </c>
      <c r="E1501" s="9">
        <v>87767990606</v>
      </c>
      <c r="F1501" s="8"/>
      <c r="G1501" s="9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</row>
    <row r="1502" spans="1:19" ht="15.75" customHeight="1">
      <c r="A1502" s="8">
        <v>246333754</v>
      </c>
      <c r="B1502" s="8" t="s">
        <v>10918</v>
      </c>
      <c r="C1502" s="8" t="s">
        <v>10919</v>
      </c>
      <c r="D1502" s="8" t="s">
        <v>5738</v>
      </c>
      <c r="E1502" s="9">
        <v>87081069722</v>
      </c>
      <c r="F1502" s="8"/>
      <c r="G1502" s="9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</row>
    <row r="1503" spans="1:19" ht="15.75" customHeight="1">
      <c r="A1503" s="8">
        <v>246333766</v>
      </c>
      <c r="B1503" s="8" t="s">
        <v>10920</v>
      </c>
      <c r="C1503" s="8" t="s">
        <v>10921</v>
      </c>
      <c r="D1503" s="8" t="s">
        <v>5741</v>
      </c>
      <c r="E1503" s="9" t="s">
        <v>5742</v>
      </c>
      <c r="F1503" s="8"/>
      <c r="G1503" s="9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</row>
    <row r="1504" spans="1:19" ht="15.75" customHeight="1">
      <c r="A1504" s="8">
        <v>246333840</v>
      </c>
      <c r="B1504" s="8" t="s">
        <v>10922</v>
      </c>
      <c r="C1504" s="8" t="s">
        <v>10923</v>
      </c>
      <c r="D1504" s="8" t="s">
        <v>5778</v>
      </c>
      <c r="E1504" s="9" t="s">
        <v>5779</v>
      </c>
      <c r="F1504" s="8"/>
      <c r="G1504" s="9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</row>
    <row r="1505" spans="1:19" ht="15.75" customHeight="1">
      <c r="A1505" s="8">
        <v>246334389</v>
      </c>
      <c r="B1505" s="8" t="s">
        <v>10924</v>
      </c>
      <c r="C1505" s="8" t="s">
        <v>10925</v>
      </c>
      <c r="D1505" s="8" t="s">
        <v>10926</v>
      </c>
      <c r="E1505" s="9" t="s">
        <v>10927</v>
      </c>
      <c r="F1505" s="8"/>
      <c r="G1505" s="9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</row>
    <row r="1506" spans="1:19" ht="15.75" customHeight="1">
      <c r="A1506" s="8">
        <v>246334558</v>
      </c>
      <c r="B1506" s="8" t="s">
        <v>7448</v>
      </c>
      <c r="C1506" s="8" t="s">
        <v>10928</v>
      </c>
      <c r="D1506" s="8" t="s">
        <v>5782</v>
      </c>
      <c r="E1506" s="9" t="s">
        <v>5783</v>
      </c>
      <c r="F1506" s="8"/>
      <c r="G1506" s="9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</row>
    <row r="1507" spans="1:19" ht="15.75" customHeight="1">
      <c r="A1507" s="8">
        <v>246334792</v>
      </c>
      <c r="B1507" s="8" t="s">
        <v>10929</v>
      </c>
      <c r="C1507" s="8" t="s">
        <v>10499</v>
      </c>
      <c r="D1507" s="8" t="s">
        <v>10930</v>
      </c>
      <c r="E1507" s="9" t="s">
        <v>10931</v>
      </c>
      <c r="F1507" s="8"/>
      <c r="G1507" s="9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</row>
    <row r="1508" spans="1:19" ht="15.75" customHeight="1">
      <c r="A1508" s="8">
        <v>246335597</v>
      </c>
      <c r="B1508" s="8" t="s">
        <v>8883</v>
      </c>
      <c r="C1508" s="8" t="s">
        <v>10932</v>
      </c>
      <c r="D1508" s="8" t="s">
        <v>5786</v>
      </c>
      <c r="E1508" s="9" t="s">
        <v>5787</v>
      </c>
      <c r="F1508" s="8"/>
      <c r="G1508" s="9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</row>
    <row r="1509" spans="1:19" ht="15.75" customHeight="1">
      <c r="A1509" s="8">
        <v>246336062</v>
      </c>
      <c r="B1509" s="8" t="s">
        <v>10736</v>
      </c>
      <c r="C1509" s="8" t="s">
        <v>10532</v>
      </c>
      <c r="D1509" s="8" t="s">
        <v>10933</v>
      </c>
      <c r="E1509" s="9" t="s">
        <v>10934</v>
      </c>
      <c r="F1509" s="8"/>
      <c r="G1509" s="9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</row>
    <row r="1510" spans="1:19" ht="15.75" customHeight="1">
      <c r="A1510" s="8">
        <v>246336089</v>
      </c>
      <c r="B1510" s="8" t="s">
        <v>8866</v>
      </c>
      <c r="C1510" s="8" t="s">
        <v>10935</v>
      </c>
      <c r="D1510" s="8" t="s">
        <v>5790</v>
      </c>
      <c r="E1510" s="9" t="s">
        <v>5791</v>
      </c>
      <c r="F1510" s="8"/>
      <c r="G1510" s="9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</row>
    <row r="1511" spans="1:19" ht="15.75" customHeight="1">
      <c r="A1511" s="8">
        <v>246336449</v>
      </c>
      <c r="B1511" s="8" t="s">
        <v>10936</v>
      </c>
      <c r="C1511" s="8" t="s">
        <v>10937</v>
      </c>
      <c r="D1511" s="8" t="s">
        <v>5794</v>
      </c>
      <c r="E1511" s="9" t="s">
        <v>5795</v>
      </c>
      <c r="F1511" s="8"/>
      <c r="G1511" s="9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</row>
    <row r="1512" spans="1:19" ht="15.75" customHeight="1">
      <c r="A1512" s="8">
        <v>246336495</v>
      </c>
      <c r="B1512" s="8" t="s">
        <v>8628</v>
      </c>
      <c r="C1512" s="8" t="s">
        <v>10938</v>
      </c>
      <c r="D1512" s="8" t="s">
        <v>5798</v>
      </c>
      <c r="E1512" s="9">
        <v>998939221687</v>
      </c>
      <c r="F1512" s="8"/>
      <c r="G1512" s="9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</row>
    <row r="1513" spans="1:19" ht="15.75" customHeight="1">
      <c r="A1513" s="8">
        <v>246336754</v>
      </c>
      <c r="B1513" s="8" t="s">
        <v>8304</v>
      </c>
      <c r="C1513" s="8" t="s">
        <v>10939</v>
      </c>
      <c r="D1513" s="8" t="s">
        <v>5801</v>
      </c>
      <c r="E1513" s="9">
        <v>79093760214</v>
      </c>
      <c r="F1513" s="8"/>
      <c r="G1513" s="9"/>
      <c r="H1513" s="8" t="s">
        <v>8164</v>
      </c>
      <c r="I1513" s="8" t="s">
        <v>10940</v>
      </c>
      <c r="J1513" s="8"/>
      <c r="K1513" s="8"/>
      <c r="L1513" s="8"/>
      <c r="M1513" s="8"/>
      <c r="N1513" s="8"/>
      <c r="O1513" s="8"/>
      <c r="P1513" s="8"/>
      <c r="Q1513" s="8"/>
      <c r="R1513" s="8"/>
      <c r="S1513" s="8"/>
    </row>
    <row r="1514" spans="1:19" ht="15.75" customHeight="1">
      <c r="A1514" s="8">
        <v>246336854</v>
      </c>
      <c r="B1514" s="8" t="s">
        <v>7399</v>
      </c>
      <c r="C1514" s="8" t="s">
        <v>10941</v>
      </c>
      <c r="D1514" s="8" t="s">
        <v>5804</v>
      </c>
      <c r="E1514" s="9" t="s">
        <v>5805</v>
      </c>
      <c r="F1514" s="8"/>
      <c r="G1514" s="9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</row>
    <row r="1515" spans="1:19" ht="15.75" customHeight="1">
      <c r="A1515" s="8">
        <v>246336911</v>
      </c>
      <c r="B1515" s="8" t="s">
        <v>8479</v>
      </c>
      <c r="C1515" s="8" t="s">
        <v>10942</v>
      </c>
      <c r="D1515" s="8" t="s">
        <v>10943</v>
      </c>
      <c r="E1515" s="9">
        <v>87766692033</v>
      </c>
      <c r="F1515" s="8"/>
      <c r="G1515" s="9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</row>
    <row r="1516" spans="1:19" ht="15.75" customHeight="1">
      <c r="A1516" s="8">
        <v>246337451</v>
      </c>
      <c r="B1516" s="8" t="s">
        <v>8234</v>
      </c>
      <c r="C1516" s="8" t="s">
        <v>10944</v>
      </c>
      <c r="D1516" s="8" t="s">
        <v>5808</v>
      </c>
      <c r="E1516" s="9">
        <v>87477274077</v>
      </c>
      <c r="F1516" s="8"/>
      <c r="G1516" s="9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</row>
    <row r="1517" spans="1:19" ht="15.75" customHeight="1">
      <c r="A1517" s="8">
        <v>246337580</v>
      </c>
      <c r="B1517" s="8" t="s">
        <v>10945</v>
      </c>
      <c r="C1517" s="8" t="s">
        <v>10946</v>
      </c>
      <c r="D1517" s="8" t="s">
        <v>5811</v>
      </c>
      <c r="E1517" s="9"/>
      <c r="F1517" s="8"/>
      <c r="G1517" s="9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</row>
    <row r="1518" spans="1:19" ht="15.75" customHeight="1">
      <c r="A1518" s="8">
        <v>246337696</v>
      </c>
      <c r="B1518" s="8" t="s">
        <v>10947</v>
      </c>
      <c r="C1518" s="8" t="s">
        <v>10948</v>
      </c>
      <c r="D1518" s="8" t="s">
        <v>5814</v>
      </c>
      <c r="E1518" s="9">
        <v>87057754518</v>
      </c>
      <c r="F1518" s="8"/>
      <c r="G1518" s="9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</row>
    <row r="1519" spans="1:19" ht="15.75" customHeight="1">
      <c r="A1519" s="8">
        <v>246337841</v>
      </c>
      <c r="B1519" s="8" t="s">
        <v>10949</v>
      </c>
      <c r="C1519" s="8" t="s">
        <v>10950</v>
      </c>
      <c r="D1519" s="8" t="s">
        <v>5817</v>
      </c>
      <c r="E1519" s="9">
        <v>79017290197</v>
      </c>
      <c r="F1519" s="8"/>
      <c r="G1519" s="9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</row>
    <row r="1520" spans="1:19" ht="15.75" customHeight="1">
      <c r="A1520" s="8">
        <v>246337947</v>
      </c>
      <c r="B1520" s="8" t="s">
        <v>10951</v>
      </c>
      <c r="C1520" s="8" t="s">
        <v>10951</v>
      </c>
      <c r="D1520" s="8" t="s">
        <v>5820</v>
      </c>
      <c r="E1520" s="9" t="s">
        <v>5821</v>
      </c>
      <c r="F1520" s="8"/>
      <c r="G1520" s="9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</row>
    <row r="1521" spans="1:19" ht="15.75" customHeight="1">
      <c r="A1521" s="8">
        <v>246337982</v>
      </c>
      <c r="B1521" s="8" t="s">
        <v>8581</v>
      </c>
      <c r="C1521" s="8" t="s">
        <v>10952</v>
      </c>
      <c r="D1521" s="8" t="s">
        <v>5824</v>
      </c>
      <c r="E1521" s="9">
        <v>998903253883</v>
      </c>
      <c r="F1521" s="8"/>
      <c r="G1521" s="9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</row>
    <row r="1522" spans="1:19" ht="15.75" customHeight="1">
      <c r="A1522" s="8">
        <v>246338029</v>
      </c>
      <c r="B1522" s="8" t="s">
        <v>10692</v>
      </c>
      <c r="C1522" s="8" t="s">
        <v>10953</v>
      </c>
      <c r="D1522" s="8" t="s">
        <v>5827</v>
      </c>
      <c r="E1522" s="9">
        <v>87071707151</v>
      </c>
      <c r="F1522" s="8"/>
      <c r="G1522" s="9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</row>
    <row r="1523" spans="1:19" ht="15.75" customHeight="1">
      <c r="A1523" s="8">
        <v>246338163</v>
      </c>
      <c r="B1523" s="8" t="s">
        <v>7818</v>
      </c>
      <c r="C1523" s="8" t="s">
        <v>10954</v>
      </c>
      <c r="D1523" s="8" t="s">
        <v>5830</v>
      </c>
      <c r="E1523" s="9" t="s">
        <v>5831</v>
      </c>
      <c r="F1523" s="8" t="s">
        <v>10955</v>
      </c>
      <c r="G1523" s="9">
        <v>32</v>
      </c>
      <c r="H1523" s="8" t="s">
        <v>8728</v>
      </c>
      <c r="I1523" s="8" t="s">
        <v>8281</v>
      </c>
      <c r="J1523" s="8"/>
      <c r="K1523" s="8"/>
      <c r="L1523" s="8"/>
      <c r="M1523" s="8"/>
      <c r="N1523" s="8"/>
      <c r="O1523" s="8"/>
      <c r="P1523" s="8"/>
      <c r="Q1523" s="8"/>
      <c r="R1523" s="8"/>
      <c r="S1523" s="8"/>
    </row>
    <row r="1524" spans="1:19" ht="15.75" customHeight="1">
      <c r="A1524" s="8">
        <v>246338519</v>
      </c>
      <c r="B1524" s="8" t="s">
        <v>10956</v>
      </c>
      <c r="C1524" s="8" t="s">
        <v>10957</v>
      </c>
      <c r="D1524" s="8" t="s">
        <v>5834</v>
      </c>
      <c r="E1524" s="9" t="s">
        <v>5835</v>
      </c>
      <c r="F1524" s="8"/>
      <c r="G1524" s="9"/>
      <c r="H1524" s="8" t="s">
        <v>8183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</row>
    <row r="1525" spans="1:19" ht="15.75" customHeight="1">
      <c r="A1525" s="8">
        <v>246338876</v>
      </c>
      <c r="B1525" s="8" t="s">
        <v>10958</v>
      </c>
      <c r="C1525" s="8" t="s">
        <v>10959</v>
      </c>
      <c r="D1525" s="8" t="s">
        <v>5838</v>
      </c>
      <c r="E1525" s="9" t="s">
        <v>5839</v>
      </c>
      <c r="F1525" s="8"/>
      <c r="G1525" s="9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</row>
    <row r="1526" spans="1:19" ht="15.75" customHeight="1">
      <c r="A1526" s="8">
        <v>246339208</v>
      </c>
      <c r="B1526" s="8" t="s">
        <v>9374</v>
      </c>
      <c r="C1526" s="8" t="s">
        <v>10603</v>
      </c>
      <c r="D1526" s="8" t="s">
        <v>5842</v>
      </c>
      <c r="E1526" s="9" t="s">
        <v>5843</v>
      </c>
      <c r="F1526" s="8"/>
      <c r="G1526" s="9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</row>
    <row r="1527" spans="1:19" ht="15.75" customHeight="1">
      <c r="A1527" s="8">
        <v>246339240</v>
      </c>
      <c r="B1527" s="8" t="s">
        <v>9437</v>
      </c>
      <c r="C1527" s="8" t="s">
        <v>10960</v>
      </c>
      <c r="D1527" s="8" t="s">
        <v>5846</v>
      </c>
      <c r="E1527" s="9">
        <v>87472828929</v>
      </c>
      <c r="F1527" s="8"/>
      <c r="G1527" s="9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</row>
    <row r="1528" spans="1:19" ht="15.75" customHeight="1">
      <c r="A1528" s="8">
        <v>246339353</v>
      </c>
      <c r="B1528" s="8" t="s">
        <v>9037</v>
      </c>
      <c r="C1528" s="8" t="s">
        <v>10961</v>
      </c>
      <c r="D1528" s="8" t="s">
        <v>5849</v>
      </c>
      <c r="E1528" s="9" t="s">
        <v>5850</v>
      </c>
      <c r="F1528" s="8" t="s">
        <v>10962</v>
      </c>
      <c r="G1528" s="9">
        <v>42</v>
      </c>
      <c r="H1528" s="8" t="s">
        <v>8463</v>
      </c>
      <c r="I1528" s="8" t="s">
        <v>10595</v>
      </c>
      <c r="J1528" s="8"/>
      <c r="K1528" s="8"/>
      <c r="L1528" s="8"/>
      <c r="M1528" s="8"/>
      <c r="N1528" s="8"/>
      <c r="O1528" s="8"/>
      <c r="P1528" s="8"/>
      <c r="Q1528" s="8"/>
      <c r="R1528" s="8"/>
      <c r="S1528" s="8"/>
    </row>
    <row r="1529" spans="1:19" ht="15.75" customHeight="1">
      <c r="A1529" s="8">
        <v>246339844</v>
      </c>
      <c r="B1529" s="8" t="s">
        <v>10483</v>
      </c>
      <c r="C1529" s="8" t="s">
        <v>10342</v>
      </c>
      <c r="D1529" s="8" t="s">
        <v>5853</v>
      </c>
      <c r="E1529" s="9">
        <v>87778112090</v>
      </c>
      <c r="F1529" s="8"/>
      <c r="G1529" s="9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</row>
    <row r="1530" spans="1:19" ht="15.75" customHeight="1">
      <c r="A1530" s="8">
        <v>246339981</v>
      </c>
      <c r="B1530" s="8" t="s">
        <v>10963</v>
      </c>
      <c r="C1530" s="8" t="s">
        <v>10964</v>
      </c>
      <c r="D1530" s="8" t="s">
        <v>5856</v>
      </c>
      <c r="E1530" s="9" t="s">
        <v>5857</v>
      </c>
      <c r="F1530" s="8"/>
      <c r="G1530" s="9"/>
      <c r="H1530" s="8" t="s">
        <v>8241</v>
      </c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</row>
    <row r="1531" spans="1:19" ht="15.75" customHeight="1">
      <c r="A1531" s="8">
        <v>246340165</v>
      </c>
      <c r="B1531" s="8" t="s">
        <v>9632</v>
      </c>
      <c r="C1531" s="8" t="s">
        <v>10615</v>
      </c>
      <c r="D1531" s="8" t="s">
        <v>10965</v>
      </c>
      <c r="E1531" s="9" t="s">
        <v>10966</v>
      </c>
      <c r="F1531" s="8"/>
      <c r="G1531" s="9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</row>
    <row r="1532" spans="1:19" ht="15.75" customHeight="1">
      <c r="A1532" s="8">
        <v>246340245</v>
      </c>
      <c r="B1532" s="8" t="s">
        <v>10967</v>
      </c>
      <c r="C1532" s="8" t="s">
        <v>10968</v>
      </c>
      <c r="D1532" s="8" t="s">
        <v>5860</v>
      </c>
      <c r="E1532" s="9">
        <v>975322161</v>
      </c>
      <c r="F1532" s="8"/>
      <c r="G1532" s="9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</row>
    <row r="1533" spans="1:19" ht="15.75" customHeight="1">
      <c r="A1533" s="8">
        <v>246340270</v>
      </c>
      <c r="B1533" s="8" t="s">
        <v>9197</v>
      </c>
      <c r="C1533" s="8" t="s">
        <v>10969</v>
      </c>
      <c r="D1533" s="8" t="s">
        <v>5863</v>
      </c>
      <c r="E1533" s="9">
        <v>87715925115</v>
      </c>
      <c r="F1533" s="8"/>
      <c r="G1533" s="9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</row>
    <row r="1534" spans="1:19" ht="15.75" customHeight="1">
      <c r="A1534" s="8">
        <v>246340346</v>
      </c>
      <c r="B1534" s="8" t="s">
        <v>10970</v>
      </c>
      <c r="C1534" s="8" t="s">
        <v>10462</v>
      </c>
      <c r="D1534" s="8" t="s">
        <v>10971</v>
      </c>
      <c r="E1534" s="9" t="s">
        <v>10972</v>
      </c>
      <c r="F1534" s="8"/>
      <c r="G1534" s="9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</row>
    <row r="1535" spans="1:19" ht="15.75" customHeight="1">
      <c r="A1535" s="8">
        <v>246340689</v>
      </c>
      <c r="B1535" s="8" t="s">
        <v>7399</v>
      </c>
      <c r="C1535" s="8" t="s">
        <v>10973</v>
      </c>
      <c r="D1535" s="8" t="s">
        <v>5866</v>
      </c>
      <c r="E1535" s="9" t="s">
        <v>5867</v>
      </c>
      <c r="F1535" s="8"/>
      <c r="G1535" s="9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</row>
    <row r="1536" spans="1:19" ht="15.75" customHeight="1">
      <c r="A1536" s="8">
        <v>246341294</v>
      </c>
      <c r="B1536" s="8" t="s">
        <v>8438</v>
      </c>
      <c r="C1536" s="8" t="s">
        <v>10974</v>
      </c>
      <c r="D1536" s="8" t="s">
        <v>5870</v>
      </c>
      <c r="E1536" s="9" t="s">
        <v>5871</v>
      </c>
      <c r="F1536" s="8"/>
      <c r="G1536" s="9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</row>
    <row r="1537" spans="1:19" ht="15.75" customHeight="1">
      <c r="A1537" s="8">
        <v>246341429</v>
      </c>
      <c r="B1537" s="8" t="s">
        <v>10975</v>
      </c>
      <c r="C1537" s="8" t="s">
        <v>10976</v>
      </c>
      <c r="D1537" s="8" t="s">
        <v>5874</v>
      </c>
      <c r="E1537" s="9">
        <v>87020007708</v>
      </c>
      <c r="F1537" s="8"/>
      <c r="G1537" s="9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</row>
    <row r="1538" spans="1:19" ht="15.75" customHeight="1">
      <c r="A1538" s="8">
        <v>246341532</v>
      </c>
      <c r="B1538" s="8" t="s">
        <v>8304</v>
      </c>
      <c r="C1538" s="8" t="s">
        <v>10977</v>
      </c>
      <c r="D1538" s="8" t="s">
        <v>5877</v>
      </c>
      <c r="E1538" s="9">
        <v>79137853875</v>
      </c>
      <c r="F1538" s="8"/>
      <c r="G1538" s="9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</row>
    <row r="1539" spans="1:19" ht="15.75" customHeight="1">
      <c r="A1539" s="8">
        <v>246341703</v>
      </c>
      <c r="B1539" s="8" t="s">
        <v>10776</v>
      </c>
      <c r="C1539" s="8" t="s">
        <v>10583</v>
      </c>
      <c r="D1539" s="8" t="s">
        <v>5880</v>
      </c>
      <c r="E1539" s="9">
        <v>87779905659</v>
      </c>
      <c r="F1539" s="8"/>
      <c r="G1539" s="9"/>
      <c r="H1539" s="8" t="s">
        <v>8241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</row>
    <row r="1540" spans="1:19" ht="15.75" customHeight="1">
      <c r="A1540" s="8">
        <v>246341722</v>
      </c>
      <c r="B1540" s="8" t="s">
        <v>9005</v>
      </c>
      <c r="C1540" s="8" t="s">
        <v>10978</v>
      </c>
      <c r="D1540" s="8" t="s">
        <v>5883</v>
      </c>
      <c r="E1540" s="9" t="s">
        <v>5884</v>
      </c>
      <c r="F1540" s="8"/>
      <c r="G1540" s="9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</row>
    <row r="1541" spans="1:19" ht="15.75" customHeight="1">
      <c r="A1541" s="8">
        <v>246341785</v>
      </c>
      <c r="B1541" s="8" t="s">
        <v>10560</v>
      </c>
      <c r="C1541" s="8" t="s">
        <v>10979</v>
      </c>
      <c r="D1541" s="8" t="s">
        <v>5887</v>
      </c>
      <c r="E1541" s="9" t="s">
        <v>5888</v>
      </c>
      <c r="F1541" s="8"/>
      <c r="G1541" s="9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</row>
    <row r="1542" spans="1:19" ht="15.75" customHeight="1">
      <c r="A1542" s="8">
        <v>246341788</v>
      </c>
      <c r="B1542" s="8" t="s">
        <v>8206</v>
      </c>
      <c r="C1542" s="8" t="s">
        <v>10980</v>
      </c>
      <c r="D1542" s="8" t="s">
        <v>5891</v>
      </c>
      <c r="E1542" s="9">
        <v>87712053905</v>
      </c>
      <c r="F1542" s="8"/>
      <c r="G1542" s="9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</row>
    <row r="1543" spans="1:19" ht="15.75" customHeight="1">
      <c r="A1543" s="8">
        <v>246341841</v>
      </c>
      <c r="B1543" s="8" t="s">
        <v>10975</v>
      </c>
      <c r="C1543" s="8" t="s">
        <v>10981</v>
      </c>
      <c r="D1543" s="8" t="s">
        <v>5894</v>
      </c>
      <c r="E1543" s="9">
        <v>87051575553</v>
      </c>
      <c r="F1543" s="8"/>
      <c r="G1543" s="9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</row>
    <row r="1544" spans="1:19" ht="15.75" customHeight="1">
      <c r="A1544" s="8">
        <v>246341856</v>
      </c>
      <c r="B1544" s="8" t="s">
        <v>10169</v>
      </c>
      <c r="C1544" s="8" t="s">
        <v>10982</v>
      </c>
      <c r="D1544" s="8" t="s">
        <v>5897</v>
      </c>
      <c r="E1544" s="9" t="s">
        <v>5898</v>
      </c>
      <c r="F1544" s="8"/>
      <c r="G1544" s="9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</row>
    <row r="1545" spans="1:19" ht="15.75" customHeight="1">
      <c r="A1545" s="8">
        <v>246342192</v>
      </c>
      <c r="B1545" s="8" t="s">
        <v>8206</v>
      </c>
      <c r="C1545" s="8" t="s">
        <v>10983</v>
      </c>
      <c r="D1545" s="8" t="s">
        <v>10984</v>
      </c>
      <c r="E1545" s="9" t="s">
        <v>10985</v>
      </c>
      <c r="F1545" s="8"/>
      <c r="G1545" s="9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</row>
    <row r="1546" spans="1:19" ht="15.75" customHeight="1">
      <c r="A1546" s="8">
        <v>246342274</v>
      </c>
      <c r="B1546" s="8" t="s">
        <v>10464</v>
      </c>
      <c r="C1546" s="8" t="s">
        <v>10986</v>
      </c>
      <c r="D1546" s="8" t="s">
        <v>10987</v>
      </c>
      <c r="E1546" s="9">
        <v>998915465065</v>
      </c>
      <c r="F1546" s="8"/>
      <c r="G1546" s="9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</row>
    <row r="1547" spans="1:19" ht="15.75" customHeight="1">
      <c r="A1547" s="8">
        <v>246342317</v>
      </c>
      <c r="B1547" s="8" t="s">
        <v>8206</v>
      </c>
      <c r="C1547" s="8" t="s">
        <v>10935</v>
      </c>
      <c r="D1547" s="8" t="s">
        <v>5901</v>
      </c>
      <c r="E1547" s="9" t="s">
        <v>5902</v>
      </c>
      <c r="F1547" s="8"/>
      <c r="G1547" s="9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</row>
    <row r="1548" spans="1:19" ht="15.75" customHeight="1">
      <c r="A1548" s="8">
        <v>246342739</v>
      </c>
      <c r="B1548" s="8" t="s">
        <v>8206</v>
      </c>
      <c r="C1548" s="8" t="s">
        <v>10988</v>
      </c>
      <c r="D1548" s="8" t="s">
        <v>5905</v>
      </c>
      <c r="E1548" s="9" t="s">
        <v>5906</v>
      </c>
      <c r="F1548" s="8"/>
      <c r="G1548" s="9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</row>
    <row r="1549" spans="1:19" ht="15.75" customHeight="1">
      <c r="A1549" s="8">
        <v>246342834</v>
      </c>
      <c r="B1549" s="8" t="s">
        <v>10989</v>
      </c>
      <c r="C1549" s="8" t="s">
        <v>10499</v>
      </c>
      <c r="D1549" s="8" t="s">
        <v>5909</v>
      </c>
      <c r="E1549" s="9" t="s">
        <v>5910</v>
      </c>
      <c r="F1549" s="8"/>
      <c r="G1549" s="9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</row>
    <row r="1550" spans="1:19" ht="15.75" customHeight="1">
      <c r="A1550" s="8">
        <v>246343170</v>
      </c>
      <c r="B1550" s="8" t="s">
        <v>8234</v>
      </c>
      <c r="C1550" s="8" t="s">
        <v>10990</v>
      </c>
      <c r="D1550" s="8" t="s">
        <v>5913</v>
      </c>
      <c r="E1550" s="9">
        <v>87083601774</v>
      </c>
      <c r="F1550" s="8"/>
      <c r="G1550" s="9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</row>
    <row r="1551" spans="1:19" ht="15.75" customHeight="1">
      <c r="A1551" s="8">
        <v>246343295</v>
      </c>
      <c r="B1551" s="8" t="s">
        <v>8966</v>
      </c>
      <c r="C1551" s="8" t="s">
        <v>10991</v>
      </c>
      <c r="D1551" s="8" t="s">
        <v>5916</v>
      </c>
      <c r="E1551" s="9">
        <v>79028760578</v>
      </c>
      <c r="F1551" s="8"/>
      <c r="G1551" s="9"/>
      <c r="H1551" s="8" t="s">
        <v>8164</v>
      </c>
      <c r="I1551" s="8" t="s">
        <v>10992</v>
      </c>
      <c r="J1551" s="8"/>
      <c r="K1551" s="8"/>
      <c r="L1551" s="8"/>
      <c r="M1551" s="8"/>
      <c r="N1551" s="8"/>
      <c r="O1551" s="8"/>
      <c r="P1551" s="8"/>
      <c r="Q1551" s="8"/>
      <c r="R1551" s="8"/>
      <c r="S1551" s="8"/>
    </row>
    <row r="1552" spans="1:19" ht="15.75" customHeight="1">
      <c r="A1552" s="8">
        <v>246343492</v>
      </c>
      <c r="B1552" s="8" t="s">
        <v>10963</v>
      </c>
      <c r="C1552" s="8" t="s">
        <v>10993</v>
      </c>
      <c r="D1552" s="8" t="s">
        <v>5919</v>
      </c>
      <c r="E1552" s="9" t="s">
        <v>5920</v>
      </c>
      <c r="F1552" s="8"/>
      <c r="G1552" s="9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</row>
    <row r="1553" spans="1:19" ht="15.75" customHeight="1">
      <c r="A1553" s="8">
        <v>246343585</v>
      </c>
      <c r="B1553" s="8" t="s">
        <v>10994</v>
      </c>
      <c r="C1553" s="8" t="s">
        <v>10995</v>
      </c>
      <c r="D1553" s="8" t="s">
        <v>5923</v>
      </c>
      <c r="E1553" s="9">
        <v>87029523656</v>
      </c>
      <c r="F1553" s="8"/>
      <c r="G1553" s="9"/>
      <c r="H1553" s="8" t="s">
        <v>8241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</row>
    <row r="1554" spans="1:19" ht="15.75" customHeight="1">
      <c r="A1554" s="8">
        <v>246343641</v>
      </c>
      <c r="B1554" s="8" t="s">
        <v>10996</v>
      </c>
      <c r="C1554" s="8" t="s">
        <v>10997</v>
      </c>
      <c r="D1554" s="8" t="s">
        <v>5926</v>
      </c>
      <c r="E1554" s="9">
        <v>87770458550</v>
      </c>
      <c r="F1554" s="8"/>
      <c r="G1554" s="9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</row>
    <row r="1555" spans="1:19" ht="15.75" customHeight="1">
      <c r="A1555" s="8">
        <v>246343833</v>
      </c>
      <c r="B1555" s="8" t="s">
        <v>8694</v>
      </c>
      <c r="C1555" s="8" t="s">
        <v>8981</v>
      </c>
      <c r="D1555" s="8" t="s">
        <v>5929</v>
      </c>
      <c r="E1555" s="9">
        <v>903569514</v>
      </c>
      <c r="F1555" s="8"/>
      <c r="G1555" s="9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</row>
    <row r="1556" spans="1:19" ht="15.75" customHeight="1">
      <c r="A1556" s="8">
        <v>246344069</v>
      </c>
      <c r="B1556" s="8" t="s">
        <v>8365</v>
      </c>
      <c r="C1556" s="8" t="s">
        <v>10998</v>
      </c>
      <c r="D1556" s="8" t="s">
        <v>5932</v>
      </c>
      <c r="E1556" s="9">
        <v>87014296907</v>
      </c>
      <c r="F1556" s="8"/>
      <c r="G1556" s="9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</row>
    <row r="1557" spans="1:19" ht="15.75" customHeight="1">
      <c r="A1557" s="8">
        <v>246344192</v>
      </c>
      <c r="B1557" s="8" t="s">
        <v>8773</v>
      </c>
      <c r="C1557" s="8" t="s">
        <v>10999</v>
      </c>
      <c r="D1557" s="8" t="s">
        <v>5935</v>
      </c>
      <c r="E1557" s="9">
        <v>87053067877</v>
      </c>
      <c r="F1557" s="8"/>
      <c r="G1557" s="9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</row>
    <row r="1558" spans="1:19" ht="15.75" customHeight="1">
      <c r="A1558" s="8">
        <v>246344341</v>
      </c>
      <c r="B1558" s="8" t="s">
        <v>8288</v>
      </c>
      <c r="C1558" s="8" t="s">
        <v>11000</v>
      </c>
      <c r="D1558" s="8" t="s">
        <v>5938</v>
      </c>
      <c r="E1558" s="9">
        <v>87767368906</v>
      </c>
      <c r="F1558" s="8"/>
      <c r="G1558" s="9"/>
      <c r="H1558" s="8" t="s">
        <v>8241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</row>
    <row r="1559" spans="1:19" ht="15.75" customHeight="1">
      <c r="A1559" s="8">
        <v>246344373</v>
      </c>
      <c r="B1559" s="8" t="s">
        <v>8866</v>
      </c>
      <c r="C1559" s="8" t="s">
        <v>11001</v>
      </c>
      <c r="D1559" s="8" t="s">
        <v>5941</v>
      </c>
      <c r="E1559" s="9" t="s">
        <v>5942</v>
      </c>
      <c r="F1559" s="8"/>
      <c r="G1559" s="9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</row>
    <row r="1560" spans="1:19" ht="15.75" customHeight="1">
      <c r="A1560" s="8">
        <v>246344411</v>
      </c>
      <c r="B1560" s="8" t="s">
        <v>11002</v>
      </c>
      <c r="C1560" s="8" t="s">
        <v>11003</v>
      </c>
      <c r="D1560" s="8" t="s">
        <v>5945</v>
      </c>
      <c r="E1560" s="9">
        <v>87767229725</v>
      </c>
      <c r="F1560" s="8"/>
      <c r="G1560" s="9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</row>
    <row r="1561" spans="1:19" ht="15.75" customHeight="1">
      <c r="A1561" s="8">
        <v>246344643</v>
      </c>
      <c r="B1561" s="8" t="s">
        <v>10682</v>
      </c>
      <c r="C1561" s="8" t="s">
        <v>11004</v>
      </c>
      <c r="D1561" s="8" t="s">
        <v>5948</v>
      </c>
      <c r="E1561" s="9" t="s">
        <v>5949</v>
      </c>
      <c r="F1561" s="8"/>
      <c r="G1561" s="9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</row>
    <row r="1562" spans="1:19" ht="15.75" customHeight="1">
      <c r="A1562" s="8">
        <v>246344659</v>
      </c>
      <c r="B1562" s="8" t="s">
        <v>8206</v>
      </c>
      <c r="C1562" s="8" t="s">
        <v>11005</v>
      </c>
      <c r="D1562" s="8" t="s">
        <v>5952</v>
      </c>
      <c r="E1562" s="9" t="s">
        <v>5953</v>
      </c>
      <c r="F1562" s="8"/>
      <c r="G1562" s="9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</row>
    <row r="1563" spans="1:19" ht="15.75" customHeight="1">
      <c r="A1563" s="8">
        <v>246345257</v>
      </c>
      <c r="B1563" s="8" t="s">
        <v>11006</v>
      </c>
      <c r="C1563" s="8" t="s">
        <v>11007</v>
      </c>
      <c r="D1563" s="8" t="s">
        <v>5956</v>
      </c>
      <c r="E1563" s="9">
        <v>87781342070</v>
      </c>
      <c r="F1563" s="8"/>
      <c r="G1563" s="9"/>
      <c r="H1563" s="8" t="s">
        <v>8241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</row>
    <row r="1564" spans="1:19" ht="15.75" customHeight="1">
      <c r="A1564" s="8">
        <v>246345266</v>
      </c>
      <c r="B1564" s="8" t="s">
        <v>11008</v>
      </c>
      <c r="C1564" s="8" t="s">
        <v>11009</v>
      </c>
      <c r="D1564" s="8" t="s">
        <v>5959</v>
      </c>
      <c r="E1564" s="9">
        <v>77779982155</v>
      </c>
      <c r="F1564" s="8"/>
      <c r="G1564" s="9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</row>
    <row r="1565" spans="1:19" ht="15.75" customHeight="1">
      <c r="A1565" s="8">
        <v>246345858</v>
      </c>
      <c r="B1565" s="8" t="s">
        <v>11010</v>
      </c>
      <c r="C1565" s="8" t="s">
        <v>11011</v>
      </c>
      <c r="D1565" s="8" t="s">
        <v>11012</v>
      </c>
      <c r="E1565" s="9" t="s">
        <v>11013</v>
      </c>
      <c r="F1565" s="8"/>
      <c r="G1565" s="9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</row>
    <row r="1566" spans="1:19" ht="15.75" customHeight="1">
      <c r="A1566" s="8">
        <v>246345921</v>
      </c>
      <c r="B1566" s="8" t="s">
        <v>8424</v>
      </c>
      <c r="C1566" s="8" t="s">
        <v>11014</v>
      </c>
      <c r="D1566" s="8" t="s">
        <v>5962</v>
      </c>
      <c r="E1566" s="9" t="s">
        <v>5963</v>
      </c>
      <c r="F1566" s="8"/>
      <c r="G1566" s="9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</row>
    <row r="1567" spans="1:19" ht="15.75" customHeight="1">
      <c r="A1567" s="8">
        <v>246346166</v>
      </c>
      <c r="B1567" s="8" t="s">
        <v>11015</v>
      </c>
      <c r="C1567" s="8" t="s">
        <v>11016</v>
      </c>
      <c r="D1567" s="8" t="s">
        <v>5966</v>
      </c>
      <c r="E1567" s="9" t="s">
        <v>5967</v>
      </c>
      <c r="F1567" s="8"/>
      <c r="G1567" s="9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</row>
    <row r="1568" spans="1:19" ht="15.75" customHeight="1">
      <c r="A1568" s="8">
        <v>246346394</v>
      </c>
      <c r="B1568" s="8" t="s">
        <v>8643</v>
      </c>
      <c r="C1568" s="8" t="s">
        <v>11017</v>
      </c>
      <c r="D1568" s="8" t="s">
        <v>5970</v>
      </c>
      <c r="E1568" s="9">
        <v>903230532</v>
      </c>
      <c r="F1568" s="8"/>
      <c r="G1568" s="9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</row>
    <row r="1569" spans="1:19" ht="15.75" customHeight="1">
      <c r="A1569" s="8">
        <v>246346700</v>
      </c>
      <c r="B1569" s="8" t="s">
        <v>10427</v>
      </c>
      <c r="C1569" s="8" t="s">
        <v>11018</v>
      </c>
      <c r="D1569" s="8" t="s">
        <v>5973</v>
      </c>
      <c r="E1569" s="9" t="s">
        <v>5974</v>
      </c>
      <c r="F1569" s="8"/>
      <c r="G1569" s="9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</row>
    <row r="1570" spans="1:19" ht="15.75" customHeight="1">
      <c r="A1570" s="8">
        <v>246347285</v>
      </c>
      <c r="B1570" s="8" t="s">
        <v>11019</v>
      </c>
      <c r="C1570" s="8" t="s">
        <v>11020</v>
      </c>
      <c r="D1570" s="8" t="s">
        <v>5977</v>
      </c>
      <c r="E1570" s="9">
        <v>87087007498</v>
      </c>
      <c r="F1570" s="8"/>
      <c r="G1570" s="9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</row>
    <row r="1571" spans="1:19" ht="15.75" customHeight="1">
      <c r="A1571" s="8">
        <v>246348617</v>
      </c>
      <c r="B1571" s="8" t="s">
        <v>8619</v>
      </c>
      <c r="C1571" s="8" t="s">
        <v>8435</v>
      </c>
      <c r="D1571" s="8" t="s">
        <v>5980</v>
      </c>
      <c r="E1571" s="9" t="s">
        <v>5981</v>
      </c>
      <c r="F1571" s="8"/>
      <c r="G1571" s="9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</row>
    <row r="1572" spans="1:19" ht="15.75" customHeight="1">
      <c r="A1572" s="8">
        <v>246349242</v>
      </c>
      <c r="B1572" s="8" t="s">
        <v>11021</v>
      </c>
      <c r="C1572" s="8" t="s">
        <v>11022</v>
      </c>
      <c r="D1572" s="8" t="s">
        <v>5984</v>
      </c>
      <c r="E1572" s="9" t="s">
        <v>5985</v>
      </c>
      <c r="F1572" s="8"/>
      <c r="G1572" s="9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</row>
    <row r="1573" spans="1:19" ht="15.75" customHeight="1">
      <c r="A1573" s="8">
        <v>246349279</v>
      </c>
      <c r="B1573" s="8" t="s">
        <v>7768</v>
      </c>
      <c r="C1573" s="8" t="s">
        <v>11023</v>
      </c>
      <c r="D1573" s="8" t="s">
        <v>5988</v>
      </c>
      <c r="E1573" s="9">
        <v>87053297236</v>
      </c>
      <c r="F1573" s="8"/>
      <c r="G1573" s="9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</row>
    <row r="1574" spans="1:19" ht="15.75" customHeight="1">
      <c r="A1574" s="8">
        <v>246349644</v>
      </c>
      <c r="B1574" s="8" t="s">
        <v>8753</v>
      </c>
      <c r="C1574" s="8" t="s">
        <v>11024</v>
      </c>
      <c r="D1574" s="8" t="s">
        <v>5991</v>
      </c>
      <c r="E1574" s="9" t="s">
        <v>5992</v>
      </c>
      <c r="F1574" s="8"/>
      <c r="G1574" s="9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</row>
    <row r="1575" spans="1:19" ht="15.75" customHeight="1">
      <c r="A1575" s="8">
        <v>246349994</v>
      </c>
      <c r="B1575" s="8" t="s">
        <v>11025</v>
      </c>
      <c r="C1575" s="8" t="s">
        <v>11026</v>
      </c>
      <c r="D1575" s="8" t="s">
        <v>5995</v>
      </c>
      <c r="E1575" s="9" t="s">
        <v>5996</v>
      </c>
      <c r="F1575" s="8"/>
      <c r="G1575" s="9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</row>
    <row r="1576" spans="1:19" ht="15.75" customHeight="1">
      <c r="A1576" s="8">
        <v>246350020</v>
      </c>
      <c r="B1576" s="8" t="s">
        <v>8903</v>
      </c>
      <c r="C1576" s="8" t="s">
        <v>11027</v>
      </c>
      <c r="D1576" s="8" t="s">
        <v>5999</v>
      </c>
      <c r="E1576" s="9">
        <v>79607413437</v>
      </c>
      <c r="F1576" s="8"/>
      <c r="G1576" s="9"/>
      <c r="H1576" s="8" t="s">
        <v>8164</v>
      </c>
      <c r="I1576" s="8" t="s">
        <v>11028</v>
      </c>
      <c r="J1576" s="8"/>
      <c r="K1576" s="8"/>
      <c r="L1576" s="8"/>
      <c r="M1576" s="8"/>
      <c r="N1576" s="8"/>
      <c r="O1576" s="8"/>
      <c r="P1576" s="8"/>
      <c r="Q1576" s="8"/>
      <c r="R1576" s="8"/>
      <c r="S1576" s="8"/>
    </row>
    <row r="1577" spans="1:19" ht="15.75" customHeight="1">
      <c r="A1577" s="8">
        <v>246350066</v>
      </c>
      <c r="B1577" s="8" t="s">
        <v>11029</v>
      </c>
      <c r="C1577" s="8" t="s">
        <v>11030</v>
      </c>
      <c r="D1577" s="8" t="s">
        <v>6002</v>
      </c>
      <c r="E1577" s="9" t="s">
        <v>6003</v>
      </c>
      <c r="F1577" s="8"/>
      <c r="G1577" s="9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</row>
    <row r="1578" spans="1:19" ht="15.75" customHeight="1">
      <c r="A1578" s="8">
        <v>246350737</v>
      </c>
      <c r="B1578" s="8" t="s">
        <v>8365</v>
      </c>
      <c r="C1578" s="8" t="s">
        <v>9973</v>
      </c>
      <c r="D1578" s="8" t="s">
        <v>6006</v>
      </c>
      <c r="E1578" s="9">
        <v>87076252273</v>
      </c>
      <c r="F1578" s="8"/>
      <c r="G1578" s="9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</row>
    <row r="1579" spans="1:19" ht="15.75" customHeight="1">
      <c r="A1579" s="8">
        <v>246350762</v>
      </c>
      <c r="B1579" s="8" t="s">
        <v>9157</v>
      </c>
      <c r="C1579" s="8" t="s">
        <v>11031</v>
      </c>
      <c r="D1579" s="8" t="s">
        <v>6009</v>
      </c>
      <c r="E1579" s="9" t="s">
        <v>6010</v>
      </c>
      <c r="F1579" s="8"/>
      <c r="G1579" s="9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</row>
    <row r="1580" spans="1:19" ht="15.75" customHeight="1">
      <c r="A1580" s="8">
        <v>246350802</v>
      </c>
      <c r="B1580" s="8" t="s">
        <v>8638</v>
      </c>
      <c r="C1580" s="8" t="s">
        <v>11032</v>
      </c>
      <c r="D1580" s="8" t="s">
        <v>6013</v>
      </c>
      <c r="E1580" s="9">
        <v>87052600995</v>
      </c>
      <c r="F1580" s="8"/>
      <c r="G1580" s="9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</row>
    <row r="1581" spans="1:19" ht="15.75" customHeight="1">
      <c r="A1581" s="8">
        <v>246351396</v>
      </c>
      <c r="B1581" s="8" t="s">
        <v>11033</v>
      </c>
      <c r="C1581" s="8" t="s">
        <v>11034</v>
      </c>
      <c r="D1581" s="8" t="s">
        <v>6016</v>
      </c>
      <c r="E1581" s="9" t="s">
        <v>6017</v>
      </c>
      <c r="F1581" s="8"/>
      <c r="G1581" s="9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</row>
    <row r="1582" spans="1:19" ht="15.75" customHeight="1">
      <c r="A1582" s="8">
        <v>246351984</v>
      </c>
      <c r="B1582" s="8" t="s">
        <v>11035</v>
      </c>
      <c r="C1582" s="8" t="s">
        <v>11035</v>
      </c>
      <c r="D1582" s="8" t="s">
        <v>6020</v>
      </c>
      <c r="E1582" s="9">
        <v>87082982034</v>
      </c>
      <c r="F1582" s="8"/>
      <c r="G1582" s="9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</row>
    <row r="1583" spans="1:19" ht="15.75" customHeight="1">
      <c r="A1583" s="8">
        <v>246351987</v>
      </c>
      <c r="B1583" s="8" t="s">
        <v>9157</v>
      </c>
      <c r="C1583" s="8" t="s">
        <v>11036</v>
      </c>
      <c r="D1583" s="8" t="s">
        <v>6023</v>
      </c>
      <c r="E1583" s="9">
        <v>87776474754</v>
      </c>
      <c r="F1583" s="8"/>
      <c r="G1583" s="9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</row>
    <row r="1584" spans="1:19" ht="15.75" customHeight="1">
      <c r="A1584" s="8">
        <v>246352134</v>
      </c>
      <c r="B1584" s="8" t="s">
        <v>11037</v>
      </c>
      <c r="C1584" s="8" t="s">
        <v>11038</v>
      </c>
      <c r="D1584" s="8" t="s">
        <v>6026</v>
      </c>
      <c r="E1584" s="9" t="s">
        <v>6027</v>
      </c>
      <c r="F1584" s="8"/>
      <c r="G1584" s="9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</row>
    <row r="1585" spans="1:19" ht="15.75" customHeight="1">
      <c r="A1585" s="8">
        <v>246352225</v>
      </c>
      <c r="B1585" s="8" t="s">
        <v>10526</v>
      </c>
      <c r="C1585" s="8" t="s">
        <v>11039</v>
      </c>
      <c r="D1585" s="8" t="s">
        <v>6030</v>
      </c>
      <c r="E1585" s="9">
        <v>87009185733</v>
      </c>
      <c r="F1585" s="8"/>
      <c r="G1585" s="9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</row>
    <row r="1586" spans="1:19" ht="15.75" customHeight="1">
      <c r="A1586" s="8">
        <v>246352672</v>
      </c>
      <c r="B1586" s="8" t="s">
        <v>8288</v>
      </c>
      <c r="C1586" s="8" t="s">
        <v>10219</v>
      </c>
      <c r="D1586" s="8" t="s">
        <v>6033</v>
      </c>
      <c r="E1586" s="9">
        <v>79068487878</v>
      </c>
      <c r="F1586" s="8" t="s">
        <v>11040</v>
      </c>
      <c r="G1586" s="9">
        <v>38</v>
      </c>
      <c r="H1586" s="8" t="s">
        <v>8164</v>
      </c>
      <c r="I1586" s="8" t="s">
        <v>8483</v>
      </c>
      <c r="J1586" s="8"/>
      <c r="K1586" s="8"/>
      <c r="L1586" s="8"/>
      <c r="M1586" s="8"/>
      <c r="N1586" s="8"/>
      <c r="O1586" s="8"/>
      <c r="P1586" s="8"/>
      <c r="Q1586" s="8"/>
      <c r="R1586" s="8"/>
      <c r="S1586" s="8"/>
    </row>
    <row r="1587" spans="1:19" ht="15.75" customHeight="1">
      <c r="A1587" s="8">
        <v>246353064</v>
      </c>
      <c r="B1587" s="8" t="s">
        <v>8614</v>
      </c>
      <c r="C1587" s="8" t="s">
        <v>11041</v>
      </c>
      <c r="D1587" s="8" t="s">
        <v>6036</v>
      </c>
      <c r="E1587" s="9">
        <v>79824674060</v>
      </c>
      <c r="F1587" s="8"/>
      <c r="G1587" s="9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</row>
    <row r="1588" spans="1:19" ht="15.75" customHeight="1">
      <c r="A1588" s="8">
        <v>246353693</v>
      </c>
      <c r="B1588" s="8" t="s">
        <v>8988</v>
      </c>
      <c r="C1588" s="8" t="s">
        <v>11042</v>
      </c>
      <c r="D1588" s="8" t="s">
        <v>6039</v>
      </c>
      <c r="E1588" s="9">
        <v>87750696475</v>
      </c>
      <c r="F1588" s="8"/>
      <c r="G1588" s="9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</row>
    <row r="1589" spans="1:19" ht="15.75" customHeight="1">
      <c r="A1589" s="8">
        <v>246353951</v>
      </c>
      <c r="B1589" s="8" t="s">
        <v>8753</v>
      </c>
      <c r="C1589" s="8" t="s">
        <v>11043</v>
      </c>
      <c r="D1589" s="8" t="s">
        <v>6042</v>
      </c>
      <c r="E1589" s="9">
        <v>87477316180</v>
      </c>
      <c r="F1589" s="8"/>
      <c r="G1589" s="9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</row>
    <row r="1590" spans="1:19" ht="15.75" customHeight="1">
      <c r="A1590" s="8">
        <v>246354383</v>
      </c>
      <c r="B1590" s="8" t="s">
        <v>8857</v>
      </c>
      <c r="C1590" s="8" t="s">
        <v>11044</v>
      </c>
      <c r="D1590" s="8" t="s">
        <v>6045</v>
      </c>
      <c r="E1590" s="9" t="s">
        <v>6046</v>
      </c>
      <c r="F1590" s="8"/>
      <c r="G1590" s="9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</row>
    <row r="1591" spans="1:19" ht="15.75" customHeight="1">
      <c r="A1591" s="8">
        <v>246354542</v>
      </c>
      <c r="B1591" s="8" t="s">
        <v>11045</v>
      </c>
      <c r="C1591" s="8" t="s">
        <v>11046</v>
      </c>
      <c r="D1591" s="8" t="s">
        <v>11047</v>
      </c>
      <c r="E1591" s="9">
        <v>87776744000</v>
      </c>
      <c r="F1591" s="8"/>
      <c r="G1591" s="9"/>
      <c r="H1591" s="8" t="s">
        <v>8241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</row>
    <row r="1592" spans="1:19" ht="15.75" customHeight="1">
      <c r="A1592" s="8">
        <v>246354640</v>
      </c>
      <c r="B1592" s="8" t="s">
        <v>9998</v>
      </c>
      <c r="C1592" s="8" t="s">
        <v>11048</v>
      </c>
      <c r="D1592" s="8" t="s">
        <v>6049</v>
      </c>
      <c r="E1592" s="9" t="s">
        <v>6050</v>
      </c>
      <c r="F1592" s="8"/>
      <c r="G1592" s="9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</row>
    <row r="1593" spans="1:19" ht="15.75" customHeight="1">
      <c r="A1593" s="8">
        <v>246355008</v>
      </c>
      <c r="B1593" s="8" t="s">
        <v>8206</v>
      </c>
      <c r="C1593" s="8" t="s">
        <v>11049</v>
      </c>
      <c r="D1593" s="8" t="s">
        <v>6053</v>
      </c>
      <c r="E1593" s="9" t="s">
        <v>6054</v>
      </c>
      <c r="F1593" s="8" t="s">
        <v>11050</v>
      </c>
      <c r="G1593" s="9"/>
      <c r="H1593" s="8" t="s">
        <v>8164</v>
      </c>
      <c r="I1593" s="8" t="s">
        <v>11051</v>
      </c>
      <c r="J1593" s="8"/>
      <c r="K1593" s="8"/>
      <c r="L1593" s="8"/>
      <c r="M1593" s="8"/>
      <c r="N1593" s="8"/>
      <c r="O1593" s="8"/>
      <c r="P1593" s="8"/>
      <c r="Q1593" s="8"/>
      <c r="R1593" s="8"/>
      <c r="S1593" s="8"/>
    </row>
    <row r="1594" spans="1:19" ht="15.75" customHeight="1">
      <c r="A1594" s="8">
        <v>246355467</v>
      </c>
      <c r="B1594" s="8" t="s">
        <v>11052</v>
      </c>
      <c r="C1594" s="8" t="s">
        <v>11053</v>
      </c>
      <c r="D1594" s="8" t="s">
        <v>6057</v>
      </c>
      <c r="E1594" s="9" t="s">
        <v>6058</v>
      </c>
      <c r="F1594" s="8" t="s">
        <v>11054</v>
      </c>
      <c r="G1594" s="9"/>
      <c r="H1594" s="8" t="s">
        <v>11055</v>
      </c>
      <c r="I1594" s="8" t="s">
        <v>11056</v>
      </c>
      <c r="J1594" s="8"/>
      <c r="K1594" s="8"/>
      <c r="L1594" s="8"/>
      <c r="M1594" s="8"/>
      <c r="N1594" s="8"/>
      <c r="O1594" s="8"/>
      <c r="P1594" s="8"/>
      <c r="Q1594" s="8"/>
      <c r="R1594" s="8"/>
      <c r="S1594" s="8"/>
    </row>
    <row r="1595" spans="1:19" ht="15.75" customHeight="1">
      <c r="A1595" s="8">
        <v>246356108</v>
      </c>
      <c r="B1595" s="8" t="s">
        <v>8895</v>
      </c>
      <c r="C1595" s="8" t="s">
        <v>11057</v>
      </c>
      <c r="D1595" s="8" t="s">
        <v>6061</v>
      </c>
      <c r="E1595" s="9" t="s">
        <v>6062</v>
      </c>
      <c r="F1595" s="8"/>
      <c r="G1595" s="9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</row>
    <row r="1596" spans="1:19" ht="15.75" customHeight="1">
      <c r="A1596" s="8">
        <v>246356358</v>
      </c>
      <c r="B1596" s="8" t="s">
        <v>11058</v>
      </c>
      <c r="C1596" s="8" t="s">
        <v>11059</v>
      </c>
      <c r="D1596" s="8" t="s">
        <v>6065</v>
      </c>
      <c r="E1596" s="9">
        <v>87081712636</v>
      </c>
      <c r="F1596" s="8" t="s">
        <v>11060</v>
      </c>
      <c r="G1596" s="9">
        <v>42</v>
      </c>
      <c r="H1596" s="8" t="s">
        <v>11061</v>
      </c>
      <c r="I1596" s="8" t="s">
        <v>11062</v>
      </c>
      <c r="J1596" s="8"/>
      <c r="K1596" s="8"/>
      <c r="L1596" s="8"/>
      <c r="M1596" s="8"/>
      <c r="N1596" s="8"/>
      <c r="O1596" s="8"/>
      <c r="P1596" s="8"/>
      <c r="Q1596" s="8"/>
      <c r="R1596" s="8"/>
      <c r="S1596" s="8"/>
    </row>
    <row r="1597" spans="1:19" ht="15.75" customHeight="1">
      <c r="A1597" s="8">
        <v>246356695</v>
      </c>
      <c r="B1597" s="8" t="s">
        <v>11063</v>
      </c>
      <c r="C1597" s="8" t="s">
        <v>11064</v>
      </c>
      <c r="D1597" s="8" t="s">
        <v>11065</v>
      </c>
      <c r="E1597" s="9">
        <v>87751089955</v>
      </c>
      <c r="F1597" s="8"/>
      <c r="G1597" s="9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</row>
    <row r="1598" spans="1:19" ht="15.75" customHeight="1">
      <c r="A1598" s="8">
        <v>246356956</v>
      </c>
      <c r="B1598" s="8" t="s">
        <v>11066</v>
      </c>
      <c r="C1598" s="8" t="s">
        <v>11067</v>
      </c>
      <c r="D1598" s="8" t="s">
        <v>6068</v>
      </c>
      <c r="E1598" s="9">
        <v>87018074466</v>
      </c>
      <c r="F1598" s="8"/>
      <c r="G1598" s="9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</row>
    <row r="1599" spans="1:19" ht="15.75" customHeight="1">
      <c r="A1599" s="8">
        <v>246357480</v>
      </c>
      <c r="B1599" s="8" t="s">
        <v>8717</v>
      </c>
      <c r="C1599" s="8" t="s">
        <v>8981</v>
      </c>
      <c r="D1599" s="8" t="s">
        <v>6071</v>
      </c>
      <c r="E1599" s="9" t="s">
        <v>6072</v>
      </c>
      <c r="F1599" s="8" t="s">
        <v>11068</v>
      </c>
      <c r="G1599" s="9">
        <v>26</v>
      </c>
      <c r="H1599" s="8" t="s">
        <v>11069</v>
      </c>
      <c r="I1599" s="8" t="s">
        <v>8464</v>
      </c>
      <c r="J1599" s="8"/>
      <c r="K1599" s="8"/>
      <c r="L1599" s="8"/>
      <c r="M1599" s="8"/>
      <c r="N1599" s="8"/>
      <c r="O1599" s="8"/>
      <c r="P1599" s="8"/>
      <c r="Q1599" s="8"/>
      <c r="R1599" s="8"/>
      <c r="S1599" s="8"/>
    </row>
    <row r="1600" spans="1:19" ht="15.75" customHeight="1">
      <c r="A1600" s="8">
        <v>246357994</v>
      </c>
      <c r="B1600" s="8" t="s">
        <v>9488</v>
      </c>
      <c r="C1600" s="8" t="s">
        <v>11070</v>
      </c>
      <c r="D1600" s="8" t="s">
        <v>6075</v>
      </c>
      <c r="E1600" s="9" t="s">
        <v>6076</v>
      </c>
      <c r="F1600" s="8" t="s">
        <v>11071</v>
      </c>
      <c r="G1600" s="9">
        <v>41</v>
      </c>
      <c r="H1600" s="8" t="s">
        <v>8728</v>
      </c>
      <c r="I1600" s="8" t="s">
        <v>10439</v>
      </c>
      <c r="J1600" s="8"/>
      <c r="K1600" s="8"/>
      <c r="L1600" s="8"/>
      <c r="M1600" s="8"/>
      <c r="N1600" s="8"/>
      <c r="O1600" s="8"/>
      <c r="P1600" s="8"/>
      <c r="Q1600" s="8"/>
      <c r="R1600" s="8"/>
      <c r="S1600" s="8"/>
    </row>
    <row r="1601" spans="1:19" ht="15.75" customHeight="1">
      <c r="A1601" s="8">
        <v>246358351</v>
      </c>
      <c r="B1601" s="8" t="s">
        <v>8883</v>
      </c>
      <c r="C1601" s="8" t="s">
        <v>10807</v>
      </c>
      <c r="D1601" s="8" t="s">
        <v>6079</v>
      </c>
      <c r="E1601" s="9" t="s">
        <v>6080</v>
      </c>
      <c r="F1601" s="8"/>
      <c r="G1601" s="9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</row>
    <row r="1602" spans="1:19" ht="15.75" customHeight="1">
      <c r="A1602" s="8">
        <v>246364592</v>
      </c>
      <c r="B1602" s="8" t="s">
        <v>10777</v>
      </c>
      <c r="C1602" s="8" t="s">
        <v>11072</v>
      </c>
      <c r="D1602" s="8" t="s">
        <v>6083</v>
      </c>
      <c r="E1602" s="9">
        <v>998990400163</v>
      </c>
      <c r="F1602" s="8"/>
      <c r="G1602" s="9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</row>
    <row r="1603" spans="1:19" ht="15.75" customHeight="1">
      <c r="A1603" s="8">
        <v>246365380</v>
      </c>
      <c r="B1603" s="8" t="s">
        <v>10288</v>
      </c>
      <c r="C1603" s="8" t="s">
        <v>11073</v>
      </c>
      <c r="D1603" s="8" t="s">
        <v>6086</v>
      </c>
      <c r="E1603" s="9" t="s">
        <v>6087</v>
      </c>
      <c r="F1603" s="8"/>
      <c r="G1603" s="9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</row>
    <row r="1604" spans="1:19" ht="15.75" customHeight="1">
      <c r="A1604" s="8">
        <v>246368066</v>
      </c>
      <c r="B1604" s="8" t="s">
        <v>11074</v>
      </c>
      <c r="C1604" s="8" t="s">
        <v>11075</v>
      </c>
      <c r="D1604" s="8" t="s">
        <v>6090</v>
      </c>
      <c r="E1604" s="9">
        <v>87767450055</v>
      </c>
      <c r="F1604" s="8"/>
      <c r="G1604" s="9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</row>
    <row r="1605" spans="1:19" ht="15.75" customHeight="1">
      <c r="A1605" s="8">
        <v>246371836</v>
      </c>
      <c r="B1605" s="8" t="s">
        <v>8410</v>
      </c>
      <c r="C1605" s="8" t="s">
        <v>11076</v>
      </c>
      <c r="D1605" s="8" t="s">
        <v>6093</v>
      </c>
      <c r="E1605" s="9" t="s">
        <v>6094</v>
      </c>
      <c r="F1605" s="8" t="s">
        <v>11077</v>
      </c>
      <c r="G1605" s="9">
        <v>32</v>
      </c>
      <c r="H1605" s="8" t="s">
        <v>8241</v>
      </c>
      <c r="I1605" s="8" t="s">
        <v>9648</v>
      </c>
      <c r="J1605" s="8"/>
      <c r="K1605" s="8"/>
      <c r="L1605" s="8"/>
      <c r="M1605" s="8"/>
      <c r="N1605" s="8"/>
      <c r="O1605" s="8"/>
      <c r="P1605" s="8"/>
      <c r="Q1605" s="8"/>
      <c r="R1605" s="8"/>
      <c r="S1605" s="8"/>
    </row>
    <row r="1606" spans="1:19" ht="15.75" customHeight="1">
      <c r="A1606" s="8">
        <v>246371943</v>
      </c>
      <c r="B1606" s="8" t="s">
        <v>11078</v>
      </c>
      <c r="C1606" s="8" t="s">
        <v>11079</v>
      </c>
      <c r="D1606" s="8" t="s">
        <v>6097</v>
      </c>
      <c r="E1606" s="9" t="s">
        <v>6098</v>
      </c>
      <c r="F1606" s="8"/>
      <c r="G1606" s="9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</row>
    <row r="1607" spans="1:19" ht="15.75" customHeight="1">
      <c r="A1607" s="8">
        <v>246372818</v>
      </c>
      <c r="B1607" s="8" t="s">
        <v>11080</v>
      </c>
      <c r="C1607" s="8" t="s">
        <v>11081</v>
      </c>
      <c r="D1607" s="8" t="s">
        <v>6101</v>
      </c>
      <c r="E1607" s="9">
        <v>971416474</v>
      </c>
      <c r="F1607" s="8"/>
      <c r="G1607" s="9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</row>
    <row r="1608" spans="1:19" ht="15.75" customHeight="1">
      <c r="A1608" s="8">
        <v>246372918</v>
      </c>
      <c r="B1608" s="8" t="s">
        <v>10464</v>
      </c>
      <c r="C1608" s="8" t="s">
        <v>10789</v>
      </c>
      <c r="D1608" s="8" t="s">
        <v>6104</v>
      </c>
      <c r="E1608" s="9">
        <v>87782416762</v>
      </c>
      <c r="F1608" s="8"/>
      <c r="G1608" s="9"/>
      <c r="H1608" s="8" t="s">
        <v>8241</v>
      </c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</row>
    <row r="1609" spans="1:19" ht="15.75" customHeight="1">
      <c r="A1609" s="8">
        <v>246374203</v>
      </c>
      <c r="B1609" s="8" t="s">
        <v>8628</v>
      </c>
      <c r="C1609" s="8" t="s">
        <v>11082</v>
      </c>
      <c r="D1609" s="8" t="s">
        <v>6107</v>
      </c>
      <c r="E1609" s="9">
        <v>994899680</v>
      </c>
      <c r="F1609" s="8"/>
      <c r="G1609" s="9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</row>
    <row r="1610" spans="1:19" ht="15.75" customHeight="1">
      <c r="A1610" s="8">
        <v>246374780</v>
      </c>
      <c r="B1610" s="8" t="s">
        <v>8398</v>
      </c>
      <c r="C1610" s="8" t="s">
        <v>8900</v>
      </c>
      <c r="D1610" s="8" t="s">
        <v>6110</v>
      </c>
      <c r="E1610" s="9" t="s">
        <v>6111</v>
      </c>
      <c r="F1610" s="8"/>
      <c r="G1610" s="9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</row>
    <row r="1611" spans="1:19" ht="15.75" customHeight="1">
      <c r="A1611" s="8">
        <v>246375005</v>
      </c>
      <c r="B1611" s="8" t="s">
        <v>10544</v>
      </c>
      <c r="C1611" s="8" t="s">
        <v>11083</v>
      </c>
      <c r="D1611" s="8" t="s">
        <v>6114</v>
      </c>
      <c r="E1611" s="9" t="s">
        <v>6115</v>
      </c>
      <c r="F1611" s="8"/>
      <c r="G1611" s="9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</row>
    <row r="1612" spans="1:19" ht="15.75" customHeight="1">
      <c r="A1612" s="8">
        <v>246375046</v>
      </c>
      <c r="B1612" s="8" t="s">
        <v>11084</v>
      </c>
      <c r="C1612" s="8" t="s">
        <v>11085</v>
      </c>
      <c r="D1612" s="8" t="s">
        <v>11086</v>
      </c>
      <c r="E1612" s="9">
        <v>79625196788</v>
      </c>
      <c r="F1612" s="8"/>
      <c r="G1612" s="9"/>
      <c r="H1612" s="8" t="s">
        <v>8164</v>
      </c>
      <c r="I1612" s="8" t="s">
        <v>8676</v>
      </c>
      <c r="J1612" s="8"/>
      <c r="K1612" s="8"/>
      <c r="L1612" s="8"/>
      <c r="M1612" s="8"/>
      <c r="N1612" s="8"/>
      <c r="O1612" s="8"/>
      <c r="P1612" s="8"/>
      <c r="Q1612" s="8"/>
      <c r="R1612" s="8"/>
      <c r="S1612" s="8"/>
    </row>
    <row r="1613" spans="1:19" ht="15.75" customHeight="1">
      <c r="A1613" s="8">
        <v>246375279</v>
      </c>
      <c r="B1613" s="8" t="s">
        <v>9997</v>
      </c>
      <c r="C1613" s="8" t="s">
        <v>11087</v>
      </c>
      <c r="D1613" s="8" t="s">
        <v>6118</v>
      </c>
      <c r="E1613" s="9">
        <v>87072306262</v>
      </c>
      <c r="F1613" s="8"/>
      <c r="G1613" s="9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</row>
    <row r="1614" spans="1:19" ht="15.75" customHeight="1">
      <c r="A1614" s="8">
        <v>246376269</v>
      </c>
      <c r="B1614" s="8" t="s">
        <v>7875</v>
      </c>
      <c r="C1614" s="8" t="s">
        <v>11088</v>
      </c>
      <c r="D1614" s="8" t="s">
        <v>6121</v>
      </c>
      <c r="E1614" s="9">
        <v>79653446007</v>
      </c>
      <c r="F1614" s="8"/>
      <c r="G1614" s="9"/>
      <c r="H1614" s="8" t="s">
        <v>8164</v>
      </c>
      <c r="I1614" s="8" t="s">
        <v>8245</v>
      </c>
      <c r="J1614" s="8"/>
      <c r="K1614" s="8"/>
      <c r="L1614" s="8"/>
      <c r="M1614" s="8"/>
      <c r="N1614" s="8"/>
      <c r="O1614" s="8"/>
      <c r="P1614" s="8"/>
      <c r="Q1614" s="8"/>
      <c r="R1614" s="8"/>
      <c r="S1614" s="8"/>
    </row>
    <row r="1615" spans="1:19" ht="15.75" customHeight="1">
      <c r="A1615" s="8">
        <v>246376479</v>
      </c>
      <c r="B1615" s="8" t="s">
        <v>8279</v>
      </c>
      <c r="C1615" s="8" t="s">
        <v>11089</v>
      </c>
      <c r="D1615" s="8" t="s">
        <v>6124</v>
      </c>
      <c r="E1615" s="9" t="s">
        <v>6125</v>
      </c>
      <c r="F1615" s="8"/>
      <c r="G1615" s="9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</row>
    <row r="1616" spans="1:19" ht="15.75" customHeight="1">
      <c r="A1616" s="8">
        <v>246376537</v>
      </c>
      <c r="B1616" s="8" t="s">
        <v>7919</v>
      </c>
      <c r="C1616" s="8" t="s">
        <v>11090</v>
      </c>
      <c r="D1616" s="8" t="s">
        <v>6128</v>
      </c>
      <c r="E1616" s="9">
        <v>87778040965</v>
      </c>
      <c r="F1616" s="8"/>
      <c r="G1616" s="9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</row>
    <row r="1617" spans="1:19" ht="15.75" customHeight="1">
      <c r="A1617" s="8">
        <v>246376573</v>
      </c>
      <c r="B1617" s="8" t="s">
        <v>11091</v>
      </c>
      <c r="C1617" s="8" t="s">
        <v>11092</v>
      </c>
      <c r="D1617" s="8" t="s">
        <v>6131</v>
      </c>
      <c r="E1617" s="9">
        <v>87051438199</v>
      </c>
      <c r="F1617" s="8"/>
      <c r="G1617" s="9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</row>
    <row r="1618" spans="1:19" ht="15.75" customHeight="1">
      <c r="A1618" s="8">
        <v>246376783</v>
      </c>
      <c r="B1618" s="8" t="s">
        <v>8410</v>
      </c>
      <c r="C1618" s="8" t="s">
        <v>11093</v>
      </c>
      <c r="D1618" s="8" t="s">
        <v>6134</v>
      </c>
      <c r="E1618" s="9">
        <v>87023788999</v>
      </c>
      <c r="F1618" s="8"/>
      <c r="G1618" s="9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</row>
    <row r="1619" spans="1:19" ht="15.75" customHeight="1">
      <c r="A1619" s="8">
        <v>246376865</v>
      </c>
      <c r="B1619" s="8" t="s">
        <v>11094</v>
      </c>
      <c r="C1619" s="8" t="s">
        <v>11095</v>
      </c>
      <c r="D1619" s="8" t="s">
        <v>6137</v>
      </c>
      <c r="E1619" s="9" t="s">
        <v>6138</v>
      </c>
      <c r="F1619" s="8"/>
      <c r="G1619" s="9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</row>
    <row r="1620" spans="1:19" ht="15.75" customHeight="1">
      <c r="A1620" s="8">
        <v>246377044</v>
      </c>
      <c r="B1620" s="8" t="s">
        <v>11096</v>
      </c>
      <c r="C1620" s="8" t="s">
        <v>11097</v>
      </c>
      <c r="D1620" s="8" t="s">
        <v>6141</v>
      </c>
      <c r="E1620" s="9" t="s">
        <v>6142</v>
      </c>
      <c r="F1620" s="8"/>
      <c r="G1620" s="9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</row>
    <row r="1621" spans="1:19" ht="15.75" customHeight="1">
      <c r="A1621" s="8">
        <v>246377244</v>
      </c>
      <c r="B1621" s="8" t="s">
        <v>11098</v>
      </c>
      <c r="C1621" s="8" t="s">
        <v>11099</v>
      </c>
      <c r="D1621" s="8" t="s">
        <v>6145</v>
      </c>
      <c r="E1621" s="9">
        <v>77475746433</v>
      </c>
      <c r="F1621" s="8"/>
      <c r="G1621" s="9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</row>
    <row r="1622" spans="1:19" ht="15.75" customHeight="1">
      <c r="A1622" s="8">
        <v>246378103</v>
      </c>
      <c r="B1622" s="8" t="s">
        <v>11100</v>
      </c>
      <c r="C1622" s="8" t="s">
        <v>11101</v>
      </c>
      <c r="D1622" s="8" t="s">
        <v>6148</v>
      </c>
      <c r="E1622" s="9" t="s">
        <v>6149</v>
      </c>
      <c r="F1622" s="8"/>
      <c r="G1622" s="9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</row>
    <row r="1623" spans="1:19" ht="15.75" customHeight="1">
      <c r="A1623" s="8">
        <v>246378453</v>
      </c>
      <c r="B1623" s="8" t="s">
        <v>8694</v>
      </c>
      <c r="C1623" s="8" t="s">
        <v>11102</v>
      </c>
      <c r="D1623" s="8" t="s">
        <v>6152</v>
      </c>
      <c r="E1623" s="9" t="s">
        <v>6153</v>
      </c>
      <c r="F1623" s="8" t="s">
        <v>11103</v>
      </c>
      <c r="G1623" s="9">
        <v>53</v>
      </c>
      <c r="H1623" s="8" t="s">
        <v>8183</v>
      </c>
      <c r="I1623" s="8" t="s">
        <v>8972</v>
      </c>
      <c r="J1623" s="8"/>
      <c r="K1623" s="8"/>
      <c r="L1623" s="8"/>
      <c r="M1623" s="8"/>
      <c r="N1623" s="8"/>
      <c r="O1623" s="8"/>
      <c r="P1623" s="8"/>
      <c r="Q1623" s="8"/>
      <c r="R1623" s="8"/>
      <c r="S1623" s="8"/>
    </row>
    <row r="1624" spans="1:19" ht="15.75" customHeight="1">
      <c r="A1624" s="8">
        <v>246378569</v>
      </c>
      <c r="B1624" s="8" t="s">
        <v>11045</v>
      </c>
      <c r="C1624" s="8" t="s">
        <v>11104</v>
      </c>
      <c r="D1624" s="8" t="s">
        <v>6156</v>
      </c>
      <c r="E1624" s="9">
        <v>87023821090</v>
      </c>
      <c r="F1624" s="8"/>
      <c r="G1624" s="9"/>
      <c r="H1624" s="8"/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</row>
    <row r="1625" spans="1:19" ht="15.75" customHeight="1">
      <c r="A1625" s="8">
        <v>246379162</v>
      </c>
      <c r="B1625" s="8" t="s">
        <v>11105</v>
      </c>
      <c r="C1625" s="8" t="s">
        <v>10499</v>
      </c>
      <c r="D1625" s="8" t="s">
        <v>11106</v>
      </c>
      <c r="E1625" s="9" t="s">
        <v>11107</v>
      </c>
      <c r="F1625" s="8"/>
      <c r="G1625" s="9"/>
      <c r="H1625" s="8"/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</row>
    <row r="1626" spans="1:19" ht="15.75" customHeight="1">
      <c r="A1626" s="8">
        <v>246379885</v>
      </c>
      <c r="B1626" s="8" t="s">
        <v>8479</v>
      </c>
      <c r="C1626" s="8" t="s">
        <v>11108</v>
      </c>
      <c r="D1626" s="8" t="s">
        <v>6159</v>
      </c>
      <c r="E1626" s="9">
        <v>79892935325</v>
      </c>
      <c r="F1626" s="8"/>
      <c r="G1626" s="9"/>
      <c r="H1626" s="8" t="s">
        <v>8164</v>
      </c>
      <c r="I1626" s="8" t="s">
        <v>10212</v>
      </c>
      <c r="J1626" s="8"/>
      <c r="K1626" s="8"/>
      <c r="L1626" s="8"/>
      <c r="M1626" s="8"/>
      <c r="N1626" s="8"/>
      <c r="O1626" s="8"/>
      <c r="P1626" s="8"/>
      <c r="Q1626" s="8"/>
      <c r="R1626" s="8"/>
      <c r="S1626" s="8"/>
    </row>
    <row r="1627" spans="1:19" ht="15.75" customHeight="1">
      <c r="A1627" s="8">
        <v>246380013</v>
      </c>
      <c r="B1627" s="8" t="s">
        <v>11109</v>
      </c>
      <c r="C1627" s="8" t="s">
        <v>10945</v>
      </c>
      <c r="D1627" s="8" t="s">
        <v>6162</v>
      </c>
      <c r="E1627" s="9">
        <v>87051211215</v>
      </c>
      <c r="F1627" s="8"/>
      <c r="G1627" s="9"/>
      <c r="H1627" s="8"/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</row>
    <row r="1628" spans="1:19" ht="15.75" customHeight="1">
      <c r="A1628" s="8">
        <v>246380194</v>
      </c>
      <c r="B1628" s="8" t="s">
        <v>8862</v>
      </c>
      <c r="C1628" s="8" t="s">
        <v>11110</v>
      </c>
      <c r="D1628" s="8" t="s">
        <v>6165</v>
      </c>
      <c r="E1628" s="9">
        <v>87076079492</v>
      </c>
      <c r="F1628" s="8"/>
      <c r="G1628" s="9"/>
      <c r="H1628" s="8"/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</row>
    <row r="1629" spans="1:19" ht="15.75" customHeight="1">
      <c r="A1629" s="8">
        <v>246381166</v>
      </c>
      <c r="B1629" s="8" t="s">
        <v>9139</v>
      </c>
      <c r="C1629" s="8" t="s">
        <v>11111</v>
      </c>
      <c r="D1629" s="8" t="s">
        <v>6168</v>
      </c>
      <c r="E1629" s="9">
        <v>87081268832</v>
      </c>
      <c r="F1629" s="8"/>
      <c r="G1629" s="9"/>
      <c r="H1629" s="8"/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</row>
    <row r="1630" spans="1:19" ht="15.75" customHeight="1">
      <c r="A1630" s="8">
        <v>246381194</v>
      </c>
      <c r="B1630" s="8" t="s">
        <v>11112</v>
      </c>
      <c r="C1630" s="8" t="s">
        <v>9609</v>
      </c>
      <c r="D1630" s="8" t="s">
        <v>6171</v>
      </c>
      <c r="E1630" s="9">
        <v>79375724512</v>
      </c>
      <c r="F1630" s="8" t="s">
        <v>11113</v>
      </c>
      <c r="G1630" s="9">
        <v>40</v>
      </c>
      <c r="H1630" s="8" t="s">
        <v>8164</v>
      </c>
      <c r="I1630" s="8" t="s">
        <v>11114</v>
      </c>
      <c r="J1630" s="8"/>
      <c r="K1630" s="8"/>
      <c r="L1630" s="8"/>
      <c r="M1630" s="8"/>
      <c r="N1630" s="8"/>
      <c r="O1630" s="8"/>
      <c r="P1630" s="8"/>
      <c r="Q1630" s="8"/>
      <c r="R1630" s="8"/>
      <c r="S1630" s="8"/>
    </row>
    <row r="1631" spans="1:19" ht="15.75" customHeight="1">
      <c r="A1631" s="8">
        <v>246381803</v>
      </c>
      <c r="B1631" s="8" t="s">
        <v>11115</v>
      </c>
      <c r="C1631" s="8" t="s">
        <v>11116</v>
      </c>
      <c r="D1631" s="8" t="s">
        <v>6174</v>
      </c>
      <c r="E1631" s="9">
        <v>998994197884</v>
      </c>
      <c r="F1631" s="8"/>
      <c r="G1631" s="9"/>
      <c r="H1631" s="8" t="s">
        <v>8463</v>
      </c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</row>
    <row r="1632" spans="1:19" ht="15.75" customHeight="1">
      <c r="A1632" s="8">
        <v>246383045</v>
      </c>
      <c r="B1632" s="8" t="s">
        <v>11117</v>
      </c>
      <c r="C1632" s="8" t="s">
        <v>11118</v>
      </c>
      <c r="D1632" s="8" t="s">
        <v>6177</v>
      </c>
      <c r="E1632" s="9" t="s">
        <v>6178</v>
      </c>
      <c r="F1632" s="8"/>
      <c r="G1632" s="9"/>
      <c r="H1632" s="8"/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</row>
    <row r="1633" spans="1:19" ht="15.75" customHeight="1">
      <c r="A1633" s="8">
        <v>246383485</v>
      </c>
      <c r="B1633" s="8" t="s">
        <v>10668</v>
      </c>
      <c r="C1633" s="8" t="s">
        <v>11119</v>
      </c>
      <c r="D1633" s="8" t="s">
        <v>6181</v>
      </c>
      <c r="E1633" s="9" t="s">
        <v>6182</v>
      </c>
      <c r="F1633" s="8"/>
      <c r="G1633" s="9"/>
      <c r="H1633" s="8"/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</row>
    <row r="1634" spans="1:19" ht="15.75" customHeight="1">
      <c r="A1634" s="8">
        <v>246384212</v>
      </c>
      <c r="B1634" s="8" t="s">
        <v>8619</v>
      </c>
      <c r="C1634" s="8" t="s">
        <v>11120</v>
      </c>
      <c r="D1634" s="8" t="s">
        <v>6185</v>
      </c>
      <c r="E1634" s="9" t="s">
        <v>6186</v>
      </c>
      <c r="F1634" s="8"/>
      <c r="G1634" s="9"/>
      <c r="H1634" s="8"/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</row>
    <row r="1635" spans="1:19" ht="15.75" customHeight="1">
      <c r="A1635" s="8">
        <v>246384368</v>
      </c>
      <c r="B1635" s="8" t="s">
        <v>8434</v>
      </c>
      <c r="C1635" s="8" t="s">
        <v>11121</v>
      </c>
      <c r="D1635" s="8" t="s">
        <v>11122</v>
      </c>
      <c r="E1635" s="9" t="s">
        <v>11123</v>
      </c>
      <c r="F1635" s="8"/>
      <c r="G1635" s="9"/>
      <c r="H1635" s="8" t="s">
        <v>8164</v>
      </c>
      <c r="I1635" s="8" t="s">
        <v>10553</v>
      </c>
      <c r="J1635" s="8"/>
      <c r="K1635" s="8"/>
      <c r="L1635" s="8"/>
      <c r="M1635" s="8"/>
      <c r="N1635" s="8"/>
      <c r="O1635" s="8"/>
      <c r="P1635" s="8"/>
      <c r="Q1635" s="8"/>
      <c r="R1635" s="8"/>
      <c r="S1635" s="8"/>
    </row>
    <row r="1636" spans="1:19" ht="15.75" customHeight="1">
      <c r="A1636" s="8">
        <v>246384456</v>
      </c>
      <c r="B1636" s="8" t="s">
        <v>11124</v>
      </c>
      <c r="C1636" s="8" t="s">
        <v>11125</v>
      </c>
      <c r="D1636" s="8" t="s">
        <v>6189</v>
      </c>
      <c r="E1636" s="9" t="s">
        <v>6190</v>
      </c>
      <c r="F1636" s="8"/>
      <c r="G1636" s="9"/>
      <c r="H1636" s="8" t="s">
        <v>8241</v>
      </c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</row>
    <row r="1637" spans="1:19" ht="15.75" customHeight="1">
      <c r="A1637" s="8">
        <v>246385255</v>
      </c>
      <c r="B1637" s="8" t="s">
        <v>8424</v>
      </c>
      <c r="C1637" s="8" t="s">
        <v>11126</v>
      </c>
      <c r="D1637" s="8" t="s">
        <v>6193</v>
      </c>
      <c r="E1637" s="9">
        <v>87784183696</v>
      </c>
      <c r="F1637" s="8"/>
      <c r="G1637" s="9"/>
      <c r="H1637" s="8"/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</row>
    <row r="1638" spans="1:19" ht="15.75" customHeight="1">
      <c r="A1638" s="8">
        <v>246385832</v>
      </c>
      <c r="B1638" s="8" t="s">
        <v>9182</v>
      </c>
      <c r="C1638" s="8" t="s">
        <v>11127</v>
      </c>
      <c r="D1638" s="8" t="s">
        <v>6196</v>
      </c>
      <c r="E1638" s="9" t="s">
        <v>6197</v>
      </c>
      <c r="F1638" s="8"/>
      <c r="G1638" s="9"/>
      <c r="H1638" s="8"/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</row>
    <row r="1639" spans="1:19" ht="15.75" customHeight="1">
      <c r="A1639" s="8">
        <v>246385923</v>
      </c>
      <c r="B1639" s="8" t="s">
        <v>11128</v>
      </c>
      <c r="C1639" s="8" t="s">
        <v>11129</v>
      </c>
      <c r="D1639" s="8" t="s">
        <v>6200</v>
      </c>
      <c r="E1639" s="9" t="s">
        <v>6201</v>
      </c>
      <c r="F1639" s="8"/>
      <c r="G1639" s="9"/>
      <c r="H1639" s="8"/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</row>
    <row r="1640" spans="1:19" ht="15.75" customHeight="1">
      <c r="A1640" s="8">
        <v>246386160</v>
      </c>
      <c r="B1640" s="8" t="s">
        <v>10029</v>
      </c>
      <c r="C1640" s="8" t="s">
        <v>11130</v>
      </c>
      <c r="D1640" s="8" t="s">
        <v>6204</v>
      </c>
      <c r="E1640" s="9" t="s">
        <v>6205</v>
      </c>
      <c r="F1640" s="8" t="s">
        <v>11131</v>
      </c>
      <c r="G1640" s="9">
        <v>61</v>
      </c>
      <c r="H1640" s="8" t="s">
        <v>8164</v>
      </c>
      <c r="I1640" s="8" t="s">
        <v>9172</v>
      </c>
      <c r="J1640" s="8"/>
      <c r="K1640" s="8"/>
      <c r="L1640" s="8"/>
      <c r="M1640" s="8"/>
      <c r="N1640" s="8"/>
      <c r="O1640" s="8"/>
      <c r="P1640" s="8"/>
      <c r="Q1640" s="8"/>
      <c r="R1640" s="8"/>
      <c r="S1640" s="8"/>
    </row>
    <row r="1641" spans="1:19" ht="15.75" customHeight="1">
      <c r="A1641" s="8">
        <v>246386315</v>
      </c>
      <c r="B1641" s="8" t="s">
        <v>10388</v>
      </c>
      <c r="C1641" s="8" t="s">
        <v>11132</v>
      </c>
      <c r="D1641" s="8" t="s">
        <v>6208</v>
      </c>
      <c r="E1641" s="9" t="s">
        <v>6209</v>
      </c>
      <c r="F1641" s="8"/>
      <c r="G1641" s="9"/>
      <c r="H1641" s="8"/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</row>
    <row r="1642" spans="1:19" ht="15.75" customHeight="1">
      <c r="A1642" s="8">
        <v>246386990</v>
      </c>
      <c r="B1642" s="8" t="s">
        <v>8717</v>
      </c>
      <c r="C1642" s="8" t="s">
        <v>11133</v>
      </c>
      <c r="D1642" s="8" t="s">
        <v>6212</v>
      </c>
      <c r="E1642" s="9">
        <v>7057796663</v>
      </c>
      <c r="F1642" s="8"/>
      <c r="G1642" s="9"/>
      <c r="H1642" s="8"/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</row>
    <row r="1643" spans="1:19" ht="15.75" customHeight="1">
      <c r="A1643" s="8">
        <v>246387042</v>
      </c>
      <c r="B1643" s="8" t="s">
        <v>8206</v>
      </c>
      <c r="C1643" s="8" t="s">
        <v>9803</v>
      </c>
      <c r="D1643" s="8" t="s">
        <v>11134</v>
      </c>
      <c r="E1643" s="9" t="s">
        <v>11135</v>
      </c>
      <c r="F1643" s="8"/>
      <c r="G1643" s="9"/>
      <c r="H1643" s="8"/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</row>
    <row r="1644" spans="1:19" ht="15.75" customHeight="1">
      <c r="A1644" s="8">
        <v>246387209</v>
      </c>
      <c r="B1644" s="8" t="s">
        <v>11136</v>
      </c>
      <c r="C1644" s="8" t="s">
        <v>11137</v>
      </c>
      <c r="D1644" s="8" t="s">
        <v>6215</v>
      </c>
      <c r="E1644" s="9" t="s">
        <v>6216</v>
      </c>
      <c r="F1644" s="8"/>
      <c r="G1644" s="9"/>
      <c r="H1644" s="8"/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</row>
    <row r="1645" spans="1:19" ht="15.75" customHeight="1">
      <c r="A1645" s="8">
        <v>246387355</v>
      </c>
      <c r="B1645" s="8" t="s">
        <v>8365</v>
      </c>
      <c r="C1645" s="8" t="s">
        <v>11138</v>
      </c>
      <c r="D1645" s="8" t="s">
        <v>6219</v>
      </c>
      <c r="E1645" s="9" t="s">
        <v>6220</v>
      </c>
      <c r="F1645" s="8"/>
      <c r="G1645" s="9"/>
      <c r="H1645" s="8"/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</row>
    <row r="1646" spans="1:19" ht="15.75" customHeight="1">
      <c r="A1646" s="8">
        <v>246388269</v>
      </c>
      <c r="B1646" s="8" t="s">
        <v>8942</v>
      </c>
      <c r="C1646" s="8" t="s">
        <v>11139</v>
      </c>
      <c r="D1646" s="8" t="s">
        <v>6223</v>
      </c>
      <c r="E1646" s="9" t="s">
        <v>6224</v>
      </c>
      <c r="F1646" s="8"/>
      <c r="G1646" s="9"/>
      <c r="H1646" s="8"/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</row>
    <row r="1647" spans="1:19" ht="15.75" customHeight="1">
      <c r="A1647" s="8">
        <v>246388755</v>
      </c>
      <c r="B1647" s="8" t="s">
        <v>8325</v>
      </c>
      <c r="C1647" s="8" t="s">
        <v>11140</v>
      </c>
      <c r="D1647" s="8" t="s">
        <v>6227</v>
      </c>
      <c r="E1647" s="9">
        <v>79689302649</v>
      </c>
      <c r="F1647" s="8"/>
      <c r="G1647" s="9"/>
      <c r="H1647" s="8" t="s">
        <v>8164</v>
      </c>
      <c r="I1647" s="8" t="s">
        <v>8245</v>
      </c>
      <c r="J1647" s="8"/>
      <c r="K1647" s="8"/>
      <c r="L1647" s="8"/>
      <c r="M1647" s="8"/>
      <c r="N1647" s="8"/>
      <c r="O1647" s="8"/>
      <c r="P1647" s="8"/>
      <c r="Q1647" s="8"/>
      <c r="R1647" s="8"/>
      <c r="S1647" s="8"/>
    </row>
    <row r="1648" spans="1:19" ht="15.75" customHeight="1">
      <c r="A1648" s="8">
        <v>246389074</v>
      </c>
      <c r="B1648" s="8" t="s">
        <v>11141</v>
      </c>
      <c r="C1648" s="8" t="s">
        <v>10627</v>
      </c>
      <c r="D1648" s="8" t="s">
        <v>6230</v>
      </c>
      <c r="E1648" s="9">
        <v>87021057977</v>
      </c>
      <c r="F1648" s="8"/>
      <c r="G1648" s="9"/>
      <c r="H1648" s="8"/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</row>
    <row r="1649" spans="1:19" ht="15.75" customHeight="1">
      <c r="A1649" s="8">
        <v>246389455</v>
      </c>
      <c r="B1649" s="8" t="s">
        <v>10492</v>
      </c>
      <c r="C1649" s="8" t="s">
        <v>11142</v>
      </c>
      <c r="D1649" s="8" t="s">
        <v>6233</v>
      </c>
      <c r="E1649" s="9" t="s">
        <v>6234</v>
      </c>
      <c r="F1649" s="8"/>
      <c r="G1649" s="9"/>
      <c r="H1649" s="8"/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</row>
    <row r="1650" spans="1:19" ht="15.75" customHeight="1">
      <c r="A1650" s="8">
        <v>246391244</v>
      </c>
      <c r="B1650" s="8" t="s">
        <v>11143</v>
      </c>
      <c r="C1650" s="8" t="s">
        <v>11144</v>
      </c>
      <c r="D1650" s="8" t="s">
        <v>6237</v>
      </c>
      <c r="E1650" s="9" t="s">
        <v>6238</v>
      </c>
      <c r="F1650" s="8"/>
      <c r="G1650" s="9"/>
      <c r="H1650" s="8"/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</row>
    <row r="1651" spans="1:19" ht="15.75" customHeight="1">
      <c r="A1651" s="8">
        <v>246391988</v>
      </c>
      <c r="B1651" s="8" t="s">
        <v>11145</v>
      </c>
      <c r="C1651" s="8" t="s">
        <v>11146</v>
      </c>
      <c r="D1651" s="8" t="s">
        <v>6241</v>
      </c>
      <c r="E1651" s="9" t="s">
        <v>6242</v>
      </c>
      <c r="F1651" s="8"/>
      <c r="G1651" s="9"/>
      <c r="H1651" s="8"/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</row>
    <row r="1652" spans="1:19" ht="15.75" customHeight="1">
      <c r="A1652" s="8">
        <v>246391997</v>
      </c>
      <c r="B1652" s="8" t="s">
        <v>9668</v>
      </c>
      <c r="C1652" s="8" t="s">
        <v>11147</v>
      </c>
      <c r="D1652" s="8" t="s">
        <v>6245</v>
      </c>
      <c r="E1652" s="9">
        <v>87012031978</v>
      </c>
      <c r="F1652" s="8"/>
      <c r="G1652" s="9"/>
      <c r="H1652" s="8" t="s">
        <v>8241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</row>
    <row r="1653" spans="1:19" ht="15.75" customHeight="1">
      <c r="A1653" s="8">
        <v>246392446</v>
      </c>
      <c r="B1653" s="8" t="s">
        <v>11148</v>
      </c>
      <c r="C1653" s="8" t="s">
        <v>11149</v>
      </c>
      <c r="D1653" s="8" t="s">
        <v>6248</v>
      </c>
      <c r="E1653" s="9">
        <v>998975857503</v>
      </c>
      <c r="F1653" s="8"/>
      <c r="G1653" s="9"/>
      <c r="H1653" s="8"/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</row>
    <row r="1654" spans="1:19" ht="15.75" customHeight="1">
      <c r="A1654" s="8">
        <v>246392478</v>
      </c>
      <c r="B1654" s="8" t="s">
        <v>11150</v>
      </c>
      <c r="C1654" s="8" t="s">
        <v>11151</v>
      </c>
      <c r="D1654" s="8" t="s">
        <v>6251</v>
      </c>
      <c r="E1654" s="9">
        <v>87479191816</v>
      </c>
      <c r="F1654" s="8" t="s">
        <v>11152</v>
      </c>
      <c r="G1654" s="9">
        <v>37</v>
      </c>
      <c r="H1654" s="8" t="s">
        <v>8241</v>
      </c>
      <c r="I1654" s="8" t="s">
        <v>11153</v>
      </c>
      <c r="J1654" s="8"/>
      <c r="K1654" s="8"/>
      <c r="L1654" s="8"/>
      <c r="M1654" s="8"/>
      <c r="N1654" s="8"/>
      <c r="O1654" s="8"/>
      <c r="P1654" s="8"/>
      <c r="Q1654" s="8"/>
      <c r="R1654" s="8"/>
      <c r="S1654" s="8"/>
    </row>
    <row r="1655" spans="1:19" ht="15.75" customHeight="1">
      <c r="A1655" s="8">
        <v>246393550</v>
      </c>
      <c r="B1655" s="8" t="s">
        <v>11154</v>
      </c>
      <c r="C1655" s="8" t="s">
        <v>11155</v>
      </c>
      <c r="D1655" s="8" t="s">
        <v>6254</v>
      </c>
      <c r="E1655" s="9">
        <v>77052892288</v>
      </c>
      <c r="F1655" s="8"/>
      <c r="G1655" s="9"/>
      <c r="H1655" s="8"/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</row>
    <row r="1656" spans="1:19" ht="15.75" customHeight="1">
      <c r="A1656" s="8">
        <v>246393594</v>
      </c>
      <c r="B1656" s="8" t="s">
        <v>11156</v>
      </c>
      <c r="C1656" s="8" t="s">
        <v>11157</v>
      </c>
      <c r="D1656" s="8" t="s">
        <v>6257</v>
      </c>
      <c r="E1656" s="9">
        <v>87027662045</v>
      </c>
      <c r="F1656" s="8"/>
      <c r="G1656" s="9"/>
      <c r="H1656" s="8"/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</row>
    <row r="1657" spans="1:19" ht="15.75" customHeight="1">
      <c r="A1657" s="8">
        <v>246393779</v>
      </c>
      <c r="B1657" s="8" t="s">
        <v>11158</v>
      </c>
      <c r="C1657" s="8" t="s">
        <v>11159</v>
      </c>
      <c r="D1657" s="8" t="s">
        <v>11160</v>
      </c>
      <c r="E1657" s="9" t="s">
        <v>11161</v>
      </c>
      <c r="F1657" s="8"/>
      <c r="G1657" s="9"/>
      <c r="H1657" s="8"/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</row>
    <row r="1658" spans="1:19" ht="15.75" customHeight="1">
      <c r="A1658" s="8">
        <v>246394078</v>
      </c>
      <c r="B1658" s="8" t="s">
        <v>11162</v>
      </c>
      <c r="C1658" s="8" t="s">
        <v>11163</v>
      </c>
      <c r="D1658" s="8" t="s">
        <v>6260</v>
      </c>
      <c r="E1658" s="9" t="s">
        <v>6261</v>
      </c>
      <c r="F1658" s="8"/>
      <c r="G1658" s="9"/>
      <c r="H1658" s="8" t="s">
        <v>8158</v>
      </c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</row>
    <row r="1659" spans="1:19" ht="15.75" customHeight="1">
      <c r="A1659" s="8">
        <v>246394507</v>
      </c>
      <c r="B1659" s="8" t="s">
        <v>11164</v>
      </c>
      <c r="C1659" s="8" t="s">
        <v>11165</v>
      </c>
      <c r="D1659" s="8" t="s">
        <v>6264</v>
      </c>
      <c r="E1659" s="9">
        <v>909876654</v>
      </c>
      <c r="F1659" s="8"/>
      <c r="G1659" s="9"/>
      <c r="H1659" s="8"/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</row>
    <row r="1660" spans="1:19" ht="15.75" customHeight="1">
      <c r="A1660" s="8">
        <v>246395088</v>
      </c>
      <c r="B1660" s="8" t="s">
        <v>11166</v>
      </c>
      <c r="C1660" s="8" t="s">
        <v>11167</v>
      </c>
      <c r="D1660" s="8" t="s">
        <v>6267</v>
      </c>
      <c r="E1660" s="9">
        <v>996500181800</v>
      </c>
      <c r="F1660" s="8"/>
      <c r="G1660" s="9"/>
      <c r="H1660" s="8"/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</row>
    <row r="1661" spans="1:19" ht="15.75" customHeight="1">
      <c r="A1661" s="8">
        <v>246395765</v>
      </c>
      <c r="B1661" s="8" t="s">
        <v>9157</v>
      </c>
      <c r="C1661" s="8" t="s">
        <v>11168</v>
      </c>
      <c r="D1661" s="8" t="s">
        <v>6270</v>
      </c>
      <c r="E1661" s="9">
        <v>87786811983</v>
      </c>
      <c r="F1661" s="8"/>
      <c r="G1661" s="9"/>
      <c r="H1661" s="8"/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</row>
    <row r="1662" spans="1:19" ht="15.75" customHeight="1">
      <c r="A1662" s="8">
        <v>246396770</v>
      </c>
      <c r="B1662" s="8" t="s">
        <v>8479</v>
      </c>
      <c r="C1662" s="8" t="s">
        <v>11169</v>
      </c>
      <c r="D1662" s="8" t="s">
        <v>6273</v>
      </c>
      <c r="E1662" s="9" t="s">
        <v>6274</v>
      </c>
      <c r="F1662" s="8"/>
      <c r="G1662" s="9"/>
      <c r="H1662" s="8"/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</row>
    <row r="1663" spans="1:19" ht="15.75" customHeight="1">
      <c r="A1663" s="8">
        <v>246397495</v>
      </c>
      <c r="B1663" s="8" t="s">
        <v>11170</v>
      </c>
      <c r="C1663" s="8" t="s">
        <v>11171</v>
      </c>
      <c r="D1663" s="8" t="s">
        <v>6277</v>
      </c>
      <c r="E1663" s="9" t="s">
        <v>6278</v>
      </c>
      <c r="F1663" s="8"/>
      <c r="G1663" s="9"/>
      <c r="H1663" s="8" t="s">
        <v>8463</v>
      </c>
      <c r="I1663" s="8" t="s">
        <v>8464</v>
      </c>
      <c r="J1663" s="8"/>
      <c r="K1663" s="8"/>
      <c r="L1663" s="8"/>
      <c r="M1663" s="8"/>
      <c r="N1663" s="8"/>
      <c r="O1663" s="8"/>
      <c r="P1663" s="8"/>
      <c r="Q1663" s="8"/>
      <c r="R1663" s="8"/>
      <c r="S1663" s="8"/>
    </row>
    <row r="1664" spans="1:19" ht="15.75" customHeight="1">
      <c r="A1664" s="8">
        <v>246397644</v>
      </c>
      <c r="B1664" s="8" t="s">
        <v>8982</v>
      </c>
      <c r="C1664" s="8" t="s">
        <v>11172</v>
      </c>
      <c r="D1664" s="8" t="s">
        <v>6281</v>
      </c>
      <c r="E1664" s="9" t="s">
        <v>6282</v>
      </c>
      <c r="F1664" s="8"/>
      <c r="G1664" s="9"/>
      <c r="H1664" s="8"/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</row>
    <row r="1665" spans="1:19" ht="15.75" customHeight="1">
      <c r="A1665" s="8">
        <v>246397713</v>
      </c>
      <c r="B1665" s="8" t="s">
        <v>10462</v>
      </c>
      <c r="C1665" s="8" t="s">
        <v>10777</v>
      </c>
      <c r="D1665" s="8" t="s">
        <v>6285</v>
      </c>
      <c r="E1665" s="9">
        <v>998914135090</v>
      </c>
      <c r="F1665" s="8"/>
      <c r="G1665" s="9"/>
      <c r="H1665" s="8"/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</row>
    <row r="1666" spans="1:19" ht="15.75" customHeight="1">
      <c r="A1666" s="8">
        <v>246397943</v>
      </c>
      <c r="B1666" s="8" t="s">
        <v>8410</v>
      </c>
      <c r="C1666" s="8" t="s">
        <v>10820</v>
      </c>
      <c r="D1666" s="8" t="s">
        <v>6288</v>
      </c>
      <c r="E1666" s="9">
        <v>87779399885</v>
      </c>
      <c r="F1666" s="8"/>
      <c r="G1666" s="9"/>
      <c r="H1666" s="8"/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</row>
    <row r="1667" spans="1:19" ht="15.75" customHeight="1">
      <c r="A1667" s="8">
        <v>246399185</v>
      </c>
      <c r="B1667" s="8" t="s">
        <v>8883</v>
      </c>
      <c r="C1667" s="8" t="s">
        <v>11173</v>
      </c>
      <c r="D1667" s="8" t="s">
        <v>6291</v>
      </c>
      <c r="E1667" s="9" t="s">
        <v>6292</v>
      </c>
      <c r="F1667" s="8"/>
      <c r="G1667" s="9"/>
      <c r="H1667" s="8"/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</row>
    <row r="1668" spans="1:19" ht="15.75" customHeight="1">
      <c r="A1668" s="8">
        <v>246409069</v>
      </c>
      <c r="B1668" s="8" t="s">
        <v>7919</v>
      </c>
      <c r="C1668" s="8" t="s">
        <v>7919</v>
      </c>
      <c r="D1668" s="8" t="s">
        <v>6295</v>
      </c>
      <c r="E1668" s="9" t="s">
        <v>6296</v>
      </c>
      <c r="F1668" s="8" t="s">
        <v>11174</v>
      </c>
      <c r="G1668" s="9">
        <v>61</v>
      </c>
      <c r="H1668" s="8" t="s">
        <v>8356</v>
      </c>
      <c r="I1668" s="8" t="s">
        <v>10068</v>
      </c>
      <c r="J1668" s="8"/>
      <c r="K1668" s="8"/>
      <c r="L1668" s="8"/>
      <c r="M1668" s="8"/>
      <c r="N1668" s="8"/>
      <c r="O1668" s="8"/>
      <c r="P1668" s="8"/>
      <c r="Q1668" s="8"/>
      <c r="R1668" s="8"/>
      <c r="S1668" s="8"/>
    </row>
    <row r="1669" spans="1:19" ht="15.75" customHeight="1">
      <c r="A1669" s="8">
        <v>246411509</v>
      </c>
      <c r="B1669" s="8" t="s">
        <v>10732</v>
      </c>
      <c r="C1669" s="8" t="s">
        <v>11175</v>
      </c>
      <c r="D1669" s="8" t="s">
        <v>6299</v>
      </c>
      <c r="E1669" s="9" t="s">
        <v>6300</v>
      </c>
      <c r="F1669" s="8"/>
      <c r="G1669" s="9"/>
      <c r="H1669" s="8" t="s">
        <v>8463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</row>
    <row r="1670" spans="1:19" ht="15.75" customHeight="1">
      <c r="A1670" s="8">
        <v>246412110</v>
      </c>
      <c r="B1670" s="8" t="s">
        <v>7399</v>
      </c>
      <c r="C1670" s="8" t="s">
        <v>11176</v>
      </c>
      <c r="D1670" s="8" t="s">
        <v>6303</v>
      </c>
      <c r="E1670" s="9">
        <v>79124361987</v>
      </c>
      <c r="F1670" s="8"/>
      <c r="G1670" s="9"/>
      <c r="H1670" s="8"/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</row>
    <row r="1671" spans="1:19" ht="15.75" customHeight="1">
      <c r="A1671" s="8">
        <v>246412555</v>
      </c>
      <c r="B1671" s="8" t="s">
        <v>11177</v>
      </c>
      <c r="C1671" s="8" t="s">
        <v>10789</v>
      </c>
      <c r="D1671" s="8" t="s">
        <v>6306</v>
      </c>
      <c r="E1671" s="9">
        <v>77010231114</v>
      </c>
      <c r="F1671" s="8"/>
      <c r="G1671" s="9"/>
      <c r="H1671" s="8"/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</row>
    <row r="1672" spans="1:19" ht="15.75" customHeight="1">
      <c r="A1672" s="8">
        <v>246414359</v>
      </c>
      <c r="B1672" s="8" t="s">
        <v>11178</v>
      </c>
      <c r="C1672" s="8" t="s">
        <v>11179</v>
      </c>
      <c r="D1672" s="8" t="s">
        <v>6309</v>
      </c>
      <c r="E1672" s="9">
        <v>971506943839</v>
      </c>
      <c r="F1672" s="8"/>
      <c r="G1672" s="9"/>
      <c r="H1672" s="8"/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</row>
    <row r="1673" spans="1:19" ht="15.75" customHeight="1">
      <c r="A1673" s="8">
        <v>246416815</v>
      </c>
      <c r="B1673" s="8" t="s">
        <v>8206</v>
      </c>
      <c r="C1673" s="8" t="s">
        <v>11180</v>
      </c>
      <c r="D1673" s="8" t="s">
        <v>6312</v>
      </c>
      <c r="E1673" s="9" t="s">
        <v>6313</v>
      </c>
      <c r="F1673" s="8"/>
      <c r="G1673" s="9"/>
      <c r="H1673" s="8"/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</row>
    <row r="1674" spans="1:19" ht="15.75" customHeight="1">
      <c r="A1674" s="8">
        <v>246419378</v>
      </c>
      <c r="B1674" s="8" t="s">
        <v>11178</v>
      </c>
      <c r="C1674" s="8" t="s">
        <v>11179</v>
      </c>
      <c r="D1674" s="8" t="s">
        <v>11181</v>
      </c>
      <c r="E1674" s="9" t="s">
        <v>11182</v>
      </c>
      <c r="F1674" s="8"/>
      <c r="G1674" s="9"/>
      <c r="H1674" s="8"/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</row>
    <row r="1675" spans="1:19" ht="15.75" customHeight="1">
      <c r="A1675" s="8">
        <v>246420056</v>
      </c>
      <c r="B1675" s="8" t="s">
        <v>8410</v>
      </c>
      <c r="C1675" s="8" t="s">
        <v>11183</v>
      </c>
      <c r="D1675" s="8" t="s">
        <v>11184</v>
      </c>
      <c r="E1675" s="9">
        <v>79117707379</v>
      </c>
      <c r="F1675" s="8"/>
      <c r="G1675" s="9"/>
      <c r="H1675" s="8" t="s">
        <v>8164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</row>
    <row r="1676" spans="1:19" ht="15.75" customHeight="1">
      <c r="A1676" s="8">
        <v>246421049</v>
      </c>
      <c r="B1676" s="8" t="s">
        <v>7818</v>
      </c>
      <c r="C1676" s="8" t="s">
        <v>11185</v>
      </c>
      <c r="D1676" s="8" t="s">
        <v>6316</v>
      </c>
      <c r="E1676" s="9" t="s">
        <v>6317</v>
      </c>
      <c r="F1676" s="8" t="s">
        <v>11186</v>
      </c>
      <c r="G1676" s="9">
        <v>43</v>
      </c>
      <c r="H1676" s="8" t="s">
        <v>8799</v>
      </c>
      <c r="I1676" s="8" t="s">
        <v>8464</v>
      </c>
      <c r="J1676" s="8"/>
      <c r="K1676" s="8"/>
      <c r="L1676" s="8"/>
      <c r="M1676" s="8"/>
      <c r="N1676" s="8"/>
      <c r="O1676" s="8"/>
      <c r="P1676" s="8"/>
      <c r="Q1676" s="8"/>
      <c r="R1676" s="8"/>
      <c r="S1676" s="8"/>
    </row>
    <row r="1677" spans="1:19" ht="15.75" customHeight="1">
      <c r="A1677" s="8">
        <v>246425223</v>
      </c>
      <c r="B1677" s="8" t="s">
        <v>11187</v>
      </c>
      <c r="C1677" s="8" t="s">
        <v>11188</v>
      </c>
      <c r="D1677" s="8" t="s">
        <v>6320</v>
      </c>
      <c r="E1677" s="9">
        <v>998803516</v>
      </c>
      <c r="F1677" s="8"/>
      <c r="G1677" s="9"/>
      <c r="H1677" s="8"/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</row>
    <row r="1678" spans="1:19" ht="15.75" customHeight="1">
      <c r="A1678" s="8">
        <v>246433475</v>
      </c>
      <c r="B1678" s="8" t="s">
        <v>8479</v>
      </c>
      <c r="C1678" s="8" t="s">
        <v>11189</v>
      </c>
      <c r="D1678" s="8" t="s">
        <v>11190</v>
      </c>
      <c r="E1678" s="9">
        <v>79137406304</v>
      </c>
      <c r="F1678" s="8" t="s">
        <v>11191</v>
      </c>
      <c r="G1678" s="9">
        <v>37</v>
      </c>
      <c r="H1678" s="8" t="s">
        <v>8158</v>
      </c>
      <c r="I1678" s="8" t="s">
        <v>8276</v>
      </c>
      <c r="J1678" s="8"/>
      <c r="K1678" s="8"/>
      <c r="L1678" s="8"/>
      <c r="M1678" s="8"/>
      <c r="N1678" s="8"/>
      <c r="O1678" s="8"/>
      <c r="P1678" s="8"/>
      <c r="Q1678" s="8"/>
      <c r="R1678" s="8"/>
      <c r="S1678" s="8"/>
    </row>
    <row r="1679" spans="1:19" ht="15.75" customHeight="1">
      <c r="A1679" s="8">
        <v>246442065</v>
      </c>
      <c r="B1679" s="8" t="s">
        <v>8206</v>
      </c>
      <c r="C1679" s="8" t="s">
        <v>11192</v>
      </c>
      <c r="D1679" s="8" t="s">
        <v>6323</v>
      </c>
      <c r="E1679" s="9" t="s">
        <v>6324</v>
      </c>
      <c r="F1679" s="8"/>
      <c r="G1679" s="9"/>
      <c r="H1679" s="8"/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</row>
    <row r="1680" spans="1:19" ht="15.75" customHeight="1">
      <c r="A1680" s="8">
        <v>246443337</v>
      </c>
      <c r="B1680" s="8" t="s">
        <v>11193</v>
      </c>
      <c r="C1680" s="8" t="s">
        <v>11194</v>
      </c>
      <c r="D1680" s="8" t="s">
        <v>6327</v>
      </c>
      <c r="E1680" s="9">
        <v>998909002670</v>
      </c>
      <c r="F1680" s="8"/>
      <c r="G1680" s="9"/>
      <c r="H1680" s="8"/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</row>
    <row r="1681" spans="1:19" ht="15.75" customHeight="1">
      <c r="A1681" s="8">
        <v>246447058</v>
      </c>
      <c r="B1681" s="8" t="s">
        <v>8721</v>
      </c>
      <c r="C1681" s="8" t="s">
        <v>11195</v>
      </c>
      <c r="D1681" s="8" t="s">
        <v>6330</v>
      </c>
      <c r="E1681" s="9">
        <v>79167839074</v>
      </c>
      <c r="F1681" s="8"/>
      <c r="G1681" s="9"/>
      <c r="H1681" s="8"/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</row>
    <row r="1682" spans="1:19" ht="15.75" customHeight="1">
      <c r="A1682" s="8">
        <v>246447623</v>
      </c>
      <c r="B1682" s="8" t="s">
        <v>11196</v>
      </c>
      <c r="C1682" s="8" t="s">
        <v>11197</v>
      </c>
      <c r="D1682" s="8" t="s">
        <v>6333</v>
      </c>
      <c r="E1682" s="9" t="s">
        <v>6334</v>
      </c>
      <c r="F1682" s="8"/>
      <c r="G1682" s="9"/>
      <c r="H1682" s="8"/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</row>
    <row r="1683" spans="1:19" ht="15.75" customHeight="1">
      <c r="A1683" s="8">
        <v>246447868</v>
      </c>
      <c r="B1683" s="8" t="s">
        <v>11198</v>
      </c>
      <c r="C1683" s="8" t="s">
        <v>11199</v>
      </c>
      <c r="D1683" s="8" t="s">
        <v>6337</v>
      </c>
      <c r="E1683" s="9">
        <v>8917352754</v>
      </c>
      <c r="F1683" s="8" t="s">
        <v>11200</v>
      </c>
      <c r="G1683" s="9">
        <v>40</v>
      </c>
      <c r="H1683" s="8" t="s">
        <v>8164</v>
      </c>
      <c r="I1683" s="8" t="s">
        <v>11201</v>
      </c>
      <c r="J1683" s="8"/>
      <c r="K1683" s="8"/>
      <c r="L1683" s="8"/>
      <c r="M1683" s="8"/>
      <c r="N1683" s="8"/>
      <c r="O1683" s="8"/>
      <c r="P1683" s="8"/>
      <c r="Q1683" s="8"/>
      <c r="R1683" s="8"/>
      <c r="S1683" s="8"/>
    </row>
    <row r="1684" spans="1:19" ht="15.75" customHeight="1">
      <c r="A1684" s="8">
        <v>246449448</v>
      </c>
      <c r="B1684" s="8" t="s">
        <v>11202</v>
      </c>
      <c r="C1684" s="8" t="s">
        <v>11203</v>
      </c>
      <c r="D1684" s="8" t="s">
        <v>6340</v>
      </c>
      <c r="E1684" s="9">
        <v>79536711670</v>
      </c>
      <c r="F1684" s="8"/>
      <c r="G1684" s="9"/>
      <c r="H1684" s="8" t="s">
        <v>8164</v>
      </c>
      <c r="I1684" s="8" t="s">
        <v>11204</v>
      </c>
      <c r="J1684" s="8"/>
      <c r="K1684" s="8"/>
      <c r="L1684" s="8"/>
      <c r="M1684" s="8"/>
      <c r="N1684" s="8"/>
      <c r="O1684" s="8"/>
      <c r="P1684" s="8"/>
      <c r="Q1684" s="8"/>
      <c r="R1684" s="8"/>
      <c r="S1684" s="8"/>
    </row>
    <row r="1685" spans="1:19" ht="15.75" customHeight="1">
      <c r="A1685" s="8">
        <v>246449677</v>
      </c>
      <c r="B1685" s="8" t="s">
        <v>11205</v>
      </c>
      <c r="C1685" s="8" t="s">
        <v>11206</v>
      </c>
      <c r="D1685" s="8" t="s">
        <v>6343</v>
      </c>
      <c r="E1685" s="9">
        <v>79585580582</v>
      </c>
      <c r="F1685" s="8"/>
      <c r="G1685" s="9"/>
      <c r="H1685" s="8" t="s">
        <v>8164</v>
      </c>
      <c r="I1685" s="8" t="s">
        <v>8245</v>
      </c>
      <c r="J1685" s="8"/>
      <c r="K1685" s="8"/>
      <c r="L1685" s="8"/>
      <c r="M1685" s="8"/>
      <c r="N1685" s="8"/>
      <c r="O1685" s="8"/>
      <c r="P1685" s="8"/>
      <c r="Q1685" s="8"/>
      <c r="R1685" s="8"/>
      <c r="S1685" s="8"/>
    </row>
    <row r="1686" spans="1:19" ht="15.75" customHeight="1">
      <c r="A1686" s="8">
        <v>246450841</v>
      </c>
      <c r="B1686" s="8" t="s">
        <v>11207</v>
      </c>
      <c r="C1686" s="8" t="s">
        <v>11208</v>
      </c>
      <c r="D1686" s="8" t="s">
        <v>6346</v>
      </c>
      <c r="E1686" s="9">
        <v>79179072149</v>
      </c>
      <c r="F1686" s="8"/>
      <c r="G1686" s="9"/>
      <c r="H1686" s="8"/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</row>
    <row r="1687" spans="1:19" ht="15.75" customHeight="1">
      <c r="A1687" s="8">
        <v>246451451</v>
      </c>
      <c r="B1687" s="8" t="s">
        <v>11128</v>
      </c>
      <c r="C1687" s="8" t="s">
        <v>11209</v>
      </c>
      <c r="D1687" s="8" t="s">
        <v>6349</v>
      </c>
      <c r="E1687" s="9">
        <v>79625781831</v>
      </c>
      <c r="F1687" s="8"/>
      <c r="G1687" s="9"/>
      <c r="H1687" s="8" t="s">
        <v>8164</v>
      </c>
      <c r="I1687" s="8" t="s">
        <v>10721</v>
      </c>
      <c r="J1687" s="8"/>
      <c r="K1687" s="8"/>
      <c r="L1687" s="8"/>
      <c r="M1687" s="8"/>
      <c r="N1687" s="8"/>
      <c r="O1687" s="8"/>
      <c r="P1687" s="8"/>
      <c r="Q1687" s="8"/>
      <c r="R1687" s="8"/>
      <c r="S1687" s="8"/>
    </row>
    <row r="1688" spans="1:19" ht="15.75" customHeight="1">
      <c r="A1688" s="8">
        <v>246452791</v>
      </c>
      <c r="B1688" s="8" t="s">
        <v>8581</v>
      </c>
      <c r="C1688" s="8" t="s">
        <v>11210</v>
      </c>
      <c r="D1688" s="8" t="s">
        <v>6352</v>
      </c>
      <c r="E1688" s="9">
        <v>79613141930</v>
      </c>
      <c r="F1688" s="8"/>
      <c r="G1688" s="9"/>
      <c r="H1688" s="8" t="s">
        <v>8164</v>
      </c>
      <c r="I1688" s="8" t="s">
        <v>11211</v>
      </c>
      <c r="J1688" s="8"/>
      <c r="K1688" s="8"/>
      <c r="L1688" s="8"/>
      <c r="M1688" s="8"/>
      <c r="N1688" s="8"/>
      <c r="O1688" s="8"/>
      <c r="P1688" s="8"/>
      <c r="Q1688" s="8"/>
      <c r="R1688" s="8"/>
      <c r="S1688" s="8"/>
    </row>
    <row r="1689" spans="1:19" ht="15.75" customHeight="1">
      <c r="A1689" s="8">
        <v>246453185</v>
      </c>
      <c r="B1689" s="8" t="s">
        <v>8581</v>
      </c>
      <c r="C1689" s="8" t="s">
        <v>11212</v>
      </c>
      <c r="D1689" s="8" t="s">
        <v>6355</v>
      </c>
      <c r="E1689" s="9">
        <v>79675710100</v>
      </c>
      <c r="F1689" s="8"/>
      <c r="G1689" s="9"/>
      <c r="H1689" s="8" t="s">
        <v>8164</v>
      </c>
      <c r="I1689" s="8" t="s">
        <v>10285</v>
      </c>
      <c r="J1689" s="8"/>
      <c r="K1689" s="8"/>
      <c r="L1689" s="8"/>
      <c r="M1689" s="8"/>
      <c r="N1689" s="8"/>
      <c r="O1689" s="8"/>
      <c r="P1689" s="8"/>
      <c r="Q1689" s="8"/>
      <c r="R1689" s="8"/>
      <c r="S1689" s="8"/>
    </row>
    <row r="1690" spans="1:19" ht="15.75" customHeight="1">
      <c r="A1690" s="8">
        <v>246454205</v>
      </c>
      <c r="B1690" s="8" t="s">
        <v>8479</v>
      </c>
      <c r="C1690" s="8" t="s">
        <v>11213</v>
      </c>
      <c r="D1690" s="8" t="s">
        <v>6358</v>
      </c>
      <c r="E1690" s="9">
        <v>998903193999</v>
      </c>
      <c r="F1690" s="8"/>
      <c r="G1690" s="9"/>
      <c r="H1690" s="8"/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</row>
    <row r="1691" spans="1:19" ht="15.75" customHeight="1">
      <c r="A1691" s="8">
        <v>246454419</v>
      </c>
      <c r="B1691" s="8" t="s">
        <v>11214</v>
      </c>
      <c r="C1691" s="8" t="s">
        <v>11215</v>
      </c>
      <c r="D1691" s="8" t="s">
        <v>6361</v>
      </c>
      <c r="E1691" s="9" t="s">
        <v>6362</v>
      </c>
      <c r="F1691" s="8"/>
      <c r="G1691" s="9"/>
      <c r="H1691" s="8"/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</row>
    <row r="1692" spans="1:19" ht="15.75" customHeight="1">
      <c r="A1692" s="8">
        <v>246454846</v>
      </c>
      <c r="B1692" s="8" t="s">
        <v>8283</v>
      </c>
      <c r="C1692" s="8" t="s">
        <v>9042</v>
      </c>
      <c r="D1692" s="8" t="s">
        <v>6365</v>
      </c>
      <c r="E1692" s="9">
        <v>79525470098</v>
      </c>
      <c r="F1692" s="8"/>
      <c r="G1692" s="9"/>
      <c r="H1692" s="8" t="s">
        <v>8164</v>
      </c>
      <c r="I1692" s="8" t="s">
        <v>10277</v>
      </c>
      <c r="J1692" s="8"/>
      <c r="K1692" s="8"/>
      <c r="L1692" s="8"/>
      <c r="M1692" s="8"/>
      <c r="N1692" s="8"/>
      <c r="O1692" s="8"/>
      <c r="P1692" s="8"/>
      <c r="Q1692" s="8"/>
      <c r="R1692" s="8"/>
      <c r="S1692" s="8"/>
    </row>
    <row r="1693" spans="1:19" ht="15.75" customHeight="1">
      <c r="A1693" s="8">
        <v>246454963</v>
      </c>
      <c r="B1693" s="8" t="s">
        <v>8930</v>
      </c>
      <c r="C1693" s="8" t="s">
        <v>11216</v>
      </c>
      <c r="D1693" s="8" t="s">
        <v>6368</v>
      </c>
      <c r="E1693" s="9">
        <v>79517437871</v>
      </c>
      <c r="F1693" s="8"/>
      <c r="G1693" s="9"/>
      <c r="H1693" s="8" t="s">
        <v>8164</v>
      </c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</row>
    <row r="1694" spans="1:19" ht="15.75" customHeight="1">
      <c r="A1694" s="8">
        <v>246456103</v>
      </c>
      <c r="B1694" s="8" t="s">
        <v>8325</v>
      </c>
      <c r="C1694" s="8" t="s">
        <v>11217</v>
      </c>
      <c r="D1694" s="8" t="s">
        <v>6371</v>
      </c>
      <c r="E1694" s="9">
        <v>79636235152</v>
      </c>
      <c r="F1694" s="8" t="s">
        <v>11218</v>
      </c>
      <c r="G1694" s="9">
        <v>45</v>
      </c>
      <c r="H1694" s="8" t="s">
        <v>8164</v>
      </c>
      <c r="I1694" s="8" t="s">
        <v>11219</v>
      </c>
      <c r="J1694" s="8"/>
      <c r="K1694" s="8"/>
      <c r="L1694" s="8"/>
      <c r="M1694" s="8"/>
      <c r="N1694" s="8"/>
      <c r="O1694" s="8"/>
      <c r="P1694" s="8"/>
      <c r="Q1694" s="8"/>
      <c r="R1694" s="8"/>
      <c r="S1694" s="8"/>
    </row>
    <row r="1695" spans="1:19" ht="15.75" customHeight="1">
      <c r="A1695" s="8">
        <v>246457202</v>
      </c>
      <c r="B1695" s="8" t="s">
        <v>8341</v>
      </c>
      <c r="C1695" s="8" t="s">
        <v>11220</v>
      </c>
      <c r="D1695" s="8" t="s">
        <v>6374</v>
      </c>
      <c r="E1695" s="9">
        <v>79030566885</v>
      </c>
      <c r="F1695" s="8"/>
      <c r="G1695" s="9"/>
      <c r="H1695" s="8" t="s">
        <v>8164</v>
      </c>
      <c r="I1695" s="8" t="s">
        <v>11221</v>
      </c>
      <c r="J1695" s="8"/>
      <c r="K1695" s="8"/>
      <c r="L1695" s="8"/>
      <c r="M1695" s="8"/>
      <c r="N1695" s="8"/>
      <c r="O1695" s="8"/>
      <c r="P1695" s="8"/>
      <c r="Q1695" s="8"/>
      <c r="R1695" s="8"/>
      <c r="S1695" s="8"/>
    </row>
    <row r="1696" spans="1:19" ht="15.75" customHeight="1">
      <c r="A1696" s="8">
        <v>246458800</v>
      </c>
      <c r="B1696" s="8" t="s">
        <v>8338</v>
      </c>
      <c r="C1696" s="8" t="s">
        <v>11222</v>
      </c>
      <c r="D1696" s="8" t="s">
        <v>6377</v>
      </c>
      <c r="E1696" s="9" t="s">
        <v>6378</v>
      </c>
      <c r="F1696" s="8"/>
      <c r="G1696" s="9"/>
      <c r="H1696" s="8"/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</row>
    <row r="1697" spans="1:19" ht="15.75" customHeight="1">
      <c r="A1697" s="8">
        <v>246459796</v>
      </c>
      <c r="B1697" s="8" t="s">
        <v>7768</v>
      </c>
      <c r="C1697" s="8" t="s">
        <v>9683</v>
      </c>
      <c r="D1697" s="8" t="s">
        <v>6381</v>
      </c>
      <c r="E1697" s="9">
        <v>79083008886</v>
      </c>
      <c r="F1697" s="8"/>
      <c r="G1697" s="9"/>
      <c r="H1697" s="8" t="s">
        <v>8164</v>
      </c>
      <c r="I1697" s="8" t="s">
        <v>11223</v>
      </c>
      <c r="J1697" s="8"/>
      <c r="K1697" s="8"/>
      <c r="L1697" s="8"/>
      <c r="M1697" s="8"/>
      <c r="N1697" s="8"/>
      <c r="O1697" s="8"/>
      <c r="P1697" s="8"/>
      <c r="Q1697" s="8"/>
      <c r="R1697" s="8"/>
      <c r="S1697" s="8"/>
    </row>
    <row r="1698" spans="1:19" ht="15.75" customHeight="1">
      <c r="A1698" s="8">
        <v>246460537</v>
      </c>
      <c r="B1698" s="8" t="s">
        <v>11224</v>
      </c>
      <c r="C1698" s="8" t="s">
        <v>11225</v>
      </c>
      <c r="D1698" s="8" t="s">
        <v>6384</v>
      </c>
      <c r="E1698" s="9" t="s">
        <v>6385</v>
      </c>
      <c r="F1698" s="8"/>
      <c r="G1698" s="9"/>
      <c r="H1698" s="8"/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</row>
    <row r="1699" spans="1:19" ht="15.75" customHeight="1">
      <c r="A1699" s="8">
        <v>246465455</v>
      </c>
      <c r="B1699" s="8" t="s">
        <v>9197</v>
      </c>
      <c r="C1699" s="8" t="s">
        <v>11226</v>
      </c>
      <c r="D1699" s="8" t="s">
        <v>6388</v>
      </c>
      <c r="E1699" s="9">
        <v>79288112616</v>
      </c>
      <c r="F1699" s="8"/>
      <c r="G1699" s="9"/>
      <c r="H1699" s="8"/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</row>
    <row r="1700" spans="1:19" ht="15.75" customHeight="1">
      <c r="A1700" s="8">
        <v>246467037</v>
      </c>
      <c r="B1700" s="8" t="s">
        <v>8717</v>
      </c>
      <c r="C1700" s="8" t="s">
        <v>11227</v>
      </c>
      <c r="D1700" s="8" t="s">
        <v>6391</v>
      </c>
      <c r="E1700" s="9">
        <v>79150953355</v>
      </c>
      <c r="F1700" s="8"/>
      <c r="G1700" s="9"/>
      <c r="H1700" s="8" t="s">
        <v>8164</v>
      </c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</row>
    <row r="1701" spans="1:19" ht="15.75" customHeight="1">
      <c r="A1701" s="8">
        <v>246468046</v>
      </c>
      <c r="B1701" s="8" t="s">
        <v>8479</v>
      </c>
      <c r="C1701" s="8" t="s">
        <v>8479</v>
      </c>
      <c r="D1701" s="8" t="s">
        <v>6394</v>
      </c>
      <c r="E1701" s="9" t="s">
        <v>6395</v>
      </c>
      <c r="F1701" s="8"/>
      <c r="G1701" s="9"/>
      <c r="H1701" s="8"/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</row>
    <row r="1702" spans="1:19" ht="15.75" customHeight="1">
      <c r="A1702" s="8">
        <v>246468227</v>
      </c>
      <c r="B1702" s="8" t="s">
        <v>8197</v>
      </c>
      <c r="C1702" s="8" t="s">
        <v>11228</v>
      </c>
      <c r="D1702" s="8" t="s">
        <v>6398</v>
      </c>
      <c r="E1702" s="9">
        <v>79123935407</v>
      </c>
      <c r="F1702" s="8"/>
      <c r="G1702" s="9"/>
      <c r="H1702" s="8"/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</row>
    <row r="1703" spans="1:19" ht="15.75" customHeight="1">
      <c r="A1703" s="8">
        <v>246469928</v>
      </c>
      <c r="B1703" s="8" t="s">
        <v>11229</v>
      </c>
      <c r="C1703" s="8" t="s">
        <v>11230</v>
      </c>
      <c r="D1703" s="8" t="s">
        <v>6401</v>
      </c>
      <c r="E1703" s="9">
        <v>79158989852</v>
      </c>
      <c r="F1703" s="8"/>
      <c r="G1703" s="9"/>
      <c r="H1703" s="8"/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</row>
    <row r="1704" spans="1:19" ht="15.75" customHeight="1">
      <c r="A1704" s="8">
        <v>246473306</v>
      </c>
      <c r="B1704" s="8" t="s">
        <v>10483</v>
      </c>
      <c r="C1704" s="8" t="s">
        <v>11231</v>
      </c>
      <c r="D1704" s="8" t="s">
        <v>11232</v>
      </c>
      <c r="E1704" s="9" t="s">
        <v>11233</v>
      </c>
      <c r="F1704" s="8"/>
      <c r="G1704" s="9"/>
      <c r="H1704" s="8" t="s">
        <v>8164</v>
      </c>
      <c r="I1704" s="8" t="s">
        <v>8245</v>
      </c>
      <c r="J1704" s="8"/>
      <c r="K1704" s="8"/>
      <c r="L1704" s="8"/>
      <c r="M1704" s="8"/>
      <c r="N1704" s="8"/>
      <c r="O1704" s="8"/>
      <c r="P1704" s="8"/>
      <c r="Q1704" s="8"/>
      <c r="R1704" s="8"/>
      <c r="S1704" s="8"/>
    </row>
    <row r="1705" spans="1:19" ht="15.75" customHeight="1">
      <c r="A1705" s="8">
        <v>246473428</v>
      </c>
      <c r="B1705" s="8" t="s">
        <v>7768</v>
      </c>
      <c r="C1705" s="8" t="s">
        <v>11234</v>
      </c>
      <c r="D1705" s="8" t="s">
        <v>6404</v>
      </c>
      <c r="E1705" s="9">
        <v>79062903174</v>
      </c>
      <c r="F1705" s="8"/>
      <c r="G1705" s="9"/>
      <c r="H1705" s="8"/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</row>
    <row r="1706" spans="1:19" ht="15.75" customHeight="1">
      <c r="A1706" s="8">
        <v>246473968</v>
      </c>
      <c r="B1706" s="8"/>
      <c r="C1706" s="8"/>
      <c r="D1706" s="8" t="s">
        <v>6407</v>
      </c>
      <c r="E1706" s="9" t="s">
        <v>6408</v>
      </c>
      <c r="F1706" s="8" t="s">
        <v>10713</v>
      </c>
      <c r="G1706" s="9">
        <v>0</v>
      </c>
      <c r="H1706" s="8" t="s">
        <v>8222</v>
      </c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</row>
    <row r="1707" spans="1:19" ht="15.75" customHeight="1">
      <c r="A1707" s="8">
        <v>246474398</v>
      </c>
      <c r="B1707" s="8" t="s">
        <v>7768</v>
      </c>
      <c r="C1707" s="8" t="s">
        <v>9485</v>
      </c>
      <c r="D1707" s="8" t="s">
        <v>6411</v>
      </c>
      <c r="E1707" s="9">
        <v>79114095417</v>
      </c>
      <c r="F1707" s="8" t="s">
        <v>11235</v>
      </c>
      <c r="G1707" s="9">
        <v>34</v>
      </c>
      <c r="H1707" s="8" t="s">
        <v>8314</v>
      </c>
      <c r="I1707" s="8" t="s">
        <v>11236</v>
      </c>
      <c r="J1707" s="8"/>
      <c r="K1707" s="8"/>
      <c r="L1707" s="8"/>
      <c r="M1707" s="8"/>
      <c r="N1707" s="8"/>
      <c r="O1707" s="8"/>
      <c r="P1707" s="8"/>
      <c r="Q1707" s="8"/>
      <c r="R1707" s="8"/>
      <c r="S1707" s="8"/>
    </row>
    <row r="1708" spans="1:19" ht="15.75" customHeight="1">
      <c r="A1708" s="8">
        <v>246475270</v>
      </c>
      <c r="B1708" s="8" t="s">
        <v>7768</v>
      </c>
      <c r="C1708" s="8" t="s">
        <v>11237</v>
      </c>
      <c r="D1708" s="8" t="s">
        <v>6414</v>
      </c>
      <c r="E1708" s="9">
        <v>79639078072</v>
      </c>
      <c r="F1708" s="8"/>
      <c r="G1708" s="9"/>
      <c r="H1708" s="8" t="s">
        <v>8164</v>
      </c>
      <c r="I1708" s="8" t="s">
        <v>8676</v>
      </c>
      <c r="J1708" s="8"/>
      <c r="K1708" s="8"/>
      <c r="L1708" s="8"/>
      <c r="M1708" s="8"/>
      <c r="N1708" s="8"/>
      <c r="O1708" s="8"/>
      <c r="P1708" s="8"/>
      <c r="Q1708" s="8"/>
      <c r="R1708" s="8"/>
      <c r="S1708" s="8"/>
    </row>
    <row r="1709" spans="1:19" ht="15.75" customHeight="1">
      <c r="A1709" s="8">
        <v>246478255</v>
      </c>
      <c r="B1709" s="8" t="s">
        <v>11238</v>
      </c>
      <c r="C1709" s="8" t="s">
        <v>11239</v>
      </c>
      <c r="D1709" s="8" t="s">
        <v>6417</v>
      </c>
      <c r="E1709" s="9">
        <v>79511558166</v>
      </c>
      <c r="F1709" s="8"/>
      <c r="G1709" s="9"/>
      <c r="H1709" s="8" t="s">
        <v>8164</v>
      </c>
      <c r="I1709" s="8" t="s">
        <v>11240</v>
      </c>
      <c r="J1709" s="8"/>
      <c r="K1709" s="8"/>
      <c r="L1709" s="8"/>
      <c r="M1709" s="8"/>
      <c r="N1709" s="8"/>
      <c r="O1709" s="8"/>
      <c r="P1709" s="8"/>
      <c r="Q1709" s="8"/>
      <c r="R1709" s="8"/>
      <c r="S1709" s="8"/>
    </row>
    <row r="1710" spans="1:19" ht="15.75" customHeight="1">
      <c r="A1710" s="8">
        <v>246480869</v>
      </c>
      <c r="B1710" s="8" t="s">
        <v>8581</v>
      </c>
      <c r="C1710" s="8" t="s">
        <v>9504</v>
      </c>
      <c r="D1710" s="8" t="s">
        <v>6420</v>
      </c>
      <c r="E1710" s="9" t="s">
        <v>6421</v>
      </c>
      <c r="F1710" s="8"/>
      <c r="G1710" s="9"/>
      <c r="H1710" s="8" t="s">
        <v>8164</v>
      </c>
      <c r="I1710" s="8" t="s">
        <v>10285</v>
      </c>
      <c r="J1710" s="8"/>
      <c r="K1710" s="8"/>
      <c r="L1710" s="8"/>
      <c r="M1710" s="8"/>
      <c r="N1710" s="8"/>
      <c r="O1710" s="8"/>
      <c r="P1710" s="8"/>
      <c r="Q1710" s="8"/>
      <c r="R1710" s="8"/>
      <c r="S1710" s="8"/>
    </row>
    <row r="1711" spans="1:19" ht="15.75" customHeight="1">
      <c r="A1711" s="8">
        <v>246486586</v>
      </c>
      <c r="B1711" s="8" t="s">
        <v>8325</v>
      </c>
      <c r="C1711" s="8" t="s">
        <v>9303</v>
      </c>
      <c r="D1711" s="8" t="s">
        <v>6424</v>
      </c>
      <c r="E1711" s="9" t="s">
        <v>6425</v>
      </c>
      <c r="F1711" s="8"/>
      <c r="G1711" s="9"/>
      <c r="H1711" s="8" t="s">
        <v>8164</v>
      </c>
      <c r="I1711" s="8" t="s">
        <v>11241</v>
      </c>
      <c r="J1711" s="8"/>
      <c r="K1711" s="8"/>
      <c r="L1711" s="8"/>
      <c r="M1711" s="8"/>
      <c r="N1711" s="8"/>
      <c r="O1711" s="8"/>
      <c r="P1711" s="8"/>
      <c r="Q1711" s="8"/>
      <c r="R1711" s="8"/>
      <c r="S1711" s="8"/>
    </row>
    <row r="1712" spans="1:19" ht="15.75" customHeight="1">
      <c r="A1712" s="8">
        <v>246487451</v>
      </c>
      <c r="B1712" s="8" t="s">
        <v>7787</v>
      </c>
      <c r="C1712" s="8" t="s">
        <v>11242</v>
      </c>
      <c r="D1712" s="8" t="s">
        <v>6428</v>
      </c>
      <c r="E1712" s="9" t="s">
        <v>6429</v>
      </c>
      <c r="F1712" s="8"/>
      <c r="G1712" s="9"/>
      <c r="H1712" s="8"/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</row>
    <row r="1713" spans="1:19" ht="15.75" customHeight="1">
      <c r="A1713" s="8">
        <v>246488058</v>
      </c>
      <c r="B1713" s="8" t="s">
        <v>7399</v>
      </c>
      <c r="C1713" s="8" t="s">
        <v>11243</v>
      </c>
      <c r="D1713" s="8" t="s">
        <v>6432</v>
      </c>
      <c r="E1713" s="9" t="s">
        <v>6433</v>
      </c>
      <c r="F1713" s="8"/>
      <c r="G1713" s="9"/>
      <c r="H1713" s="8" t="s">
        <v>8164</v>
      </c>
      <c r="I1713" s="8" t="s">
        <v>10285</v>
      </c>
      <c r="J1713" s="8"/>
      <c r="K1713" s="8"/>
      <c r="L1713" s="8"/>
      <c r="M1713" s="8"/>
      <c r="N1713" s="8"/>
      <c r="O1713" s="8"/>
      <c r="P1713" s="8"/>
      <c r="Q1713" s="8"/>
      <c r="R1713" s="8"/>
      <c r="S1713" s="8"/>
    </row>
    <row r="1714" spans="1:19" ht="15.75" customHeight="1">
      <c r="A1714" s="8">
        <v>246491887</v>
      </c>
      <c r="B1714" s="8" t="s">
        <v>8969</v>
      </c>
      <c r="C1714" s="8" t="s">
        <v>11244</v>
      </c>
      <c r="D1714" s="8" t="s">
        <v>11245</v>
      </c>
      <c r="E1714" s="9">
        <v>79095237799</v>
      </c>
      <c r="F1714" s="8"/>
      <c r="G1714" s="9"/>
      <c r="H1714" s="8" t="s">
        <v>8164</v>
      </c>
      <c r="I1714" s="8" t="s">
        <v>11246</v>
      </c>
      <c r="J1714" s="8"/>
      <c r="K1714" s="8"/>
      <c r="L1714" s="8"/>
      <c r="M1714" s="8"/>
      <c r="N1714" s="8"/>
      <c r="O1714" s="8"/>
      <c r="P1714" s="8"/>
      <c r="Q1714" s="8"/>
      <c r="R1714" s="8"/>
      <c r="S1714" s="8"/>
    </row>
    <row r="1715" spans="1:19" ht="15.75" customHeight="1">
      <c r="A1715" s="8">
        <v>246497793</v>
      </c>
      <c r="B1715" s="8" t="s">
        <v>8579</v>
      </c>
      <c r="C1715" s="8" t="s">
        <v>11247</v>
      </c>
      <c r="D1715" s="8" t="s">
        <v>11248</v>
      </c>
      <c r="E1715" s="9">
        <v>79139142454</v>
      </c>
      <c r="F1715" s="8"/>
      <c r="G1715" s="9"/>
      <c r="H1715" s="8"/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</row>
    <row r="1716" spans="1:19" ht="15.75" customHeight="1">
      <c r="A1716" s="8">
        <v>246498843</v>
      </c>
      <c r="B1716" s="8" t="s">
        <v>8304</v>
      </c>
      <c r="C1716" s="8" t="s">
        <v>11249</v>
      </c>
      <c r="D1716" s="8" t="s">
        <v>6436</v>
      </c>
      <c r="E1716" s="9">
        <v>79030763911</v>
      </c>
      <c r="F1716" s="8"/>
      <c r="G1716" s="9"/>
      <c r="H1716" s="8" t="s">
        <v>8164</v>
      </c>
      <c r="I1716" s="8" t="s">
        <v>11250</v>
      </c>
      <c r="J1716" s="8"/>
      <c r="K1716" s="8"/>
      <c r="L1716" s="8"/>
      <c r="M1716" s="8"/>
      <c r="N1716" s="8"/>
      <c r="O1716" s="8"/>
      <c r="P1716" s="8"/>
      <c r="Q1716" s="8"/>
      <c r="R1716" s="8"/>
      <c r="S1716" s="8"/>
    </row>
    <row r="1717" spans="1:19" ht="15.75" customHeight="1">
      <c r="A1717" s="8">
        <v>246498989</v>
      </c>
      <c r="B1717" s="8" t="s">
        <v>9145</v>
      </c>
      <c r="C1717" s="8" t="s">
        <v>11251</v>
      </c>
      <c r="D1717" s="8" t="s">
        <v>6439</v>
      </c>
      <c r="E1717" s="9">
        <v>79294394600</v>
      </c>
      <c r="F1717" s="8"/>
      <c r="G1717" s="9"/>
      <c r="H1717" s="8"/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</row>
    <row r="1718" spans="1:19" ht="15.75" customHeight="1">
      <c r="A1718" s="8">
        <v>246501469</v>
      </c>
      <c r="B1718" s="8" t="s">
        <v>8234</v>
      </c>
      <c r="C1718" s="8" t="s">
        <v>11252</v>
      </c>
      <c r="D1718" s="8" t="s">
        <v>6443</v>
      </c>
      <c r="E1718" s="9">
        <v>79527664242</v>
      </c>
      <c r="F1718" s="8"/>
      <c r="G1718" s="9"/>
      <c r="H1718" s="8" t="s">
        <v>8164</v>
      </c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</row>
    <row r="1719" spans="1:19" ht="15.75" customHeight="1">
      <c r="A1719" s="8">
        <v>246501759</v>
      </c>
      <c r="B1719" s="8" t="s">
        <v>8341</v>
      </c>
      <c r="C1719" s="8" t="s">
        <v>10150</v>
      </c>
      <c r="D1719" s="8" t="s">
        <v>6446</v>
      </c>
      <c r="E1719" s="9" t="s">
        <v>6447</v>
      </c>
      <c r="F1719" s="8"/>
      <c r="G1719" s="9"/>
      <c r="H1719" s="8"/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</row>
    <row r="1720" spans="1:19" ht="15.75" customHeight="1">
      <c r="A1720" s="8">
        <v>246505575</v>
      </c>
      <c r="B1720" s="8" t="s">
        <v>8479</v>
      </c>
      <c r="C1720" s="8" t="s">
        <v>11253</v>
      </c>
      <c r="D1720" s="8" t="s">
        <v>6450</v>
      </c>
      <c r="E1720" s="9">
        <v>79215413062</v>
      </c>
      <c r="F1720" s="8"/>
      <c r="G1720" s="9"/>
      <c r="H1720" s="8"/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</row>
    <row r="1721" spans="1:19" ht="15.75" customHeight="1">
      <c r="A1721" s="8">
        <v>246506576</v>
      </c>
      <c r="B1721" s="8" t="s">
        <v>8304</v>
      </c>
      <c r="C1721" s="8" t="s">
        <v>11254</v>
      </c>
      <c r="D1721" s="8" t="s">
        <v>6453</v>
      </c>
      <c r="E1721" s="9" t="s">
        <v>6454</v>
      </c>
      <c r="F1721" s="8"/>
      <c r="G1721" s="9"/>
      <c r="H1721" s="8" t="s">
        <v>8164</v>
      </c>
      <c r="I1721" s="8" t="s">
        <v>10992</v>
      </c>
      <c r="J1721" s="8"/>
      <c r="K1721" s="8"/>
      <c r="L1721" s="8"/>
      <c r="M1721" s="8"/>
      <c r="N1721" s="8"/>
      <c r="O1721" s="8"/>
      <c r="P1721" s="8"/>
      <c r="Q1721" s="8"/>
      <c r="R1721" s="8"/>
      <c r="S1721" s="8"/>
    </row>
    <row r="1722" spans="1:19" ht="15.75" customHeight="1">
      <c r="A1722" s="8">
        <v>246507766</v>
      </c>
      <c r="B1722" s="8" t="s">
        <v>7768</v>
      </c>
      <c r="C1722" s="8" t="s">
        <v>9377</v>
      </c>
      <c r="D1722" s="8" t="s">
        <v>6457</v>
      </c>
      <c r="E1722" s="9">
        <v>79999095867</v>
      </c>
      <c r="F1722" s="8"/>
      <c r="G1722" s="9"/>
      <c r="H1722" s="8" t="s">
        <v>8164</v>
      </c>
      <c r="I1722" s="8" t="s">
        <v>8245</v>
      </c>
      <c r="J1722" s="8"/>
      <c r="K1722" s="8"/>
      <c r="L1722" s="8"/>
      <c r="M1722" s="8"/>
      <c r="N1722" s="8"/>
      <c r="O1722" s="8"/>
      <c r="P1722" s="8"/>
      <c r="Q1722" s="8"/>
      <c r="R1722" s="8"/>
      <c r="S1722" s="8"/>
    </row>
    <row r="1723" spans="1:19" ht="15.75" customHeight="1">
      <c r="A1723" s="8">
        <v>246507892</v>
      </c>
      <c r="B1723" s="8" t="s">
        <v>9493</v>
      </c>
      <c r="C1723" s="8" t="s">
        <v>9303</v>
      </c>
      <c r="D1723" s="8" t="s">
        <v>6460</v>
      </c>
      <c r="E1723" s="9" t="s">
        <v>6461</v>
      </c>
      <c r="F1723" s="8"/>
      <c r="G1723" s="9"/>
      <c r="H1723" s="8" t="s">
        <v>8164</v>
      </c>
      <c r="I1723" s="8" t="s">
        <v>10212</v>
      </c>
      <c r="J1723" s="8"/>
      <c r="K1723" s="8"/>
      <c r="L1723" s="8"/>
      <c r="M1723" s="8"/>
      <c r="N1723" s="8"/>
      <c r="O1723" s="8"/>
      <c r="P1723" s="8"/>
      <c r="Q1723" s="8"/>
      <c r="R1723" s="8"/>
      <c r="S1723" s="8"/>
    </row>
    <row r="1724" spans="1:19" ht="15.75" customHeight="1">
      <c r="A1724" s="8">
        <v>246507990</v>
      </c>
      <c r="B1724" s="8" t="s">
        <v>8288</v>
      </c>
      <c r="C1724" s="8" t="s">
        <v>8288</v>
      </c>
      <c r="D1724" s="8" t="s">
        <v>6464</v>
      </c>
      <c r="E1724" s="9" t="s">
        <v>6465</v>
      </c>
      <c r="F1724" s="8"/>
      <c r="G1724" s="9"/>
      <c r="H1724" s="8"/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</row>
    <row r="1725" spans="1:19" ht="15.75" customHeight="1">
      <c r="A1725" s="8">
        <v>246508629</v>
      </c>
      <c r="B1725" s="8" t="s">
        <v>10996</v>
      </c>
      <c r="C1725" s="8" t="s">
        <v>8560</v>
      </c>
      <c r="D1725" s="8" t="s">
        <v>6468</v>
      </c>
      <c r="E1725" s="9" t="s">
        <v>6469</v>
      </c>
      <c r="F1725" s="8" t="s">
        <v>11255</v>
      </c>
      <c r="G1725" s="9"/>
      <c r="H1725" s="8" t="s">
        <v>8789</v>
      </c>
      <c r="I1725" s="8" t="s">
        <v>11256</v>
      </c>
      <c r="J1725" s="8"/>
      <c r="K1725" s="8"/>
      <c r="L1725" s="8"/>
      <c r="M1725" s="8"/>
      <c r="N1725" s="8"/>
      <c r="O1725" s="8"/>
      <c r="P1725" s="8"/>
      <c r="Q1725" s="8"/>
      <c r="R1725" s="8"/>
      <c r="S1725" s="8"/>
    </row>
    <row r="1726" spans="1:19" ht="15.75" customHeight="1">
      <c r="A1726" s="8">
        <v>246510018</v>
      </c>
      <c r="B1726" s="8" t="s">
        <v>8206</v>
      </c>
      <c r="C1726" s="8" t="s">
        <v>11257</v>
      </c>
      <c r="D1726" s="8" t="s">
        <v>11258</v>
      </c>
      <c r="E1726" s="9">
        <v>79123297660</v>
      </c>
      <c r="F1726" s="8"/>
      <c r="G1726" s="9"/>
      <c r="H1726" s="8"/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</row>
    <row r="1727" spans="1:19" ht="15.75" customHeight="1">
      <c r="A1727" s="8">
        <v>246512321</v>
      </c>
      <c r="B1727" s="8" t="s">
        <v>7768</v>
      </c>
      <c r="C1727" s="8" t="s">
        <v>11259</v>
      </c>
      <c r="D1727" s="8" t="s">
        <v>6472</v>
      </c>
      <c r="E1727" s="9">
        <v>79113288990</v>
      </c>
      <c r="F1727" s="8"/>
      <c r="G1727" s="9"/>
      <c r="H1727" s="8"/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</row>
    <row r="1728" spans="1:19" ht="15.75" customHeight="1">
      <c r="A1728" s="8">
        <v>246523871</v>
      </c>
      <c r="B1728" s="8" t="s">
        <v>8431</v>
      </c>
      <c r="C1728" s="8" t="s">
        <v>11260</v>
      </c>
      <c r="D1728" s="8" t="s">
        <v>6475</v>
      </c>
      <c r="E1728" s="9">
        <v>87059801717</v>
      </c>
      <c r="F1728" s="8"/>
      <c r="G1728" s="9"/>
      <c r="H1728" s="8"/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</row>
    <row r="1729" spans="1:19" ht="15.75" customHeight="1">
      <c r="A1729" s="8">
        <v>246529812</v>
      </c>
      <c r="B1729" s="8" t="s">
        <v>8717</v>
      </c>
      <c r="C1729" s="8" t="s">
        <v>11261</v>
      </c>
      <c r="D1729" s="8" t="s">
        <v>6478</v>
      </c>
      <c r="E1729" s="9">
        <v>79031000501</v>
      </c>
      <c r="F1729" s="8"/>
      <c r="G1729" s="9"/>
      <c r="H1729" s="8" t="s">
        <v>8164</v>
      </c>
      <c r="I1729" s="8" t="s">
        <v>8245</v>
      </c>
      <c r="J1729" s="8"/>
      <c r="K1729" s="8"/>
      <c r="L1729" s="8"/>
      <c r="M1729" s="8"/>
      <c r="N1729" s="8"/>
      <c r="O1729" s="8"/>
      <c r="P1729" s="8"/>
      <c r="Q1729" s="8"/>
      <c r="R1729" s="8"/>
      <c r="S1729" s="8"/>
    </row>
    <row r="1730" spans="1:19" ht="15.75" customHeight="1">
      <c r="A1730" s="8">
        <v>246531550</v>
      </c>
      <c r="B1730" s="8" t="s">
        <v>8410</v>
      </c>
      <c r="C1730" s="8" t="s">
        <v>11262</v>
      </c>
      <c r="D1730" s="8" t="s">
        <v>6481</v>
      </c>
      <c r="E1730" s="9" t="s">
        <v>6482</v>
      </c>
      <c r="F1730" s="8"/>
      <c r="G1730" s="9"/>
      <c r="H1730" s="8" t="s">
        <v>8164</v>
      </c>
      <c r="I1730" s="8" t="s">
        <v>11263</v>
      </c>
      <c r="J1730" s="8"/>
      <c r="K1730" s="8"/>
      <c r="L1730" s="8"/>
      <c r="M1730" s="8"/>
      <c r="N1730" s="8"/>
      <c r="O1730" s="8"/>
      <c r="P1730" s="8"/>
      <c r="Q1730" s="8"/>
      <c r="R1730" s="8"/>
      <c r="S1730" s="8"/>
    </row>
    <row r="1731" spans="1:19" ht="15.75" customHeight="1">
      <c r="A1731" s="8">
        <v>246532013</v>
      </c>
      <c r="B1731" s="8" t="s">
        <v>8479</v>
      </c>
      <c r="C1731" s="8" t="s">
        <v>11264</v>
      </c>
      <c r="D1731" s="8" t="s">
        <v>6485</v>
      </c>
      <c r="E1731" s="9">
        <v>79538084881</v>
      </c>
      <c r="F1731" s="8"/>
      <c r="G1731" s="9"/>
      <c r="H1731" s="8"/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</row>
    <row r="1732" spans="1:19" ht="15.75" customHeight="1">
      <c r="A1732" s="8">
        <v>246533407</v>
      </c>
      <c r="B1732" s="8" t="s">
        <v>11265</v>
      </c>
      <c r="C1732" s="8" t="s">
        <v>11266</v>
      </c>
      <c r="D1732" s="8" t="s">
        <v>6488</v>
      </c>
      <c r="E1732" s="9">
        <v>44444444</v>
      </c>
      <c r="F1732" s="8"/>
      <c r="G1732" s="9"/>
      <c r="H1732" s="8"/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</row>
    <row r="1733" spans="1:19" ht="15.75" customHeight="1">
      <c r="A1733" s="8">
        <v>246536093</v>
      </c>
      <c r="B1733" s="8" t="s">
        <v>8434</v>
      </c>
      <c r="C1733" s="8" t="s">
        <v>11267</v>
      </c>
      <c r="D1733" s="8" t="s">
        <v>6491</v>
      </c>
      <c r="E1733" s="9" t="s">
        <v>6492</v>
      </c>
      <c r="F1733" s="8"/>
      <c r="G1733" s="9"/>
      <c r="H1733" s="8" t="s">
        <v>8164</v>
      </c>
      <c r="I1733" s="8" t="s">
        <v>11268</v>
      </c>
      <c r="J1733" s="8"/>
      <c r="K1733" s="8"/>
      <c r="L1733" s="8"/>
      <c r="M1733" s="8"/>
      <c r="N1733" s="8"/>
      <c r="O1733" s="8"/>
      <c r="P1733" s="8"/>
      <c r="Q1733" s="8"/>
      <c r="R1733" s="8"/>
      <c r="S1733" s="8"/>
    </row>
    <row r="1734" spans="1:19" ht="15.75" customHeight="1">
      <c r="A1734" s="8">
        <v>246540791</v>
      </c>
      <c r="B1734" s="8" t="s">
        <v>8717</v>
      </c>
      <c r="C1734" s="8" t="s">
        <v>11269</v>
      </c>
      <c r="D1734" s="8" t="s">
        <v>6495</v>
      </c>
      <c r="E1734" s="9" t="s">
        <v>6496</v>
      </c>
      <c r="F1734" s="8"/>
      <c r="G1734" s="9"/>
      <c r="H1734" s="8"/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</row>
    <row r="1735" spans="1:19" ht="15.75" customHeight="1">
      <c r="A1735" s="8">
        <v>246542032</v>
      </c>
      <c r="B1735" s="8" t="s">
        <v>8206</v>
      </c>
      <c r="C1735" s="8" t="s">
        <v>8206</v>
      </c>
      <c r="D1735" s="8" t="s">
        <v>6499</v>
      </c>
      <c r="E1735" s="9">
        <v>79139754200</v>
      </c>
      <c r="F1735" s="8"/>
      <c r="G1735" s="9"/>
      <c r="H1735" s="8"/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S1735" s="8"/>
    </row>
    <row r="1736" spans="1:19" ht="15.75" customHeight="1">
      <c r="A1736" s="8">
        <v>246557052</v>
      </c>
      <c r="B1736" s="8" t="s">
        <v>8444</v>
      </c>
      <c r="C1736" s="8" t="s">
        <v>11270</v>
      </c>
      <c r="D1736" s="8" t="s">
        <v>6502</v>
      </c>
      <c r="E1736" s="9">
        <v>87025288614</v>
      </c>
      <c r="F1736" s="8"/>
      <c r="G1736" s="9"/>
      <c r="H1736" s="8"/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</row>
    <row r="1737" spans="1:19" ht="15.75" customHeight="1">
      <c r="A1737" s="8">
        <v>246559398</v>
      </c>
      <c r="B1737" s="8" t="s">
        <v>8234</v>
      </c>
      <c r="C1737" s="8" t="s">
        <v>11271</v>
      </c>
      <c r="D1737" s="8" t="s">
        <v>6505</v>
      </c>
      <c r="E1737" s="9">
        <v>79043020903</v>
      </c>
      <c r="F1737" s="8"/>
      <c r="G1737" s="9"/>
      <c r="H1737" s="8" t="s">
        <v>8164</v>
      </c>
      <c r="I1737" s="8" t="s">
        <v>8834</v>
      </c>
      <c r="J1737" s="8"/>
      <c r="K1737" s="8"/>
      <c r="L1737" s="8"/>
      <c r="M1737" s="8"/>
      <c r="N1737" s="8"/>
      <c r="O1737" s="8"/>
      <c r="P1737" s="8"/>
      <c r="Q1737" s="8"/>
      <c r="R1737" s="8"/>
      <c r="S1737" s="8"/>
    </row>
    <row r="1738" spans="1:19" ht="15.75" customHeight="1">
      <c r="A1738" s="8">
        <v>246559562</v>
      </c>
      <c r="B1738" s="8" t="s">
        <v>8304</v>
      </c>
      <c r="C1738" s="8" t="s">
        <v>11272</v>
      </c>
      <c r="D1738" s="8" t="s">
        <v>6508</v>
      </c>
      <c r="E1738" s="9">
        <v>79536901649</v>
      </c>
      <c r="F1738" s="8"/>
      <c r="G1738" s="9"/>
      <c r="H1738" s="8" t="s">
        <v>8164</v>
      </c>
      <c r="I1738" s="8" t="s">
        <v>11204</v>
      </c>
      <c r="J1738" s="8"/>
      <c r="K1738" s="8"/>
      <c r="L1738" s="8"/>
      <c r="M1738" s="8"/>
      <c r="N1738" s="8"/>
      <c r="O1738" s="8"/>
      <c r="P1738" s="8"/>
      <c r="Q1738" s="8"/>
      <c r="R1738" s="8"/>
      <c r="S1738" s="8"/>
    </row>
    <row r="1739" spans="1:19" ht="15.75" customHeight="1">
      <c r="A1739" s="8">
        <v>246559643</v>
      </c>
      <c r="B1739" s="8" t="s">
        <v>8862</v>
      </c>
      <c r="C1739" s="8" t="s">
        <v>11273</v>
      </c>
      <c r="D1739" s="8" t="s">
        <v>6511</v>
      </c>
      <c r="E1739" s="9">
        <v>79127026521</v>
      </c>
      <c r="F1739" s="8"/>
      <c r="G1739" s="9"/>
      <c r="H1739" s="8" t="s">
        <v>8164</v>
      </c>
      <c r="I1739" s="8"/>
      <c r="J1739" s="8"/>
      <c r="K1739" s="8"/>
      <c r="L1739" s="8"/>
      <c r="M1739" s="8"/>
      <c r="N1739" s="8"/>
      <c r="O1739" s="8"/>
      <c r="P1739" s="8"/>
      <c r="Q1739" s="8"/>
      <c r="R1739" s="8"/>
      <c r="S1739" s="8"/>
    </row>
    <row r="1740" spans="1:19" ht="15.75" customHeight="1">
      <c r="A1740" s="8">
        <v>246561823</v>
      </c>
      <c r="B1740" s="8" t="s">
        <v>8424</v>
      </c>
      <c r="C1740" s="8" t="s">
        <v>11274</v>
      </c>
      <c r="D1740" s="8" t="s">
        <v>6514</v>
      </c>
      <c r="E1740" s="9" t="s">
        <v>6515</v>
      </c>
      <c r="F1740" s="8"/>
      <c r="G1740" s="9"/>
      <c r="H1740" s="8" t="s">
        <v>8164</v>
      </c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</row>
    <row r="1741" spans="1:19" ht="15.75" customHeight="1">
      <c r="A1741" s="8">
        <v>246561920</v>
      </c>
      <c r="B1741" s="8" t="s">
        <v>8760</v>
      </c>
      <c r="C1741" s="8" t="s">
        <v>11275</v>
      </c>
      <c r="D1741" s="8" t="s">
        <v>6518</v>
      </c>
      <c r="E1741" s="9" t="s">
        <v>6519</v>
      </c>
      <c r="F1741" s="8"/>
      <c r="G1741" s="9"/>
      <c r="H1741" s="8" t="s">
        <v>8164</v>
      </c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</row>
    <row r="1742" spans="1:19" ht="15.75" customHeight="1">
      <c r="A1742" s="8">
        <v>246565726</v>
      </c>
      <c r="B1742" s="8" t="s">
        <v>11276</v>
      </c>
      <c r="C1742" s="8" t="s">
        <v>11277</v>
      </c>
      <c r="D1742" s="8" t="s">
        <v>6522</v>
      </c>
      <c r="E1742" s="9">
        <v>80291925710</v>
      </c>
      <c r="F1742" s="8"/>
      <c r="G1742" s="9"/>
      <c r="H1742" s="8" t="s">
        <v>8222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</row>
    <row r="1743" spans="1:19" ht="15.75" customHeight="1">
      <c r="A1743" s="8">
        <v>246566321</v>
      </c>
      <c r="B1743" s="8" t="s">
        <v>9244</v>
      </c>
      <c r="C1743" s="8" t="s">
        <v>11278</v>
      </c>
      <c r="D1743" s="8" t="s">
        <v>6525</v>
      </c>
      <c r="E1743" s="9" t="s">
        <v>6526</v>
      </c>
      <c r="F1743" s="8"/>
      <c r="G1743" s="9"/>
      <c r="H1743" s="8" t="s">
        <v>8164</v>
      </c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</row>
    <row r="1744" spans="1:19" ht="15.75" customHeight="1">
      <c r="A1744" s="8">
        <v>246573003</v>
      </c>
      <c r="B1744" s="8" t="s">
        <v>9248</v>
      </c>
      <c r="C1744" s="8" t="s">
        <v>11279</v>
      </c>
      <c r="D1744" s="8" t="s">
        <v>6529</v>
      </c>
      <c r="E1744" s="9">
        <v>79221166587</v>
      </c>
      <c r="F1744" s="8"/>
      <c r="G1744" s="9"/>
      <c r="H1744" s="8" t="s">
        <v>8164</v>
      </c>
      <c r="I1744" s="8" t="s">
        <v>10992</v>
      </c>
      <c r="J1744" s="8"/>
      <c r="K1744" s="8"/>
      <c r="L1744" s="8"/>
      <c r="M1744" s="8"/>
      <c r="N1744" s="8"/>
      <c r="O1744" s="8"/>
      <c r="P1744" s="8"/>
      <c r="Q1744" s="8"/>
      <c r="R1744" s="8"/>
      <c r="S1744" s="8"/>
    </row>
    <row r="1745" spans="1:19" ht="15.75" customHeight="1">
      <c r="A1745" s="8">
        <v>246578444</v>
      </c>
      <c r="B1745" s="8" t="s">
        <v>8760</v>
      </c>
      <c r="C1745" s="8" t="s">
        <v>9485</v>
      </c>
      <c r="D1745" s="8" t="s">
        <v>6532</v>
      </c>
      <c r="E1745" s="9" t="s">
        <v>6533</v>
      </c>
      <c r="F1745" s="8"/>
      <c r="G1745" s="9"/>
      <c r="H1745" s="8" t="s">
        <v>8471</v>
      </c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</row>
    <row r="1746" spans="1:19" ht="15.75" customHeight="1">
      <c r="A1746" s="8">
        <v>246578760</v>
      </c>
      <c r="B1746" s="8" t="s">
        <v>8206</v>
      </c>
      <c r="C1746" s="8" t="s">
        <v>8583</v>
      </c>
      <c r="D1746" s="8" t="s">
        <v>6536</v>
      </c>
      <c r="E1746" s="9" t="s">
        <v>6537</v>
      </c>
      <c r="F1746" s="8"/>
      <c r="G1746" s="9"/>
      <c r="H1746" s="8" t="s">
        <v>8164</v>
      </c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</row>
    <row r="1747" spans="1:19" ht="15.75" customHeight="1">
      <c r="A1747" s="8">
        <v>246581915</v>
      </c>
      <c r="B1747" s="8" t="s">
        <v>9210</v>
      </c>
      <c r="C1747" s="8" t="s">
        <v>10887</v>
      </c>
      <c r="D1747" s="8" t="s">
        <v>6540</v>
      </c>
      <c r="E1747" s="9">
        <v>8909703280</v>
      </c>
      <c r="F1747" s="8"/>
      <c r="G1747" s="9"/>
      <c r="H1747" s="8" t="s">
        <v>8463</v>
      </c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</row>
    <row r="1748" spans="1:19" ht="15.75" customHeight="1">
      <c r="A1748" s="8">
        <v>246583014</v>
      </c>
      <c r="B1748" s="8" t="s">
        <v>11280</v>
      </c>
      <c r="C1748" s="8" t="s">
        <v>11281</v>
      </c>
      <c r="D1748" s="8" t="s">
        <v>6543</v>
      </c>
      <c r="E1748" s="9">
        <v>79502400277</v>
      </c>
      <c r="F1748" s="8"/>
      <c r="G1748" s="9"/>
      <c r="H1748" s="8" t="s">
        <v>8164</v>
      </c>
      <c r="I1748" s="8" t="s">
        <v>11028</v>
      </c>
      <c r="J1748" s="8"/>
      <c r="K1748" s="8"/>
      <c r="L1748" s="8"/>
      <c r="M1748" s="8"/>
      <c r="N1748" s="8"/>
      <c r="O1748" s="8"/>
      <c r="P1748" s="8"/>
      <c r="Q1748" s="8"/>
      <c r="R1748" s="8"/>
      <c r="S1748" s="8"/>
    </row>
    <row r="1749" spans="1:19" ht="15.75" customHeight="1">
      <c r="A1749" s="8">
        <v>246583797</v>
      </c>
      <c r="B1749" s="8" t="s">
        <v>11282</v>
      </c>
      <c r="C1749" s="8" t="s">
        <v>11283</v>
      </c>
      <c r="D1749" s="8" t="s">
        <v>6546</v>
      </c>
      <c r="E1749" s="9">
        <v>906356763</v>
      </c>
      <c r="F1749" s="8"/>
      <c r="G1749" s="9"/>
      <c r="H1749" s="8" t="s">
        <v>8463</v>
      </c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</row>
    <row r="1750" spans="1:19" ht="15.75" customHeight="1">
      <c r="A1750" s="8">
        <v>246587536</v>
      </c>
      <c r="B1750" s="8" t="s">
        <v>8614</v>
      </c>
      <c r="C1750" s="8" t="s">
        <v>11284</v>
      </c>
      <c r="D1750" s="8" t="s">
        <v>6549</v>
      </c>
      <c r="E1750" s="9">
        <v>79605894756</v>
      </c>
      <c r="F1750" s="8"/>
      <c r="G1750" s="9"/>
      <c r="H1750" s="8" t="s">
        <v>8164</v>
      </c>
      <c r="I1750" s="8" t="s">
        <v>11285</v>
      </c>
      <c r="J1750" s="8"/>
      <c r="K1750" s="8"/>
      <c r="L1750" s="8"/>
      <c r="M1750" s="8"/>
      <c r="N1750" s="8"/>
      <c r="O1750" s="8"/>
      <c r="P1750" s="8"/>
      <c r="Q1750" s="8"/>
      <c r="R1750" s="8"/>
      <c r="S1750" s="8"/>
    </row>
    <row r="1751" spans="1:19" ht="15.75" customHeight="1">
      <c r="A1751" s="8">
        <v>246593213</v>
      </c>
      <c r="B1751" s="8" t="s">
        <v>7919</v>
      </c>
      <c r="C1751" s="8" t="s">
        <v>8900</v>
      </c>
      <c r="D1751" s="8" t="s">
        <v>6553</v>
      </c>
      <c r="E1751" s="9">
        <v>79832441595</v>
      </c>
      <c r="F1751" s="8" t="s">
        <v>11286</v>
      </c>
      <c r="G1751" s="9">
        <v>64</v>
      </c>
      <c r="H1751" s="8" t="s">
        <v>8164</v>
      </c>
      <c r="I1751" s="8" t="s">
        <v>11287</v>
      </c>
      <c r="J1751" s="8"/>
      <c r="K1751" s="8"/>
      <c r="L1751" s="8"/>
      <c r="M1751" s="8"/>
      <c r="N1751" s="8"/>
      <c r="O1751" s="8"/>
      <c r="P1751" s="8"/>
      <c r="Q1751" s="8"/>
      <c r="R1751" s="8"/>
      <c r="S1751" s="8"/>
    </row>
    <row r="1752" spans="1:19" ht="15.75" customHeight="1">
      <c r="A1752" s="8">
        <v>246600962</v>
      </c>
      <c r="B1752" s="8" t="s">
        <v>8206</v>
      </c>
      <c r="C1752" s="8" t="s">
        <v>11288</v>
      </c>
      <c r="D1752" s="8" t="s">
        <v>6556</v>
      </c>
      <c r="E1752" s="9" t="s">
        <v>6557</v>
      </c>
      <c r="F1752" s="8"/>
      <c r="G1752" s="9"/>
      <c r="H1752" s="8" t="s">
        <v>8164</v>
      </c>
      <c r="I1752" s="8" t="s">
        <v>11211</v>
      </c>
      <c r="J1752" s="8"/>
      <c r="K1752" s="8"/>
      <c r="L1752" s="8"/>
      <c r="M1752" s="8"/>
      <c r="N1752" s="8"/>
      <c r="O1752" s="8"/>
      <c r="P1752" s="8"/>
      <c r="Q1752" s="8"/>
      <c r="R1752" s="8"/>
      <c r="S1752" s="8"/>
    </row>
    <row r="1753" spans="1:19" ht="15.75" customHeight="1">
      <c r="A1753" s="8">
        <v>246601689</v>
      </c>
      <c r="B1753" s="8" t="s">
        <v>8434</v>
      </c>
      <c r="C1753" s="8" t="s">
        <v>11289</v>
      </c>
      <c r="D1753" s="8" t="s">
        <v>6560</v>
      </c>
      <c r="E1753" s="9">
        <v>79632748880</v>
      </c>
      <c r="F1753" s="8"/>
      <c r="G1753" s="9"/>
      <c r="H1753" s="8" t="s">
        <v>8164</v>
      </c>
      <c r="I1753" s="8" t="s">
        <v>10992</v>
      </c>
      <c r="J1753" s="8"/>
      <c r="K1753" s="8"/>
      <c r="L1753" s="8"/>
      <c r="M1753" s="8"/>
      <c r="N1753" s="8"/>
      <c r="O1753" s="8"/>
      <c r="P1753" s="8"/>
      <c r="Q1753" s="8"/>
      <c r="R1753" s="8"/>
      <c r="S1753" s="8"/>
    </row>
    <row r="1754" spans="1:19" ht="15.75" customHeight="1">
      <c r="A1754" s="8">
        <v>246606447</v>
      </c>
      <c r="B1754" s="8" t="s">
        <v>8304</v>
      </c>
      <c r="C1754" s="8" t="s">
        <v>11290</v>
      </c>
      <c r="D1754" s="8" t="s">
        <v>6563</v>
      </c>
      <c r="E1754" s="9" t="s">
        <v>6564</v>
      </c>
      <c r="F1754" s="8"/>
      <c r="G1754" s="9"/>
      <c r="H1754" s="8" t="s">
        <v>8164</v>
      </c>
      <c r="I1754" s="8" t="s">
        <v>8245</v>
      </c>
      <c r="J1754" s="8"/>
      <c r="K1754" s="8"/>
      <c r="L1754" s="8"/>
      <c r="M1754" s="8"/>
      <c r="N1754" s="8"/>
      <c r="O1754" s="8"/>
      <c r="P1754" s="8"/>
      <c r="Q1754" s="8"/>
      <c r="R1754" s="8"/>
      <c r="S1754" s="8"/>
    </row>
    <row r="1755" spans="1:19" ht="15.75" customHeight="1">
      <c r="A1755" s="8">
        <v>246607661</v>
      </c>
      <c r="B1755" s="8" t="s">
        <v>7768</v>
      </c>
      <c r="C1755" s="8" t="s">
        <v>11291</v>
      </c>
      <c r="D1755" s="8" t="s">
        <v>6567</v>
      </c>
      <c r="E1755" s="9" t="s">
        <v>6568</v>
      </c>
      <c r="F1755" s="8"/>
      <c r="G1755" s="9"/>
      <c r="H1755" s="8" t="s">
        <v>8164</v>
      </c>
      <c r="I1755" s="8" t="s">
        <v>10091</v>
      </c>
      <c r="J1755" s="8"/>
      <c r="K1755" s="8"/>
      <c r="L1755" s="8"/>
      <c r="M1755" s="8"/>
      <c r="N1755" s="8"/>
      <c r="O1755" s="8"/>
      <c r="P1755" s="8"/>
      <c r="Q1755" s="8"/>
      <c r="R1755" s="8"/>
      <c r="S1755" s="8"/>
    </row>
    <row r="1756" spans="1:19" ht="15.75" customHeight="1">
      <c r="A1756" s="8">
        <v>246612944</v>
      </c>
      <c r="B1756" s="8" t="s">
        <v>7875</v>
      </c>
      <c r="C1756" s="8" t="s">
        <v>11292</v>
      </c>
      <c r="D1756" s="8" t="s">
        <v>6571</v>
      </c>
      <c r="E1756" s="9">
        <v>79997554050</v>
      </c>
      <c r="F1756" s="8"/>
      <c r="G1756" s="9"/>
      <c r="H1756" s="8" t="s">
        <v>8164</v>
      </c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</row>
    <row r="1757" spans="1:19" ht="15.75" customHeight="1">
      <c r="A1757" s="8">
        <v>246613999</v>
      </c>
      <c r="B1757" s="8" t="s">
        <v>8438</v>
      </c>
      <c r="C1757" s="8" t="s">
        <v>11293</v>
      </c>
      <c r="D1757" s="8" t="s">
        <v>6574</v>
      </c>
      <c r="E1757" s="9" t="s">
        <v>6575</v>
      </c>
      <c r="F1757" s="8"/>
      <c r="G1757" s="9"/>
      <c r="H1757" s="8" t="s">
        <v>8222</v>
      </c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</row>
    <row r="1758" spans="1:19" ht="15.75" customHeight="1">
      <c r="A1758" s="8">
        <v>246614535</v>
      </c>
      <c r="B1758" s="8" t="s">
        <v>8434</v>
      </c>
      <c r="C1758" s="8" t="s">
        <v>11294</v>
      </c>
      <c r="D1758" s="8" t="s">
        <v>6578</v>
      </c>
      <c r="E1758" s="9" t="s">
        <v>6579</v>
      </c>
      <c r="F1758" s="8"/>
      <c r="G1758" s="9"/>
      <c r="H1758" s="8" t="s">
        <v>8164</v>
      </c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</row>
    <row r="1759" spans="1:19" ht="15.75" customHeight="1">
      <c r="A1759" s="8">
        <v>246615501</v>
      </c>
      <c r="B1759" s="8" t="s">
        <v>8365</v>
      </c>
      <c r="C1759" s="8" t="s">
        <v>11295</v>
      </c>
      <c r="D1759" s="8" t="s">
        <v>6582</v>
      </c>
      <c r="E1759" s="9" t="s">
        <v>6583</v>
      </c>
      <c r="F1759" s="8" t="s">
        <v>11296</v>
      </c>
      <c r="G1759" s="9">
        <v>43</v>
      </c>
      <c r="H1759" s="8" t="s">
        <v>8164</v>
      </c>
      <c r="I1759" s="8" t="s">
        <v>9457</v>
      </c>
      <c r="J1759" s="8"/>
      <c r="K1759" s="8"/>
      <c r="L1759" s="8"/>
      <c r="M1759" s="8"/>
      <c r="N1759" s="8"/>
      <c r="O1759" s="8"/>
      <c r="P1759" s="8"/>
      <c r="Q1759" s="8"/>
      <c r="R1759" s="8"/>
      <c r="S1759" s="8"/>
    </row>
    <row r="1760" spans="1:19" ht="15.75" customHeight="1">
      <c r="A1760" s="8">
        <v>246618149</v>
      </c>
      <c r="B1760" s="8" t="s">
        <v>8304</v>
      </c>
      <c r="C1760" s="8" t="s">
        <v>8806</v>
      </c>
      <c r="D1760" s="8" t="s">
        <v>6586</v>
      </c>
      <c r="E1760" s="9">
        <v>79122204953</v>
      </c>
      <c r="F1760" s="8"/>
      <c r="G1760" s="9"/>
      <c r="H1760" s="8" t="s">
        <v>8164</v>
      </c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</row>
    <row r="1761" spans="1:19" ht="15.75" customHeight="1">
      <c r="A1761" s="8">
        <v>246627820</v>
      </c>
      <c r="B1761" s="8" t="s">
        <v>11297</v>
      </c>
      <c r="C1761" s="8" t="s">
        <v>10317</v>
      </c>
      <c r="D1761" s="8" t="s">
        <v>6589</v>
      </c>
      <c r="E1761" s="9" t="s">
        <v>6590</v>
      </c>
      <c r="F1761" s="8"/>
      <c r="G1761" s="9"/>
      <c r="H1761" s="8" t="s">
        <v>8164</v>
      </c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</row>
    <row r="1762" spans="1:19" ht="15.75" customHeight="1">
      <c r="A1762" s="8">
        <v>246630015</v>
      </c>
      <c r="B1762" s="8" t="s">
        <v>8431</v>
      </c>
      <c r="C1762" s="8" t="s">
        <v>11212</v>
      </c>
      <c r="D1762" s="8" t="s">
        <v>11298</v>
      </c>
      <c r="E1762" s="9">
        <v>79160536024</v>
      </c>
      <c r="F1762" s="8"/>
      <c r="G1762" s="9"/>
      <c r="H1762" s="8" t="s">
        <v>8164</v>
      </c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</row>
    <row r="1763" spans="1:19" ht="15.75" customHeight="1">
      <c r="A1763" s="8">
        <v>246630313</v>
      </c>
      <c r="B1763" s="8" t="s">
        <v>11299</v>
      </c>
      <c r="C1763" s="8" t="s">
        <v>11300</v>
      </c>
      <c r="D1763" s="8" t="s">
        <v>6595</v>
      </c>
      <c r="E1763" s="9">
        <v>79270892210</v>
      </c>
      <c r="F1763" s="8" t="s">
        <v>11301</v>
      </c>
      <c r="G1763" s="9">
        <v>46</v>
      </c>
      <c r="H1763" s="8" t="s">
        <v>8164</v>
      </c>
      <c r="I1763" s="8" t="s">
        <v>8707</v>
      </c>
      <c r="J1763" s="8"/>
      <c r="K1763" s="8"/>
      <c r="L1763" s="8"/>
      <c r="M1763" s="8"/>
      <c r="N1763" s="8"/>
      <c r="O1763" s="8"/>
      <c r="P1763" s="8"/>
      <c r="Q1763" s="8"/>
      <c r="R1763" s="8"/>
      <c r="S1763" s="8"/>
    </row>
    <row r="1764" spans="1:19" ht="15.75" customHeight="1">
      <c r="A1764" s="8">
        <v>246646742</v>
      </c>
      <c r="B1764" s="8" t="s">
        <v>8369</v>
      </c>
      <c r="C1764" s="8" t="s">
        <v>11302</v>
      </c>
      <c r="D1764" s="8" t="s">
        <v>6598</v>
      </c>
      <c r="E1764" s="9" t="s">
        <v>6599</v>
      </c>
      <c r="F1764" s="8"/>
      <c r="G1764" s="9"/>
      <c r="H1764" s="8" t="s">
        <v>8164</v>
      </c>
      <c r="I1764" s="8" t="s">
        <v>8245</v>
      </c>
      <c r="J1764" s="8"/>
      <c r="K1764" s="8"/>
      <c r="L1764" s="8"/>
      <c r="M1764" s="8"/>
      <c r="N1764" s="8"/>
      <c r="O1764" s="8"/>
      <c r="P1764" s="8"/>
      <c r="Q1764" s="8"/>
      <c r="R1764" s="8"/>
      <c r="S1764" s="8"/>
    </row>
    <row r="1765" spans="1:19" ht="15.75" customHeight="1">
      <c r="A1765" s="8">
        <v>246658600</v>
      </c>
      <c r="B1765" s="8" t="s">
        <v>8186</v>
      </c>
      <c r="C1765" s="8" t="s">
        <v>9299</v>
      </c>
      <c r="D1765" s="8" t="s">
        <v>6602</v>
      </c>
      <c r="E1765" s="9" t="s">
        <v>6603</v>
      </c>
      <c r="F1765" s="8"/>
      <c r="G1765" s="9"/>
      <c r="H1765" s="8" t="s">
        <v>8164</v>
      </c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</row>
    <row r="1766" spans="1:19" ht="15.75" customHeight="1">
      <c r="A1766" s="8">
        <v>246660292</v>
      </c>
      <c r="B1766" s="8" t="s">
        <v>8197</v>
      </c>
      <c r="C1766" s="8" t="s">
        <v>11303</v>
      </c>
      <c r="D1766" s="8" t="s">
        <v>6606</v>
      </c>
      <c r="E1766" s="9" t="s">
        <v>6607</v>
      </c>
      <c r="F1766" s="8" t="s">
        <v>11304</v>
      </c>
      <c r="G1766" s="9">
        <v>41</v>
      </c>
      <c r="H1766" s="8" t="s">
        <v>8164</v>
      </c>
      <c r="I1766" s="8" t="s">
        <v>11305</v>
      </c>
      <c r="J1766" s="8"/>
      <c r="K1766" s="8"/>
      <c r="L1766" s="8"/>
      <c r="M1766" s="8"/>
      <c r="N1766" s="8"/>
      <c r="O1766" s="8"/>
      <c r="P1766" s="8"/>
      <c r="Q1766" s="8"/>
      <c r="R1766" s="8"/>
      <c r="S1766" s="8"/>
    </row>
    <row r="1767" spans="1:19" ht="15.75" customHeight="1">
      <c r="A1767" s="8">
        <v>246665124</v>
      </c>
      <c r="B1767" s="8" t="s">
        <v>8434</v>
      </c>
      <c r="C1767" s="8" t="s">
        <v>11306</v>
      </c>
      <c r="D1767" s="8" t="s">
        <v>6610</v>
      </c>
      <c r="E1767" s="9" t="s">
        <v>6611</v>
      </c>
      <c r="F1767" s="8"/>
      <c r="G1767" s="9"/>
      <c r="H1767" s="8" t="s">
        <v>8164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</row>
    <row r="1768" spans="1:19" ht="15.75" customHeight="1">
      <c r="A1768" s="8">
        <v>246665350</v>
      </c>
      <c r="B1768" s="8" t="s">
        <v>8479</v>
      </c>
      <c r="C1768" s="8" t="s">
        <v>10072</v>
      </c>
      <c r="D1768" s="8" t="s">
        <v>6614</v>
      </c>
      <c r="E1768" s="9">
        <v>79144437086</v>
      </c>
      <c r="F1768" s="8"/>
      <c r="G1768" s="9"/>
      <c r="H1768" s="8" t="s">
        <v>8158</v>
      </c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</row>
    <row r="1769" spans="1:19" ht="15.75" customHeight="1">
      <c r="A1769" s="8">
        <v>246665449</v>
      </c>
      <c r="B1769" s="8" t="s">
        <v>11307</v>
      </c>
      <c r="C1769" s="8" t="s">
        <v>11308</v>
      </c>
      <c r="D1769" s="8" t="s">
        <v>6617</v>
      </c>
      <c r="E1769" s="9">
        <v>79002803158</v>
      </c>
      <c r="F1769" s="8" t="s">
        <v>11309</v>
      </c>
      <c r="G1769" s="9">
        <v>0</v>
      </c>
      <c r="H1769" s="8" t="s">
        <v>8164</v>
      </c>
      <c r="I1769" s="8" t="s">
        <v>11310</v>
      </c>
      <c r="J1769" s="8"/>
      <c r="K1769" s="8"/>
      <c r="L1769" s="8"/>
      <c r="M1769" s="8"/>
      <c r="N1769" s="8"/>
      <c r="O1769" s="8"/>
      <c r="P1769" s="8"/>
      <c r="Q1769" s="8"/>
      <c r="R1769" s="8"/>
      <c r="S1769" s="8"/>
    </row>
    <row r="1770" spans="1:19" ht="15.75" customHeight="1">
      <c r="A1770" s="8">
        <v>246667176</v>
      </c>
      <c r="B1770" s="8" t="s">
        <v>9358</v>
      </c>
      <c r="C1770" s="8" t="s">
        <v>11311</v>
      </c>
      <c r="D1770" s="8" t="s">
        <v>11312</v>
      </c>
      <c r="E1770" s="9" t="s">
        <v>11313</v>
      </c>
      <c r="F1770" s="8"/>
      <c r="G1770" s="9"/>
      <c r="H1770" s="8" t="s">
        <v>8164</v>
      </c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</row>
    <row r="1771" spans="1:19" ht="15.75" customHeight="1">
      <c r="A1771" s="8">
        <v>246669802</v>
      </c>
      <c r="B1771" s="8" t="s">
        <v>8479</v>
      </c>
      <c r="C1771" s="8" t="s">
        <v>11314</v>
      </c>
      <c r="D1771" s="8" t="s">
        <v>6620</v>
      </c>
      <c r="E1771" s="9">
        <v>79082703505</v>
      </c>
      <c r="F1771" s="8"/>
      <c r="G1771" s="9"/>
      <c r="H1771" s="8" t="s">
        <v>8164</v>
      </c>
      <c r="I1771" s="8" t="s">
        <v>11268</v>
      </c>
      <c r="J1771" s="8"/>
      <c r="K1771" s="8"/>
      <c r="L1771" s="8"/>
      <c r="M1771" s="8"/>
      <c r="N1771" s="8"/>
      <c r="O1771" s="8"/>
      <c r="P1771" s="8"/>
      <c r="Q1771" s="8"/>
      <c r="R1771" s="8"/>
      <c r="S1771" s="8"/>
    </row>
    <row r="1772" spans="1:19" ht="15.75" customHeight="1">
      <c r="A1772" s="8">
        <v>246673795</v>
      </c>
      <c r="B1772" s="8" t="s">
        <v>8304</v>
      </c>
      <c r="C1772" s="8" t="s">
        <v>11315</v>
      </c>
      <c r="D1772" s="8" t="s">
        <v>6623</v>
      </c>
      <c r="E1772" s="9" t="s">
        <v>6624</v>
      </c>
      <c r="F1772" s="8"/>
      <c r="G1772" s="9"/>
      <c r="H1772" s="8" t="s">
        <v>8600</v>
      </c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</row>
    <row r="1773" spans="1:19" ht="15.75" customHeight="1">
      <c r="A1773" s="8">
        <v>246702780</v>
      </c>
      <c r="B1773" s="8" t="s">
        <v>8643</v>
      </c>
      <c r="C1773" s="8" t="s">
        <v>9485</v>
      </c>
      <c r="D1773" s="8" t="s">
        <v>6627</v>
      </c>
      <c r="E1773" s="9">
        <v>79181741820</v>
      </c>
      <c r="F1773" s="8"/>
      <c r="G1773" s="9"/>
      <c r="H1773" s="8" t="s">
        <v>8164</v>
      </c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</row>
    <row r="1774" spans="1:19" ht="15.75" customHeight="1">
      <c r="A1774" s="8">
        <v>246720811</v>
      </c>
      <c r="B1774" s="8" t="s">
        <v>11316</v>
      </c>
      <c r="C1774" s="8" t="s">
        <v>11317</v>
      </c>
      <c r="D1774" s="8" t="s">
        <v>6630</v>
      </c>
      <c r="E1774" s="9">
        <v>79872840454</v>
      </c>
      <c r="F1774" s="8"/>
      <c r="G1774" s="9"/>
      <c r="H1774" s="8" t="s">
        <v>8164</v>
      </c>
      <c r="I1774" s="8" t="s">
        <v>9482</v>
      </c>
      <c r="J1774" s="8"/>
      <c r="K1774" s="8"/>
      <c r="L1774" s="8"/>
      <c r="M1774" s="8"/>
      <c r="N1774" s="8"/>
      <c r="O1774" s="8"/>
      <c r="P1774" s="8"/>
      <c r="Q1774" s="8"/>
      <c r="R1774" s="8"/>
      <c r="S1774" s="8"/>
    </row>
    <row r="1775" spans="1:19" ht="15.75" customHeight="1">
      <c r="A1775" s="8">
        <v>246732067</v>
      </c>
      <c r="B1775" s="8" t="s">
        <v>8197</v>
      </c>
      <c r="C1775" s="8" t="s">
        <v>9299</v>
      </c>
      <c r="D1775" s="8" t="s">
        <v>6633</v>
      </c>
      <c r="E1775" s="9" t="s">
        <v>6634</v>
      </c>
      <c r="F1775" s="8"/>
      <c r="G1775" s="9"/>
      <c r="H1775" s="8" t="s">
        <v>8164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</row>
    <row r="1776" spans="1:19" ht="15.75" customHeight="1">
      <c r="A1776" s="8">
        <v>246733218</v>
      </c>
      <c r="B1776" s="8" t="s">
        <v>9034</v>
      </c>
      <c r="C1776" s="8" t="s">
        <v>11318</v>
      </c>
      <c r="D1776" s="8" t="s">
        <v>11319</v>
      </c>
      <c r="E1776" s="9">
        <v>79514960519</v>
      </c>
      <c r="F1776" s="8"/>
      <c r="G1776" s="9"/>
      <c r="H1776" s="8" t="s">
        <v>8164</v>
      </c>
      <c r="I1776" s="8" t="s">
        <v>11211</v>
      </c>
      <c r="J1776" s="8"/>
      <c r="K1776" s="8"/>
      <c r="L1776" s="8"/>
      <c r="M1776" s="8"/>
      <c r="N1776" s="8"/>
      <c r="O1776" s="8"/>
      <c r="P1776" s="8"/>
      <c r="Q1776" s="8"/>
      <c r="R1776" s="8"/>
      <c r="S1776" s="8"/>
    </row>
    <row r="1777" spans="1:19" ht="15.75" customHeight="1">
      <c r="A1777" s="8">
        <v>246734420</v>
      </c>
      <c r="B1777" s="8" t="s">
        <v>11320</v>
      </c>
      <c r="C1777" s="8" t="s">
        <v>11321</v>
      </c>
      <c r="D1777" s="8" t="s">
        <v>6637</v>
      </c>
      <c r="E1777" s="9">
        <v>79064370440</v>
      </c>
      <c r="F1777" s="8"/>
      <c r="G1777" s="9"/>
      <c r="H1777" s="8" t="s">
        <v>8164</v>
      </c>
      <c r="I1777" s="8" t="s">
        <v>11322</v>
      </c>
      <c r="J1777" s="8"/>
      <c r="K1777" s="8"/>
      <c r="L1777" s="8"/>
      <c r="M1777" s="8"/>
      <c r="N1777" s="8"/>
      <c r="O1777" s="8"/>
      <c r="P1777" s="8"/>
      <c r="Q1777" s="8"/>
      <c r="R1777" s="8"/>
      <c r="S1777" s="8"/>
    </row>
    <row r="1778" spans="1:19" ht="15.75" customHeight="1">
      <c r="A1778" s="8">
        <v>246737204</v>
      </c>
      <c r="B1778" s="8" t="s">
        <v>11323</v>
      </c>
      <c r="C1778" s="8" t="s">
        <v>11324</v>
      </c>
      <c r="D1778" s="8" t="s">
        <v>6640</v>
      </c>
      <c r="E1778" s="9">
        <v>79821398992</v>
      </c>
      <c r="F1778" s="8"/>
      <c r="G1778" s="9"/>
      <c r="H1778" s="8" t="s">
        <v>8164</v>
      </c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</row>
    <row r="1779" spans="1:19" ht="15.75" customHeight="1">
      <c r="A1779" s="8">
        <v>246745449</v>
      </c>
      <c r="B1779" s="8" t="s">
        <v>8581</v>
      </c>
      <c r="C1779" s="8" t="s">
        <v>11325</v>
      </c>
      <c r="D1779" s="8" t="s">
        <v>6644</v>
      </c>
      <c r="E1779" s="9">
        <v>79655235508</v>
      </c>
      <c r="F1779" s="8"/>
      <c r="G1779" s="9"/>
      <c r="H1779" s="8" t="s">
        <v>8164</v>
      </c>
      <c r="I1779" s="8" t="s">
        <v>10992</v>
      </c>
      <c r="J1779" s="8"/>
      <c r="K1779" s="8"/>
      <c r="L1779" s="8"/>
      <c r="M1779" s="8"/>
      <c r="N1779" s="8"/>
      <c r="O1779" s="8"/>
      <c r="P1779" s="8"/>
      <c r="Q1779" s="8"/>
      <c r="R1779" s="8"/>
      <c r="S1779" s="8"/>
    </row>
    <row r="1780" spans="1:19" ht="15.75" customHeight="1">
      <c r="A1780" s="8">
        <v>246756476</v>
      </c>
      <c r="B1780" s="8" t="s">
        <v>8206</v>
      </c>
      <c r="C1780" s="8" t="s">
        <v>10814</v>
      </c>
      <c r="D1780" s="8" t="s">
        <v>6647</v>
      </c>
      <c r="E1780" s="9">
        <v>79202126196</v>
      </c>
      <c r="F1780" s="8"/>
      <c r="G1780" s="9"/>
      <c r="H1780" s="8" t="s">
        <v>8164</v>
      </c>
      <c r="I1780" s="8" t="s">
        <v>10277</v>
      </c>
      <c r="J1780" s="8"/>
      <c r="K1780" s="8"/>
      <c r="L1780" s="8"/>
      <c r="M1780" s="8"/>
      <c r="N1780" s="8"/>
      <c r="O1780" s="8"/>
      <c r="P1780" s="8"/>
      <c r="Q1780" s="8"/>
      <c r="R1780" s="8"/>
      <c r="S1780" s="8"/>
    </row>
    <row r="1781" spans="1:19" ht="15.75" customHeight="1">
      <c r="A1781" s="8">
        <v>246757049</v>
      </c>
      <c r="B1781" s="8" t="s">
        <v>9157</v>
      </c>
      <c r="C1781" s="8" t="s">
        <v>11326</v>
      </c>
      <c r="D1781" s="8" t="s">
        <v>6650</v>
      </c>
      <c r="E1781" s="9" t="s">
        <v>6651</v>
      </c>
      <c r="F1781" s="8" t="s">
        <v>11327</v>
      </c>
      <c r="G1781" s="9">
        <v>47</v>
      </c>
      <c r="H1781" s="8" t="s">
        <v>8158</v>
      </c>
      <c r="I1781" s="8" t="s">
        <v>11328</v>
      </c>
      <c r="J1781" s="8"/>
      <c r="K1781" s="8"/>
      <c r="L1781" s="8"/>
      <c r="M1781" s="8"/>
      <c r="N1781" s="8"/>
      <c r="O1781" s="8"/>
      <c r="P1781" s="8"/>
      <c r="Q1781" s="8"/>
      <c r="R1781" s="8"/>
      <c r="S1781" s="8"/>
    </row>
    <row r="1782" spans="1:19" ht="15.75" customHeight="1">
      <c r="A1782" s="8">
        <v>246804813</v>
      </c>
      <c r="B1782" s="8" t="s">
        <v>8206</v>
      </c>
      <c r="C1782" s="8" t="s">
        <v>8800</v>
      </c>
      <c r="D1782" s="8" t="s">
        <v>6653</v>
      </c>
      <c r="E1782" s="9">
        <v>79143579999</v>
      </c>
      <c r="F1782" s="8"/>
      <c r="G1782" s="9"/>
      <c r="H1782" s="8" t="s">
        <v>8164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</row>
    <row r="1783" spans="1:19" ht="15.75" customHeight="1">
      <c r="A1783" s="8">
        <v>246807537</v>
      </c>
      <c r="B1783" s="8" t="s">
        <v>8304</v>
      </c>
      <c r="C1783" s="8" t="s">
        <v>11049</v>
      </c>
      <c r="D1783" s="8" t="s">
        <v>6656</v>
      </c>
      <c r="E1783" s="9" t="s">
        <v>6657</v>
      </c>
      <c r="F1783" s="8" t="s">
        <v>11329</v>
      </c>
      <c r="G1783" s="9">
        <v>56</v>
      </c>
      <c r="H1783" s="8" t="s">
        <v>8164</v>
      </c>
      <c r="I1783" s="8" t="s">
        <v>9222</v>
      </c>
      <c r="J1783" s="8"/>
      <c r="K1783" s="8"/>
      <c r="L1783" s="8"/>
      <c r="M1783" s="8"/>
      <c r="N1783" s="8"/>
      <c r="O1783" s="8"/>
      <c r="P1783" s="8" t="s">
        <v>8171</v>
      </c>
      <c r="Q1783" s="8"/>
      <c r="R1783" s="8"/>
      <c r="S1783" s="8"/>
    </row>
    <row r="1784" spans="1:19" ht="15.75" customHeight="1">
      <c r="A1784" s="8">
        <v>246810550</v>
      </c>
      <c r="B1784" s="8" t="s">
        <v>7768</v>
      </c>
      <c r="C1784" s="8" t="s">
        <v>11330</v>
      </c>
      <c r="D1784" s="8" t="s">
        <v>6661</v>
      </c>
      <c r="E1784" s="9">
        <v>79167036699</v>
      </c>
      <c r="F1784" s="8"/>
      <c r="G1784" s="9"/>
      <c r="H1784" s="8" t="s">
        <v>8164</v>
      </c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</row>
    <row r="1785" spans="1:19" ht="15.75" customHeight="1">
      <c r="A1785" s="8">
        <v>246848689</v>
      </c>
      <c r="B1785" s="8" t="s">
        <v>8581</v>
      </c>
      <c r="C1785" s="8" t="s">
        <v>11331</v>
      </c>
      <c r="D1785" s="8" t="s">
        <v>6665</v>
      </c>
      <c r="E1785" s="9">
        <v>79671939811</v>
      </c>
      <c r="F1785" s="8"/>
      <c r="G1785" s="9"/>
      <c r="H1785" s="8" t="s">
        <v>8164</v>
      </c>
      <c r="I1785" s="8" t="s">
        <v>8245</v>
      </c>
      <c r="J1785" s="8"/>
      <c r="K1785" s="8"/>
      <c r="L1785" s="8"/>
      <c r="M1785" s="8"/>
      <c r="N1785" s="8"/>
      <c r="O1785" s="8"/>
      <c r="P1785" s="8"/>
      <c r="Q1785" s="8"/>
      <c r="R1785" s="8"/>
      <c r="S1785" s="8"/>
    </row>
    <row r="1786" spans="1:19" ht="15.75" customHeight="1">
      <c r="A1786" s="8">
        <v>246867770</v>
      </c>
      <c r="B1786" s="8" t="s">
        <v>7768</v>
      </c>
      <c r="C1786" s="8" t="s">
        <v>9548</v>
      </c>
      <c r="D1786" s="8" t="s">
        <v>6668</v>
      </c>
      <c r="E1786" s="9">
        <v>79170445016</v>
      </c>
      <c r="F1786" s="8"/>
      <c r="G1786" s="9"/>
      <c r="H1786" s="8" t="s">
        <v>8164</v>
      </c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</row>
    <row r="1787" spans="1:19" ht="15.75" customHeight="1">
      <c r="A1787" s="8">
        <v>246910046</v>
      </c>
      <c r="B1787" s="8" t="s">
        <v>10560</v>
      </c>
      <c r="C1787" s="8" t="s">
        <v>11332</v>
      </c>
      <c r="D1787" s="8" t="s">
        <v>6671</v>
      </c>
      <c r="E1787" s="9">
        <v>87776104857</v>
      </c>
      <c r="F1787" s="8"/>
      <c r="G1787" s="9"/>
      <c r="H1787" s="8" t="s">
        <v>8241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</row>
    <row r="1788" spans="1:19" ht="15.75" customHeight="1">
      <c r="A1788" s="8">
        <v>246943214</v>
      </c>
      <c r="B1788" s="8" t="s">
        <v>8581</v>
      </c>
      <c r="C1788" s="8" t="s">
        <v>11333</v>
      </c>
      <c r="D1788" s="8" t="s">
        <v>6674</v>
      </c>
      <c r="E1788" s="9" t="s">
        <v>6675</v>
      </c>
      <c r="F1788" s="8"/>
      <c r="G1788" s="9"/>
      <c r="H1788" s="8" t="s">
        <v>8164</v>
      </c>
      <c r="I1788" s="8" t="s">
        <v>8165</v>
      </c>
      <c r="J1788" s="8" t="s">
        <v>11334</v>
      </c>
      <c r="K1788" s="8"/>
      <c r="L1788" s="8"/>
      <c r="M1788" s="8"/>
      <c r="N1788" s="8"/>
      <c r="O1788" s="8"/>
      <c r="P1788" s="8"/>
      <c r="Q1788" s="8"/>
      <c r="R1788" s="8"/>
      <c r="S1788" s="8"/>
    </row>
    <row r="1789" spans="1:19" ht="15.75" customHeight="1">
      <c r="A1789" s="8">
        <v>246954820</v>
      </c>
      <c r="B1789" s="8" t="s">
        <v>11335</v>
      </c>
      <c r="C1789" s="8" t="s">
        <v>11336</v>
      </c>
      <c r="D1789" s="8" t="s">
        <v>6678</v>
      </c>
      <c r="E1789" s="9">
        <v>674551707</v>
      </c>
      <c r="F1789" s="8"/>
      <c r="G1789" s="9"/>
      <c r="H1789" s="8" t="s">
        <v>8547</v>
      </c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</row>
    <row r="1790" spans="1:19" ht="15.75" customHeight="1">
      <c r="A1790" s="8">
        <v>246966144</v>
      </c>
      <c r="B1790" s="8" t="s">
        <v>8643</v>
      </c>
      <c r="C1790" s="8" t="s">
        <v>11337</v>
      </c>
      <c r="D1790" s="8" t="s">
        <v>6681</v>
      </c>
      <c r="E1790" s="9" t="s">
        <v>6682</v>
      </c>
      <c r="F1790" s="8"/>
      <c r="G1790" s="9"/>
      <c r="H1790" s="8" t="s">
        <v>8164</v>
      </c>
      <c r="I1790" s="8" t="s">
        <v>8245</v>
      </c>
      <c r="J1790" s="8"/>
      <c r="K1790" s="8"/>
      <c r="L1790" s="8"/>
      <c r="M1790" s="8"/>
      <c r="N1790" s="8"/>
      <c r="O1790" s="8"/>
      <c r="P1790" s="8"/>
      <c r="Q1790" s="8"/>
      <c r="R1790" s="8"/>
      <c r="S1790" s="8"/>
    </row>
    <row r="1791" spans="1:19" ht="15.75" customHeight="1">
      <c r="A1791" s="8">
        <v>247047826</v>
      </c>
      <c r="B1791" s="8" t="s">
        <v>8966</v>
      </c>
      <c r="C1791" s="8" t="s">
        <v>8432</v>
      </c>
      <c r="D1791" s="8" t="s">
        <v>6686</v>
      </c>
      <c r="E1791" s="9">
        <v>79111570570</v>
      </c>
      <c r="F1791" s="8"/>
      <c r="G1791" s="9"/>
      <c r="H1791" s="8" t="s">
        <v>8164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</row>
    <row r="1792" spans="1:19" ht="15.75" customHeight="1">
      <c r="A1792" s="8">
        <v>247060530</v>
      </c>
      <c r="B1792" s="8" t="s">
        <v>11338</v>
      </c>
      <c r="C1792" s="8" t="s">
        <v>9303</v>
      </c>
      <c r="D1792" s="8" t="s">
        <v>6689</v>
      </c>
      <c r="E1792" s="9" t="s">
        <v>6690</v>
      </c>
      <c r="F1792" s="8"/>
      <c r="G1792" s="9"/>
      <c r="H1792" s="8" t="s">
        <v>8164</v>
      </c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</row>
    <row r="1793" spans="1:19" ht="15.75" customHeight="1">
      <c r="A1793" s="8">
        <v>247067266</v>
      </c>
      <c r="B1793" s="8" t="s">
        <v>8279</v>
      </c>
      <c r="C1793" s="8" t="s">
        <v>8863</v>
      </c>
      <c r="D1793" s="8" t="s">
        <v>6693</v>
      </c>
      <c r="E1793" s="9" t="s">
        <v>6694</v>
      </c>
      <c r="F1793" s="8"/>
      <c r="G1793" s="9"/>
      <c r="H1793" s="8" t="s">
        <v>8267</v>
      </c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</row>
    <row r="1794" spans="1:19" ht="15.75" customHeight="1">
      <c r="A1794" s="8">
        <v>247070364</v>
      </c>
      <c r="B1794" s="8" t="s">
        <v>11339</v>
      </c>
      <c r="C1794" s="8" t="s">
        <v>11340</v>
      </c>
      <c r="D1794" s="8" t="s">
        <v>6697</v>
      </c>
      <c r="E1794" s="9" t="s">
        <v>6698</v>
      </c>
      <c r="F1794" s="8"/>
      <c r="G1794" s="9"/>
      <c r="H1794" s="8" t="s">
        <v>8222</v>
      </c>
      <c r="I1794" s="8" t="s">
        <v>8412</v>
      </c>
      <c r="J1794" s="8"/>
      <c r="K1794" s="8"/>
      <c r="L1794" s="8"/>
      <c r="M1794" s="8"/>
      <c r="N1794" s="8"/>
      <c r="O1794" s="8"/>
      <c r="P1794" s="8"/>
      <c r="Q1794" s="8"/>
      <c r="R1794" s="8"/>
      <c r="S1794" s="8"/>
    </row>
    <row r="1795" spans="1:19" ht="15.75" customHeight="1">
      <c r="A1795" s="8">
        <v>247070759</v>
      </c>
      <c r="B1795" s="8" t="s">
        <v>8643</v>
      </c>
      <c r="C1795" s="8" t="s">
        <v>11341</v>
      </c>
      <c r="D1795" s="8" t="s">
        <v>6701</v>
      </c>
      <c r="E1795" s="9">
        <v>79781369224</v>
      </c>
      <c r="F1795" s="8"/>
      <c r="G1795" s="9"/>
      <c r="H1795" s="8" t="s">
        <v>8267</v>
      </c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</row>
    <row r="1796" spans="1:19" ht="15.75" customHeight="1">
      <c r="A1796" s="8">
        <v>247071171</v>
      </c>
      <c r="B1796" s="8" t="s">
        <v>8365</v>
      </c>
      <c r="C1796" s="8" t="s">
        <v>11342</v>
      </c>
      <c r="D1796" s="8" t="s">
        <v>6704</v>
      </c>
      <c r="E1796" s="9" t="s">
        <v>6705</v>
      </c>
      <c r="F1796" s="8"/>
      <c r="G1796" s="9"/>
      <c r="H1796" s="8" t="s">
        <v>8164</v>
      </c>
      <c r="I1796" s="8" t="s">
        <v>11343</v>
      </c>
      <c r="J1796" s="8"/>
      <c r="K1796" s="8"/>
      <c r="L1796" s="8"/>
      <c r="M1796" s="8"/>
      <c r="N1796" s="8"/>
      <c r="O1796" s="8"/>
      <c r="P1796" s="8"/>
      <c r="Q1796" s="8"/>
      <c r="R1796" s="8"/>
      <c r="S1796" s="8"/>
    </row>
    <row r="1797" spans="1:19" ht="15.75" customHeight="1">
      <c r="A1797" s="8">
        <v>247078456</v>
      </c>
      <c r="B1797" s="8" t="s">
        <v>8206</v>
      </c>
      <c r="C1797" s="8" t="s">
        <v>11344</v>
      </c>
      <c r="D1797" s="8" t="s">
        <v>6708</v>
      </c>
      <c r="E1797" s="9">
        <v>79514104048</v>
      </c>
      <c r="F1797" s="8"/>
      <c r="G1797" s="9"/>
      <c r="H1797" s="8" t="s">
        <v>8164</v>
      </c>
      <c r="I1797" s="8" t="s">
        <v>11345</v>
      </c>
      <c r="J1797" s="8"/>
      <c r="K1797" s="8"/>
      <c r="L1797" s="8"/>
      <c r="M1797" s="8"/>
      <c r="N1797" s="8"/>
      <c r="O1797" s="8"/>
      <c r="P1797" s="8"/>
      <c r="Q1797" s="8"/>
      <c r="R1797" s="8"/>
      <c r="S1797" s="8"/>
    </row>
    <row r="1798" spans="1:19" ht="15.75" customHeight="1">
      <c r="A1798" s="8">
        <v>247080453</v>
      </c>
      <c r="B1798" s="8" t="s">
        <v>11346</v>
      </c>
      <c r="C1798" s="8" t="s">
        <v>11347</v>
      </c>
      <c r="D1798" s="8" t="s">
        <v>6711</v>
      </c>
      <c r="E1798" s="9" t="s">
        <v>6712</v>
      </c>
      <c r="F1798" s="8"/>
      <c r="G1798" s="9"/>
      <c r="H1798" s="8" t="s">
        <v>8164</v>
      </c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</row>
    <row r="1799" spans="1:19" ht="15.75" customHeight="1">
      <c r="A1799" s="8">
        <v>247084420</v>
      </c>
      <c r="B1799" s="8" t="s">
        <v>8434</v>
      </c>
      <c r="C1799" s="8" t="s">
        <v>11348</v>
      </c>
      <c r="D1799" s="8" t="s">
        <v>6715</v>
      </c>
      <c r="E1799" s="9" t="s">
        <v>6716</v>
      </c>
      <c r="F1799" s="8" t="s">
        <v>11349</v>
      </c>
      <c r="G1799" s="9">
        <v>29</v>
      </c>
      <c r="H1799" s="8" t="s">
        <v>8267</v>
      </c>
      <c r="I1799" s="8" t="s">
        <v>11350</v>
      </c>
      <c r="J1799" s="8"/>
      <c r="K1799" s="8"/>
      <c r="L1799" s="8"/>
      <c r="M1799" s="8"/>
      <c r="N1799" s="8"/>
      <c r="O1799" s="8"/>
      <c r="P1799" s="8"/>
      <c r="Q1799" s="8"/>
      <c r="R1799" s="8"/>
      <c r="S1799" s="8"/>
    </row>
    <row r="1800" spans="1:19" ht="15.75" customHeight="1">
      <c r="A1800" s="8">
        <v>247084951</v>
      </c>
      <c r="B1800" s="8" t="s">
        <v>8352</v>
      </c>
      <c r="C1800" s="8" t="s">
        <v>11351</v>
      </c>
      <c r="D1800" s="8" t="s">
        <v>6719</v>
      </c>
      <c r="E1800" s="9">
        <v>79235749363</v>
      </c>
      <c r="F1800" s="8"/>
      <c r="G1800" s="9"/>
      <c r="H1800" s="8" t="s">
        <v>8164</v>
      </c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</row>
    <row r="1801" spans="1:19" ht="15.75" customHeight="1">
      <c r="A1801" s="8">
        <v>247089240</v>
      </c>
      <c r="B1801" s="8" t="s">
        <v>8444</v>
      </c>
      <c r="C1801" s="8" t="s">
        <v>11352</v>
      </c>
      <c r="D1801" s="8" t="s">
        <v>6722</v>
      </c>
      <c r="E1801" s="9" t="s">
        <v>6723</v>
      </c>
      <c r="F1801" s="8"/>
      <c r="G1801" s="9"/>
      <c r="H1801" s="8" t="s">
        <v>8164</v>
      </c>
      <c r="I1801" s="8" t="s">
        <v>10721</v>
      </c>
      <c r="J1801" s="8"/>
      <c r="K1801" s="8"/>
      <c r="L1801" s="8"/>
      <c r="M1801" s="8"/>
      <c r="N1801" s="8"/>
      <c r="O1801" s="8"/>
      <c r="P1801" s="8"/>
      <c r="Q1801" s="8"/>
      <c r="R1801" s="8"/>
      <c r="S1801" s="8"/>
    </row>
    <row r="1802" spans="1:19" ht="15.75" customHeight="1">
      <c r="A1802" s="8">
        <v>247091087</v>
      </c>
      <c r="B1802" s="8" t="s">
        <v>9155</v>
      </c>
      <c r="C1802" s="8" t="s">
        <v>9595</v>
      </c>
      <c r="D1802" s="8" t="s">
        <v>6726</v>
      </c>
      <c r="E1802" s="9">
        <v>13103081383</v>
      </c>
      <c r="F1802" s="8"/>
      <c r="G1802" s="9"/>
      <c r="H1802" s="8" t="s">
        <v>8158</v>
      </c>
      <c r="I1802" s="8" t="s">
        <v>11353</v>
      </c>
      <c r="J1802" s="8"/>
      <c r="K1802" s="8"/>
      <c r="L1802" s="8"/>
      <c r="M1802" s="8"/>
      <c r="N1802" s="8"/>
      <c r="O1802" s="8"/>
      <c r="P1802" s="8"/>
      <c r="Q1802" s="8"/>
      <c r="R1802" s="8"/>
      <c r="S1802" s="8"/>
    </row>
    <row r="1803" spans="1:19" ht="15.75" customHeight="1">
      <c r="A1803" s="8">
        <v>247091726</v>
      </c>
      <c r="B1803" s="8" t="s">
        <v>8373</v>
      </c>
      <c r="C1803" s="8" t="s">
        <v>11354</v>
      </c>
      <c r="D1803" s="8" t="s">
        <v>6729</v>
      </c>
      <c r="E1803" s="9">
        <v>375298631529</v>
      </c>
      <c r="F1803" s="8"/>
      <c r="G1803" s="9"/>
      <c r="H1803" s="8" t="s">
        <v>8222</v>
      </c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</row>
    <row r="1804" spans="1:19" ht="15.75" customHeight="1">
      <c r="A1804" s="8">
        <v>247098502</v>
      </c>
      <c r="B1804" s="8" t="s">
        <v>7919</v>
      </c>
      <c r="C1804" s="8" t="s">
        <v>11355</v>
      </c>
      <c r="D1804" s="8" t="s">
        <v>6732</v>
      </c>
      <c r="E1804" s="9" t="s">
        <v>6733</v>
      </c>
      <c r="F1804" s="8"/>
      <c r="G1804" s="9"/>
      <c r="H1804" s="8" t="s">
        <v>8164</v>
      </c>
      <c r="I1804" s="8" t="s">
        <v>11356</v>
      </c>
      <c r="J1804" s="8"/>
      <c r="K1804" s="8"/>
      <c r="L1804" s="8"/>
      <c r="M1804" s="8"/>
      <c r="N1804" s="8"/>
      <c r="O1804" s="8"/>
      <c r="P1804" s="8"/>
      <c r="Q1804" s="8"/>
      <c r="R1804" s="8"/>
      <c r="S1804" s="8"/>
    </row>
    <row r="1805" spans="1:19" ht="15.75" customHeight="1">
      <c r="A1805" s="8">
        <v>247103689</v>
      </c>
      <c r="B1805" s="8" t="s">
        <v>10452</v>
      </c>
      <c r="C1805" s="8" t="s">
        <v>11357</v>
      </c>
      <c r="D1805" s="8" t="s">
        <v>6736</v>
      </c>
      <c r="E1805" s="9" t="s">
        <v>6737</v>
      </c>
      <c r="F1805" s="8"/>
      <c r="G1805" s="9"/>
      <c r="H1805" s="8" t="s">
        <v>8463</v>
      </c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</row>
    <row r="1806" spans="1:19" ht="15.75" customHeight="1">
      <c r="A1806" s="8">
        <v>247128017</v>
      </c>
      <c r="B1806" s="8" t="s">
        <v>9157</v>
      </c>
      <c r="C1806" s="8" t="s">
        <v>11358</v>
      </c>
      <c r="D1806" s="8" t="s">
        <v>6740</v>
      </c>
      <c r="E1806" s="9" t="s">
        <v>6741</v>
      </c>
      <c r="F1806" s="8"/>
      <c r="G1806" s="9"/>
      <c r="H1806" s="8" t="s">
        <v>8222</v>
      </c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</row>
    <row r="1807" spans="1:19" ht="15.75" customHeight="1">
      <c r="A1807" s="8">
        <v>247128947</v>
      </c>
      <c r="B1807" s="8" t="s">
        <v>8283</v>
      </c>
      <c r="C1807" s="8" t="s">
        <v>11359</v>
      </c>
      <c r="D1807" s="8" t="s">
        <v>6744</v>
      </c>
      <c r="E1807" s="9">
        <v>79031930091</v>
      </c>
      <c r="F1807" s="8"/>
      <c r="G1807" s="9"/>
      <c r="H1807" s="8" t="s">
        <v>8164</v>
      </c>
      <c r="I1807" s="8" t="s">
        <v>8245</v>
      </c>
      <c r="J1807" s="8"/>
      <c r="K1807" s="8"/>
      <c r="L1807" s="8"/>
      <c r="M1807" s="8"/>
      <c r="N1807" s="8"/>
      <c r="O1807" s="8"/>
      <c r="P1807" s="8"/>
      <c r="Q1807" s="8"/>
      <c r="R1807" s="8"/>
      <c r="S1807" s="8"/>
    </row>
    <row r="1808" spans="1:19" ht="15.75" customHeight="1">
      <c r="A1808" s="8">
        <v>247137990</v>
      </c>
      <c r="B1808" s="8" t="s">
        <v>8697</v>
      </c>
      <c r="C1808" s="8" t="s">
        <v>11360</v>
      </c>
      <c r="D1808" s="8" t="s">
        <v>6747</v>
      </c>
      <c r="E1808" s="9">
        <v>87771616012</v>
      </c>
      <c r="F1808" s="8"/>
      <c r="G1808" s="9"/>
      <c r="H1808" s="8" t="s">
        <v>8241</v>
      </c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</row>
    <row r="1809" spans="1:19" ht="15.75" customHeight="1">
      <c r="A1809" s="8">
        <v>247139447</v>
      </c>
      <c r="B1809" s="8" t="s">
        <v>8717</v>
      </c>
      <c r="C1809" s="8" t="s">
        <v>11361</v>
      </c>
      <c r="D1809" s="8" t="s">
        <v>6750</v>
      </c>
      <c r="E1809" s="9">
        <v>79297921406</v>
      </c>
      <c r="F1809" s="8" t="s">
        <v>9761</v>
      </c>
      <c r="G1809" s="9">
        <v>41</v>
      </c>
      <c r="H1809" s="8" t="s">
        <v>8164</v>
      </c>
      <c r="I1809" s="8" t="s">
        <v>11362</v>
      </c>
      <c r="J1809" s="8"/>
      <c r="K1809" s="8"/>
      <c r="L1809" s="8"/>
      <c r="M1809" s="8"/>
      <c r="N1809" s="8"/>
      <c r="O1809" s="8"/>
      <c r="P1809" s="8"/>
      <c r="Q1809" s="8"/>
      <c r="R1809" s="8"/>
      <c r="S1809" s="8"/>
    </row>
    <row r="1810" spans="1:19" ht="15.75" customHeight="1">
      <c r="A1810" s="8">
        <v>247139694</v>
      </c>
      <c r="B1810" s="8" t="s">
        <v>11363</v>
      </c>
      <c r="C1810" s="8" t="s">
        <v>11364</v>
      </c>
      <c r="D1810" s="8" t="s">
        <v>6753</v>
      </c>
      <c r="E1810" s="9" t="s">
        <v>6754</v>
      </c>
      <c r="F1810" s="8"/>
      <c r="G1810" s="9"/>
      <c r="H1810" s="8" t="s">
        <v>8595</v>
      </c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</row>
    <row r="1811" spans="1:19" ht="15.75" customHeight="1">
      <c r="A1811" s="8">
        <v>247144185</v>
      </c>
      <c r="B1811" s="8" t="s">
        <v>8577</v>
      </c>
      <c r="C1811" s="8" t="s">
        <v>11049</v>
      </c>
      <c r="D1811" s="8" t="s">
        <v>6757</v>
      </c>
      <c r="E1811" s="9" t="s">
        <v>6758</v>
      </c>
      <c r="F1811" s="8"/>
      <c r="G1811" s="9"/>
      <c r="H1811" s="8" t="s">
        <v>8164</v>
      </c>
      <c r="I1811" s="8" t="s">
        <v>11365</v>
      </c>
      <c r="J1811" s="8"/>
      <c r="K1811" s="8"/>
      <c r="L1811" s="8"/>
      <c r="M1811" s="8"/>
      <c r="N1811" s="8"/>
      <c r="O1811" s="8"/>
      <c r="P1811" s="8"/>
      <c r="Q1811" s="8"/>
      <c r="R1811" s="8"/>
      <c r="S1811" s="8"/>
    </row>
    <row r="1812" spans="1:19" ht="15.75" customHeight="1">
      <c r="A1812" s="8">
        <v>247145761</v>
      </c>
      <c r="B1812" s="8" t="s">
        <v>11366</v>
      </c>
      <c r="C1812" s="8" t="s">
        <v>11367</v>
      </c>
      <c r="D1812" s="8" t="s">
        <v>6762</v>
      </c>
      <c r="E1812" s="9">
        <v>79648828313</v>
      </c>
      <c r="F1812" s="8"/>
      <c r="G1812" s="9"/>
      <c r="H1812" s="8" t="s">
        <v>8164</v>
      </c>
      <c r="I1812" s="8" t="s">
        <v>10940</v>
      </c>
      <c r="J1812" s="8"/>
      <c r="K1812" s="8"/>
      <c r="L1812" s="8"/>
      <c r="M1812" s="8"/>
      <c r="N1812" s="8"/>
      <c r="O1812" s="8"/>
      <c r="P1812" s="8"/>
      <c r="Q1812" s="8"/>
      <c r="R1812" s="8"/>
      <c r="S1812" s="8"/>
    </row>
    <row r="1813" spans="1:19" ht="15.75" customHeight="1">
      <c r="A1813" s="8">
        <v>247153240</v>
      </c>
      <c r="B1813" s="8" t="s">
        <v>8866</v>
      </c>
      <c r="C1813" s="8" t="s">
        <v>9609</v>
      </c>
      <c r="D1813" s="8" t="s">
        <v>6765</v>
      </c>
      <c r="E1813" s="9" t="s">
        <v>6766</v>
      </c>
      <c r="F1813" s="8"/>
      <c r="G1813" s="9"/>
      <c r="H1813" s="8" t="s">
        <v>11368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</row>
    <row r="1814" spans="1:19" ht="15.75" customHeight="1">
      <c r="A1814" s="8">
        <v>247157442</v>
      </c>
      <c r="B1814" s="8" t="s">
        <v>8969</v>
      </c>
      <c r="C1814" s="8" t="s">
        <v>11369</v>
      </c>
      <c r="D1814" s="8" t="s">
        <v>6769</v>
      </c>
      <c r="E1814" s="9" t="s">
        <v>6770</v>
      </c>
      <c r="F1814" s="8"/>
      <c r="G1814" s="9"/>
      <c r="H1814" s="8" t="s">
        <v>8522</v>
      </c>
      <c r="I1814" s="8" t="s">
        <v>11370</v>
      </c>
      <c r="J1814" s="8"/>
      <c r="K1814" s="8"/>
      <c r="L1814" s="8"/>
      <c r="M1814" s="8"/>
      <c r="N1814" s="8"/>
      <c r="O1814" s="8"/>
      <c r="P1814" s="8"/>
      <c r="Q1814" s="8"/>
      <c r="R1814" s="8"/>
      <c r="S1814" s="8"/>
    </row>
    <row r="1815" spans="1:19" ht="15.75" customHeight="1">
      <c r="A1815" s="8">
        <v>247163524</v>
      </c>
      <c r="B1815" s="8" t="s">
        <v>11371</v>
      </c>
      <c r="C1815" s="8" t="s">
        <v>11372</v>
      </c>
      <c r="D1815" s="8" t="s">
        <v>6773</v>
      </c>
      <c r="E1815" s="9">
        <v>87712423307</v>
      </c>
      <c r="F1815" s="8"/>
      <c r="G1815" s="9"/>
      <c r="H1815" s="8" t="s">
        <v>8241</v>
      </c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</row>
    <row r="1816" spans="1:19" ht="15.75" customHeight="1">
      <c r="A1816" s="8">
        <v>247167367</v>
      </c>
      <c r="B1816" s="8" t="s">
        <v>11373</v>
      </c>
      <c r="C1816" s="8" t="s">
        <v>11374</v>
      </c>
      <c r="D1816" s="8" t="s">
        <v>6776</v>
      </c>
      <c r="E1816" s="9">
        <v>514195994</v>
      </c>
      <c r="F1816" s="8"/>
      <c r="G1816" s="9"/>
      <c r="H1816" s="8" t="s">
        <v>8522</v>
      </c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</row>
    <row r="1817" spans="1:19" ht="15.75" customHeight="1">
      <c r="A1817" s="8">
        <v>247172554</v>
      </c>
      <c r="B1817" s="8" t="s">
        <v>11375</v>
      </c>
      <c r="C1817" s="8" t="s">
        <v>11376</v>
      </c>
      <c r="D1817" s="8" t="s">
        <v>11377</v>
      </c>
      <c r="E1817" s="9">
        <v>87027491080</v>
      </c>
      <c r="F1817" s="8"/>
      <c r="G1817" s="9"/>
      <c r="H1817" s="8" t="s">
        <v>8241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</row>
    <row r="1818" spans="1:19" ht="15.75" customHeight="1">
      <c r="A1818" s="8">
        <v>247180186</v>
      </c>
      <c r="B1818" s="8" t="s">
        <v>11378</v>
      </c>
      <c r="C1818" s="8" t="s">
        <v>11379</v>
      </c>
      <c r="D1818" s="8" t="s">
        <v>6779</v>
      </c>
      <c r="E1818" s="9">
        <v>974406886</v>
      </c>
      <c r="F1818" s="8"/>
      <c r="G1818" s="9"/>
      <c r="H1818" s="8" t="s">
        <v>8463</v>
      </c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</row>
    <row r="1819" spans="1:19" ht="15.75" customHeight="1">
      <c r="A1819" s="8">
        <v>247196584</v>
      </c>
      <c r="B1819" s="8" t="s">
        <v>8717</v>
      </c>
      <c r="C1819" s="8" t="s">
        <v>10945</v>
      </c>
      <c r="D1819" s="8" t="s">
        <v>6782</v>
      </c>
      <c r="E1819" s="9" t="s">
        <v>6783</v>
      </c>
      <c r="F1819" s="8"/>
      <c r="G1819" s="9"/>
      <c r="H1819" s="8" t="s">
        <v>8222</v>
      </c>
      <c r="I1819" s="8" t="s">
        <v>8412</v>
      </c>
      <c r="J1819" s="8"/>
      <c r="K1819" s="8"/>
      <c r="L1819" s="8"/>
      <c r="M1819" s="8"/>
      <c r="N1819" s="8"/>
      <c r="O1819" s="8"/>
      <c r="P1819" s="8"/>
      <c r="Q1819" s="8"/>
      <c r="R1819" s="8"/>
      <c r="S1819" s="8"/>
    </row>
    <row r="1820" spans="1:19" ht="15.75" customHeight="1">
      <c r="A1820" s="8">
        <v>247228656</v>
      </c>
      <c r="B1820" s="8" t="s">
        <v>8277</v>
      </c>
      <c r="C1820" s="8" t="s">
        <v>11380</v>
      </c>
      <c r="D1820" s="8" t="s">
        <v>6786</v>
      </c>
      <c r="E1820" s="9" t="s">
        <v>6787</v>
      </c>
      <c r="F1820" s="8" t="s">
        <v>11381</v>
      </c>
      <c r="G1820" s="9">
        <v>41</v>
      </c>
      <c r="H1820" s="8" t="s">
        <v>8222</v>
      </c>
      <c r="I1820" s="8" t="s">
        <v>8412</v>
      </c>
      <c r="J1820" s="8"/>
      <c r="K1820" s="8"/>
      <c r="L1820" s="8"/>
      <c r="M1820" s="8"/>
      <c r="N1820" s="8"/>
      <c r="O1820" s="8"/>
      <c r="P1820" s="8"/>
      <c r="Q1820" s="8"/>
      <c r="R1820" s="8"/>
      <c r="S1820" s="8"/>
    </row>
    <row r="1821" spans="1:19" ht="15.75" customHeight="1">
      <c r="A1821" s="8">
        <v>247228778</v>
      </c>
      <c r="B1821" s="8" t="s">
        <v>8619</v>
      </c>
      <c r="C1821" s="8" t="s">
        <v>11382</v>
      </c>
      <c r="D1821" s="8" t="s">
        <v>6790</v>
      </c>
      <c r="E1821" s="9" t="s">
        <v>6791</v>
      </c>
      <c r="F1821" s="8"/>
      <c r="G1821" s="9"/>
      <c r="H1821" s="8" t="s">
        <v>8164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</row>
    <row r="1822" spans="1:19" ht="15.75" customHeight="1">
      <c r="A1822" s="8">
        <v>247229308</v>
      </c>
      <c r="B1822" s="8" t="s">
        <v>8365</v>
      </c>
      <c r="C1822" s="8" t="s">
        <v>11383</v>
      </c>
      <c r="D1822" s="8" t="s">
        <v>6794</v>
      </c>
      <c r="E1822" s="9" t="s">
        <v>6795</v>
      </c>
      <c r="F1822" s="8"/>
      <c r="G1822" s="9"/>
      <c r="H1822" s="8" t="s">
        <v>8222</v>
      </c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</row>
    <row r="1823" spans="1:19" ht="15.75" customHeight="1">
      <c r="A1823" s="8">
        <v>247230718</v>
      </c>
      <c r="B1823" s="8" t="s">
        <v>10507</v>
      </c>
      <c r="C1823" s="8" t="s">
        <v>11384</v>
      </c>
      <c r="D1823" s="8" t="s">
        <v>6798</v>
      </c>
      <c r="E1823" s="9">
        <v>87051610734</v>
      </c>
      <c r="F1823" s="8"/>
      <c r="G1823" s="9"/>
      <c r="H1823" s="8" t="s">
        <v>8241</v>
      </c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</row>
    <row r="1824" spans="1:19" ht="15.75" customHeight="1">
      <c r="A1824" s="8">
        <v>247232396</v>
      </c>
      <c r="B1824" s="8" t="s">
        <v>11385</v>
      </c>
      <c r="C1824" s="8" t="s">
        <v>9145</v>
      </c>
      <c r="D1824" s="8" t="s">
        <v>6801</v>
      </c>
      <c r="E1824" s="9">
        <v>79212267888</v>
      </c>
      <c r="F1824" s="8"/>
      <c r="G1824" s="9"/>
      <c r="H1824" s="8" t="s">
        <v>8164</v>
      </c>
      <c r="I1824" s="8" t="s">
        <v>8642</v>
      </c>
      <c r="J1824" s="8"/>
      <c r="K1824" s="8"/>
      <c r="L1824" s="8"/>
      <c r="M1824" s="8"/>
      <c r="N1824" s="8"/>
      <c r="O1824" s="8"/>
      <c r="P1824" s="8"/>
      <c r="Q1824" s="8"/>
      <c r="R1824" s="8"/>
      <c r="S1824" s="8"/>
    </row>
    <row r="1825" spans="1:19" ht="15.75" customHeight="1">
      <c r="A1825" s="8">
        <v>247237032</v>
      </c>
      <c r="B1825" s="8" t="s">
        <v>9145</v>
      </c>
      <c r="C1825" s="8" t="s">
        <v>9303</v>
      </c>
      <c r="D1825" s="8" t="s">
        <v>6804</v>
      </c>
      <c r="E1825" s="9" t="s">
        <v>6805</v>
      </c>
      <c r="F1825" s="8"/>
      <c r="G1825" s="9"/>
      <c r="H1825" s="8" t="s">
        <v>8241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</row>
    <row r="1826" spans="1:19" ht="15.75" customHeight="1">
      <c r="A1826" s="8">
        <v>247237665</v>
      </c>
      <c r="B1826" s="8" t="s">
        <v>8304</v>
      </c>
      <c r="C1826" s="8" t="s">
        <v>11386</v>
      </c>
      <c r="D1826" s="8" t="s">
        <v>6808</v>
      </c>
      <c r="E1826" s="9">
        <v>79821408635</v>
      </c>
      <c r="F1826" s="8"/>
      <c r="G1826" s="9"/>
      <c r="H1826" s="8" t="s">
        <v>8164</v>
      </c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</row>
    <row r="1827" spans="1:19" ht="15.75" customHeight="1">
      <c r="A1827" s="8">
        <v>247238488</v>
      </c>
      <c r="B1827" s="8" t="s">
        <v>8944</v>
      </c>
      <c r="C1827" s="8" t="s">
        <v>11387</v>
      </c>
      <c r="D1827" s="8" t="s">
        <v>6811</v>
      </c>
      <c r="E1827" s="9">
        <v>79874861557</v>
      </c>
      <c r="F1827" s="8"/>
      <c r="G1827" s="9"/>
      <c r="H1827" s="8" t="s">
        <v>8164</v>
      </c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</row>
    <row r="1828" spans="1:19" ht="15.75" customHeight="1">
      <c r="A1828" s="8">
        <v>247256698</v>
      </c>
      <c r="B1828" s="8" t="s">
        <v>11388</v>
      </c>
      <c r="C1828" s="8" t="s">
        <v>11389</v>
      </c>
      <c r="D1828" s="8" t="s">
        <v>6814</v>
      </c>
      <c r="E1828" s="9" t="s">
        <v>6815</v>
      </c>
      <c r="F1828" s="8"/>
      <c r="G1828" s="9"/>
      <c r="H1828" s="8" t="s">
        <v>8164</v>
      </c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</row>
    <row r="1829" spans="1:19" ht="15.75" customHeight="1">
      <c r="A1829" s="8">
        <v>247275195</v>
      </c>
      <c r="B1829" s="8" t="s">
        <v>7768</v>
      </c>
      <c r="C1829" s="8" t="s">
        <v>11390</v>
      </c>
      <c r="D1829" s="8" t="s">
        <v>11391</v>
      </c>
      <c r="E1829" s="9" t="s">
        <v>11392</v>
      </c>
      <c r="F1829" s="8"/>
      <c r="G1829" s="9"/>
      <c r="H1829" s="8" t="s">
        <v>8164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</row>
    <row r="1830" spans="1:19" ht="15.75" customHeight="1">
      <c r="A1830" s="8">
        <v>247295664</v>
      </c>
      <c r="B1830" s="8" t="s">
        <v>8434</v>
      </c>
      <c r="C1830" s="8" t="s">
        <v>11393</v>
      </c>
      <c r="D1830" s="8" t="s">
        <v>6818</v>
      </c>
      <c r="E1830" s="9" t="s">
        <v>6819</v>
      </c>
      <c r="F1830" s="8"/>
      <c r="G1830" s="9"/>
      <c r="H1830" s="8" t="s">
        <v>9961</v>
      </c>
      <c r="I1830" s="8" t="s">
        <v>8191</v>
      </c>
      <c r="J1830" s="8"/>
      <c r="K1830" s="8"/>
      <c r="L1830" s="8"/>
      <c r="M1830" s="8"/>
      <c r="N1830" s="8"/>
      <c r="O1830" s="8"/>
      <c r="P1830" s="8"/>
      <c r="Q1830" s="8"/>
      <c r="R1830" s="8"/>
      <c r="S1830" s="8"/>
    </row>
    <row r="1831" spans="1:19" ht="15.75" customHeight="1">
      <c r="A1831" s="8">
        <v>247325869</v>
      </c>
      <c r="B1831" s="8" t="s">
        <v>7875</v>
      </c>
      <c r="C1831" s="8" t="s">
        <v>11394</v>
      </c>
      <c r="D1831" s="8" t="s">
        <v>6822</v>
      </c>
      <c r="E1831" s="9">
        <v>79911131933</v>
      </c>
      <c r="F1831" s="8"/>
      <c r="G1831" s="9"/>
      <c r="H1831" s="8" t="s">
        <v>8164</v>
      </c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</row>
    <row r="1832" spans="1:19" ht="15.75" customHeight="1">
      <c r="A1832" s="8">
        <v>247326698</v>
      </c>
      <c r="B1832" s="8" t="s">
        <v>8229</v>
      </c>
      <c r="C1832" s="8" t="s">
        <v>11395</v>
      </c>
      <c r="D1832" s="8" t="s">
        <v>6825</v>
      </c>
      <c r="E1832" s="9">
        <v>79875834568</v>
      </c>
      <c r="F1832" s="8"/>
      <c r="G1832" s="9"/>
      <c r="H1832" s="8" t="s">
        <v>8164</v>
      </c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</row>
    <row r="1833" spans="1:19" ht="15.75" customHeight="1">
      <c r="A1833" s="8">
        <v>247328529</v>
      </c>
      <c r="B1833" s="8" t="s">
        <v>8717</v>
      </c>
      <c r="C1833" s="8" t="s">
        <v>11396</v>
      </c>
      <c r="D1833" s="8" t="s">
        <v>11397</v>
      </c>
      <c r="E1833" s="9" t="s">
        <v>11398</v>
      </c>
      <c r="F1833" s="8"/>
      <c r="G1833" s="9"/>
      <c r="H1833" s="8" t="s">
        <v>8164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</row>
    <row r="1834" spans="1:19" ht="15.75" customHeight="1">
      <c r="A1834" s="8">
        <v>247328975</v>
      </c>
      <c r="B1834" s="8" t="s">
        <v>8682</v>
      </c>
      <c r="C1834" s="8" t="s">
        <v>11399</v>
      </c>
      <c r="D1834" s="8" t="s">
        <v>6828</v>
      </c>
      <c r="E1834" s="9" t="s">
        <v>6829</v>
      </c>
      <c r="F1834" s="8"/>
      <c r="G1834" s="9"/>
      <c r="H1834" s="8" t="s">
        <v>8810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</row>
    <row r="1835" spans="1:19" ht="15.75" customHeight="1">
      <c r="A1835" s="8">
        <v>247329273</v>
      </c>
      <c r="B1835" s="8" t="s">
        <v>8325</v>
      </c>
      <c r="C1835" s="8" t="s">
        <v>11400</v>
      </c>
      <c r="D1835" s="8" t="s">
        <v>6832</v>
      </c>
      <c r="E1835" s="9" t="s">
        <v>6833</v>
      </c>
      <c r="F1835" s="8"/>
      <c r="G1835" s="9"/>
      <c r="H1835" s="8" t="s">
        <v>8600</v>
      </c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</row>
    <row r="1836" spans="1:19" ht="15.75" customHeight="1">
      <c r="A1836" s="8">
        <v>247329440</v>
      </c>
      <c r="B1836" s="8" t="s">
        <v>11401</v>
      </c>
      <c r="C1836" s="8" t="s">
        <v>11402</v>
      </c>
      <c r="D1836" s="8" t="s">
        <v>11403</v>
      </c>
      <c r="E1836" s="9">
        <v>79081740416</v>
      </c>
      <c r="F1836" s="8"/>
      <c r="G1836" s="9"/>
      <c r="H1836" s="8" t="s">
        <v>8164</v>
      </c>
      <c r="I1836" s="8" t="s">
        <v>11211</v>
      </c>
      <c r="J1836" s="8"/>
      <c r="K1836" s="8"/>
      <c r="L1836" s="8"/>
      <c r="M1836" s="8"/>
      <c r="N1836" s="8"/>
      <c r="O1836" s="8"/>
      <c r="P1836" s="8"/>
      <c r="Q1836" s="8"/>
      <c r="R1836" s="8"/>
      <c r="S1836" s="8"/>
    </row>
    <row r="1837" spans="1:19" ht="15.75" customHeight="1">
      <c r="A1837" s="8">
        <v>247332938</v>
      </c>
      <c r="B1837" s="8" t="s">
        <v>8643</v>
      </c>
      <c r="C1837" s="8" t="s">
        <v>9814</v>
      </c>
      <c r="D1837" s="8" t="s">
        <v>6836</v>
      </c>
      <c r="E1837" s="9">
        <v>79991217157</v>
      </c>
      <c r="F1837" s="8"/>
      <c r="G1837" s="9"/>
      <c r="H1837" s="8" t="s">
        <v>8164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</row>
    <row r="1838" spans="1:19" ht="15.75" customHeight="1">
      <c r="A1838" s="8">
        <v>247334518</v>
      </c>
      <c r="B1838" s="8" t="s">
        <v>8373</v>
      </c>
      <c r="C1838" s="8" t="s">
        <v>11404</v>
      </c>
      <c r="D1838" s="8" t="s">
        <v>11405</v>
      </c>
      <c r="E1838" s="9">
        <v>79052975793</v>
      </c>
      <c r="F1838" s="8"/>
      <c r="G1838" s="9"/>
      <c r="H1838" s="8" t="s">
        <v>8164</v>
      </c>
      <c r="I1838" s="8" t="s">
        <v>10266</v>
      </c>
      <c r="J1838" s="8"/>
      <c r="K1838" s="8"/>
      <c r="L1838" s="8"/>
      <c r="M1838" s="8"/>
      <c r="N1838" s="8"/>
      <c r="O1838" s="8"/>
      <c r="P1838" s="8"/>
      <c r="Q1838" s="8"/>
      <c r="R1838" s="8"/>
      <c r="S1838" s="8"/>
    </row>
    <row r="1839" spans="1:19" ht="15.75" customHeight="1">
      <c r="A1839" s="8">
        <v>247341387</v>
      </c>
      <c r="B1839" s="8" t="s">
        <v>7818</v>
      </c>
      <c r="C1839" s="8" t="s">
        <v>11406</v>
      </c>
      <c r="D1839" s="8" t="s">
        <v>6839</v>
      </c>
      <c r="E1839" s="9">
        <v>79284053388</v>
      </c>
      <c r="F1839" s="8"/>
      <c r="G1839" s="9"/>
      <c r="H1839" s="8" t="s">
        <v>8164</v>
      </c>
      <c r="I1839" s="8" t="s">
        <v>11407</v>
      </c>
      <c r="J1839" s="8"/>
      <c r="K1839" s="8"/>
      <c r="L1839" s="8"/>
      <c r="M1839" s="8"/>
      <c r="N1839" s="8"/>
      <c r="O1839" s="8"/>
      <c r="P1839" s="8"/>
      <c r="Q1839" s="8"/>
      <c r="R1839" s="8"/>
      <c r="S1839" s="8"/>
    </row>
    <row r="1840" spans="1:19" ht="15.75" customHeight="1">
      <c r="A1840" s="8">
        <v>247347561</v>
      </c>
      <c r="B1840" s="8" t="s">
        <v>8704</v>
      </c>
      <c r="C1840" s="8" t="s">
        <v>11408</v>
      </c>
      <c r="D1840" s="8" t="s">
        <v>6842</v>
      </c>
      <c r="E1840" s="9">
        <v>79196914555</v>
      </c>
      <c r="F1840" s="8" t="s">
        <v>11409</v>
      </c>
      <c r="G1840" s="9">
        <v>32</v>
      </c>
      <c r="H1840" s="8" t="s">
        <v>8164</v>
      </c>
      <c r="I1840" s="8" t="s">
        <v>11410</v>
      </c>
      <c r="J1840" s="8"/>
      <c r="K1840" s="8"/>
      <c r="L1840" s="8"/>
      <c r="M1840" s="8"/>
      <c r="N1840" s="8"/>
      <c r="O1840" s="8"/>
      <c r="P1840" s="8"/>
      <c r="Q1840" s="8"/>
      <c r="R1840" s="8"/>
      <c r="S1840" s="8"/>
    </row>
    <row r="1841" spans="1:19" ht="15.75" customHeight="1">
      <c r="A1841" s="8">
        <v>247354324</v>
      </c>
      <c r="B1841" s="8" t="s">
        <v>8206</v>
      </c>
      <c r="C1841" s="8" t="s">
        <v>11411</v>
      </c>
      <c r="D1841" s="8" t="s">
        <v>6845</v>
      </c>
      <c r="E1841" s="9" t="s">
        <v>6846</v>
      </c>
      <c r="F1841" s="8"/>
      <c r="G1841" s="9"/>
      <c r="H1841" s="8" t="s">
        <v>8164</v>
      </c>
      <c r="I1841" s="8" t="s">
        <v>10294</v>
      </c>
      <c r="J1841" s="8"/>
      <c r="K1841" s="8"/>
      <c r="L1841" s="8"/>
      <c r="M1841" s="8"/>
      <c r="N1841" s="8"/>
      <c r="O1841" s="8"/>
      <c r="P1841" s="8"/>
      <c r="Q1841" s="8"/>
      <c r="R1841" s="8"/>
      <c r="S1841" s="8"/>
    </row>
    <row r="1842" spans="1:19" ht="15.75" customHeight="1">
      <c r="A1842" s="8">
        <v>247364127</v>
      </c>
      <c r="B1842" s="8" t="s">
        <v>7768</v>
      </c>
      <c r="C1842" s="8" t="s">
        <v>11412</v>
      </c>
      <c r="D1842" s="8" t="s">
        <v>6849</v>
      </c>
      <c r="E1842" s="9">
        <v>79182424072</v>
      </c>
      <c r="F1842" s="8"/>
      <c r="G1842" s="9"/>
      <c r="H1842" s="8" t="s">
        <v>8164</v>
      </c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</row>
    <row r="1843" spans="1:19" ht="15.75" customHeight="1">
      <c r="A1843" s="8">
        <v>247373991</v>
      </c>
      <c r="B1843" s="8" t="s">
        <v>8903</v>
      </c>
      <c r="C1843" s="8" t="s">
        <v>11413</v>
      </c>
      <c r="D1843" s="8" t="s">
        <v>6852</v>
      </c>
      <c r="E1843" s="9" t="s">
        <v>6853</v>
      </c>
      <c r="F1843" s="8"/>
      <c r="G1843" s="9"/>
      <c r="H1843" s="8" t="s">
        <v>8267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</row>
    <row r="1844" spans="1:19" ht="15.75" customHeight="1">
      <c r="A1844" s="8">
        <v>247392441</v>
      </c>
      <c r="B1844" s="8" t="s">
        <v>8434</v>
      </c>
      <c r="C1844" s="8" t="s">
        <v>11414</v>
      </c>
      <c r="D1844" s="8" t="s">
        <v>6857</v>
      </c>
      <c r="E1844" s="9">
        <v>79212572676</v>
      </c>
      <c r="F1844" s="8"/>
      <c r="G1844" s="9"/>
      <c r="H1844" s="8" t="s">
        <v>8164</v>
      </c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</row>
    <row r="1845" spans="1:19" ht="15.75" customHeight="1">
      <c r="A1845" s="8">
        <v>247398102</v>
      </c>
      <c r="B1845" s="8" t="s">
        <v>8581</v>
      </c>
      <c r="C1845" s="8" t="s">
        <v>11415</v>
      </c>
      <c r="D1845" s="8" t="s">
        <v>6860</v>
      </c>
      <c r="E1845" s="9">
        <v>79852614977</v>
      </c>
      <c r="F1845" s="8"/>
      <c r="G1845" s="9"/>
      <c r="H1845" s="8" t="s">
        <v>9265</v>
      </c>
      <c r="I1845" s="8" t="s">
        <v>11416</v>
      </c>
      <c r="J1845" s="8"/>
      <c r="K1845" s="8"/>
      <c r="L1845" s="8"/>
      <c r="M1845" s="8"/>
      <c r="N1845" s="8"/>
      <c r="O1845" s="8"/>
      <c r="P1845" s="8"/>
      <c r="Q1845" s="8"/>
      <c r="R1845" s="8"/>
      <c r="S1845" s="8"/>
    </row>
    <row r="1846" spans="1:19" ht="15.75" customHeight="1">
      <c r="A1846" s="8">
        <v>247399577</v>
      </c>
      <c r="B1846" s="8" t="s">
        <v>8581</v>
      </c>
      <c r="C1846" s="8" t="s">
        <v>11417</v>
      </c>
      <c r="D1846" s="8" t="s">
        <v>6863</v>
      </c>
      <c r="E1846" s="9" t="s">
        <v>6864</v>
      </c>
      <c r="F1846" s="8"/>
      <c r="G1846" s="9"/>
      <c r="H1846" s="8" t="s">
        <v>8164</v>
      </c>
      <c r="I1846" s="8" t="s">
        <v>8165</v>
      </c>
      <c r="J1846" s="8"/>
      <c r="K1846" s="8"/>
      <c r="L1846" s="8"/>
      <c r="M1846" s="8"/>
      <c r="N1846" s="8"/>
      <c r="O1846" s="8"/>
      <c r="P1846" s="8"/>
      <c r="Q1846" s="8"/>
      <c r="R1846" s="8"/>
      <c r="S1846" s="8"/>
    </row>
    <row r="1847" spans="1:19" ht="15.75" customHeight="1">
      <c r="A1847" s="8">
        <v>247405004</v>
      </c>
      <c r="B1847" s="8" t="s">
        <v>9145</v>
      </c>
      <c r="C1847" s="8" t="s">
        <v>10263</v>
      </c>
      <c r="D1847" s="8" t="s">
        <v>11418</v>
      </c>
      <c r="E1847" s="9" t="s">
        <v>11419</v>
      </c>
      <c r="F1847" s="8"/>
      <c r="G1847" s="9"/>
      <c r="H1847" s="8" t="s">
        <v>8164</v>
      </c>
      <c r="I1847" s="8" t="s">
        <v>11221</v>
      </c>
      <c r="J1847" s="8"/>
      <c r="K1847" s="8"/>
      <c r="L1847" s="8"/>
      <c r="M1847" s="8"/>
      <c r="N1847" s="8"/>
      <c r="O1847" s="8"/>
      <c r="P1847" s="8"/>
      <c r="Q1847" s="8"/>
      <c r="R1847" s="8"/>
      <c r="S1847" s="8"/>
    </row>
    <row r="1848" spans="1:19" ht="15.75" customHeight="1">
      <c r="A1848" s="8">
        <v>247410457</v>
      </c>
      <c r="B1848" s="8" t="s">
        <v>10029</v>
      </c>
      <c r="C1848" s="8" t="s">
        <v>11420</v>
      </c>
      <c r="D1848" s="8" t="s">
        <v>6867</v>
      </c>
      <c r="E1848" s="9" t="s">
        <v>6868</v>
      </c>
      <c r="F1848" s="8"/>
      <c r="G1848" s="9"/>
      <c r="H1848" s="8" t="s">
        <v>8267</v>
      </c>
      <c r="I1848" s="8" t="s">
        <v>11350</v>
      </c>
      <c r="J1848" s="8"/>
      <c r="K1848" s="8"/>
      <c r="L1848" s="8"/>
      <c r="M1848" s="8"/>
      <c r="N1848" s="8"/>
      <c r="O1848" s="8"/>
      <c r="P1848" s="8"/>
      <c r="Q1848" s="8"/>
      <c r="R1848" s="8"/>
      <c r="S1848" s="8"/>
    </row>
    <row r="1849" spans="1:19" ht="15.75" customHeight="1">
      <c r="A1849" s="8">
        <v>247410704</v>
      </c>
      <c r="B1849" s="8" t="s">
        <v>8186</v>
      </c>
      <c r="C1849" s="8" t="s">
        <v>11421</v>
      </c>
      <c r="D1849" s="8" t="s">
        <v>6871</v>
      </c>
      <c r="E1849" s="9" t="s">
        <v>6872</v>
      </c>
      <c r="F1849" s="8"/>
      <c r="G1849" s="9"/>
      <c r="H1849" s="8" t="s">
        <v>8164</v>
      </c>
      <c r="I1849" s="8" t="s">
        <v>8165</v>
      </c>
      <c r="J1849" s="8"/>
      <c r="K1849" s="8"/>
      <c r="L1849" s="8"/>
      <c r="M1849" s="8"/>
      <c r="N1849" s="8"/>
      <c r="O1849" s="8"/>
      <c r="P1849" s="8"/>
      <c r="Q1849" s="8"/>
      <c r="R1849" s="8"/>
      <c r="S1849" s="8"/>
    </row>
    <row r="1850" spans="1:19" ht="15.75" customHeight="1">
      <c r="A1850" s="8">
        <v>247411444</v>
      </c>
      <c r="B1850" s="8" t="s">
        <v>8206</v>
      </c>
      <c r="C1850" s="8" t="s">
        <v>9547</v>
      </c>
      <c r="D1850" s="8" t="s">
        <v>6875</v>
      </c>
      <c r="E1850" s="9" t="s">
        <v>6876</v>
      </c>
      <c r="F1850" s="8"/>
      <c r="G1850" s="9"/>
      <c r="H1850" s="8" t="s">
        <v>8158</v>
      </c>
      <c r="I1850" s="8" t="s">
        <v>11422</v>
      </c>
      <c r="J1850" s="8"/>
      <c r="K1850" s="8"/>
      <c r="L1850" s="8"/>
      <c r="M1850" s="8"/>
      <c r="N1850" s="8"/>
      <c r="O1850" s="8"/>
      <c r="P1850" s="8"/>
      <c r="Q1850" s="8"/>
      <c r="R1850" s="8"/>
      <c r="S1850" s="8"/>
    </row>
    <row r="1851" spans="1:19" ht="15.75" customHeight="1">
      <c r="A1851" s="8">
        <v>247412048</v>
      </c>
      <c r="B1851" s="8" t="s">
        <v>8581</v>
      </c>
      <c r="C1851" s="8" t="s">
        <v>11423</v>
      </c>
      <c r="D1851" s="8" t="s">
        <v>6879</v>
      </c>
      <c r="E1851" s="9">
        <v>79217518672</v>
      </c>
      <c r="F1851" s="8"/>
      <c r="G1851" s="9"/>
      <c r="H1851" s="8" t="s">
        <v>8164</v>
      </c>
      <c r="I1851" s="8" t="s">
        <v>8208</v>
      </c>
      <c r="J1851" s="8"/>
      <c r="K1851" s="8"/>
      <c r="L1851" s="8"/>
      <c r="M1851" s="8"/>
      <c r="N1851" s="8"/>
      <c r="O1851" s="8"/>
      <c r="P1851" s="8"/>
      <c r="Q1851" s="8"/>
      <c r="R1851" s="8"/>
      <c r="S1851" s="8"/>
    </row>
    <row r="1852" spans="1:19" ht="15.75" customHeight="1">
      <c r="A1852" s="8">
        <v>247412165</v>
      </c>
      <c r="B1852" s="8" t="s">
        <v>7768</v>
      </c>
      <c r="C1852" s="8" t="s">
        <v>11424</v>
      </c>
      <c r="D1852" s="8" t="s">
        <v>6882</v>
      </c>
      <c r="E1852" s="9" t="s">
        <v>6883</v>
      </c>
      <c r="F1852" s="8"/>
      <c r="G1852" s="9"/>
      <c r="H1852" s="8" t="s">
        <v>8222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</row>
    <row r="1853" spans="1:19" ht="15.75" customHeight="1">
      <c r="A1853" s="8">
        <v>247416242</v>
      </c>
      <c r="B1853" s="8" t="s">
        <v>8390</v>
      </c>
      <c r="C1853" s="8" t="s">
        <v>11425</v>
      </c>
      <c r="D1853" s="8" t="s">
        <v>6886</v>
      </c>
      <c r="E1853" s="9" t="s">
        <v>6887</v>
      </c>
      <c r="F1853" s="8"/>
      <c r="G1853" s="9"/>
      <c r="H1853" s="8" t="s">
        <v>8164</v>
      </c>
      <c r="I1853" s="8" t="s">
        <v>10294</v>
      </c>
      <c r="J1853" s="8"/>
      <c r="K1853" s="8"/>
      <c r="L1853" s="8"/>
      <c r="M1853" s="8"/>
      <c r="N1853" s="8"/>
      <c r="O1853" s="8"/>
      <c r="P1853" s="8"/>
      <c r="Q1853" s="8"/>
      <c r="R1853" s="8"/>
      <c r="S1853" s="8"/>
    </row>
    <row r="1854" spans="1:19" ht="15.75" customHeight="1">
      <c r="A1854" s="8">
        <v>247418563</v>
      </c>
      <c r="B1854" s="8" t="s">
        <v>7399</v>
      </c>
      <c r="C1854" s="8" t="s">
        <v>11426</v>
      </c>
      <c r="D1854" s="8" t="s">
        <v>6891</v>
      </c>
      <c r="E1854" s="9" t="s">
        <v>6892</v>
      </c>
      <c r="F1854" s="8"/>
      <c r="G1854" s="9"/>
      <c r="H1854" s="8" t="s">
        <v>8164</v>
      </c>
      <c r="I1854" s="8" t="s">
        <v>11427</v>
      </c>
      <c r="J1854" s="8"/>
      <c r="K1854" s="8"/>
      <c r="L1854" s="8"/>
      <c r="M1854" s="8"/>
      <c r="N1854" s="8"/>
      <c r="O1854" s="8"/>
      <c r="P1854" s="8"/>
      <c r="Q1854" s="8"/>
      <c r="R1854" s="8"/>
      <c r="S1854" s="8"/>
    </row>
    <row r="1855" spans="1:19" ht="15.75" customHeight="1">
      <c r="A1855" s="8">
        <v>247429954</v>
      </c>
      <c r="B1855" s="8" t="s">
        <v>10115</v>
      </c>
      <c r="C1855" s="8" t="s">
        <v>11428</v>
      </c>
      <c r="D1855" s="8" t="s">
        <v>6895</v>
      </c>
      <c r="E1855" s="9">
        <v>79186028541</v>
      </c>
      <c r="F1855" s="8"/>
      <c r="G1855" s="9"/>
      <c r="H1855" s="8" t="s">
        <v>8164</v>
      </c>
      <c r="I1855" s="8" t="s">
        <v>8214</v>
      </c>
      <c r="J1855" s="8"/>
      <c r="K1855" s="8"/>
      <c r="L1855" s="8"/>
      <c r="M1855" s="8"/>
      <c r="N1855" s="8"/>
      <c r="O1855" s="8"/>
      <c r="P1855" s="8"/>
      <c r="Q1855" s="8"/>
      <c r="R1855" s="8"/>
      <c r="S1855" s="8"/>
    </row>
    <row r="1856" spans="1:19" ht="15.75" customHeight="1">
      <c r="A1856" s="8">
        <v>247431615</v>
      </c>
      <c r="B1856" s="8" t="s">
        <v>8431</v>
      </c>
      <c r="C1856" s="8" t="s">
        <v>11222</v>
      </c>
      <c r="D1856" s="8" t="s">
        <v>6898</v>
      </c>
      <c r="E1856" s="9">
        <v>79028755338</v>
      </c>
      <c r="F1856" s="8"/>
      <c r="G1856" s="9"/>
      <c r="H1856" s="8" t="s">
        <v>8164</v>
      </c>
      <c r="I1856" s="8" t="s">
        <v>8165</v>
      </c>
      <c r="J1856" s="8"/>
      <c r="K1856" s="8"/>
      <c r="L1856" s="8"/>
      <c r="M1856" s="8"/>
      <c r="N1856" s="8"/>
      <c r="O1856" s="8"/>
      <c r="P1856" s="8"/>
      <c r="Q1856" s="8"/>
      <c r="R1856" s="8"/>
      <c r="S1856" s="8"/>
    </row>
    <row r="1857" spans="1:19" ht="15.75" customHeight="1">
      <c r="A1857" s="8">
        <v>247433774</v>
      </c>
      <c r="B1857" s="8" t="s">
        <v>8373</v>
      </c>
      <c r="C1857" s="8" t="s">
        <v>11429</v>
      </c>
      <c r="D1857" s="8" t="s">
        <v>6902</v>
      </c>
      <c r="E1857" s="9" t="s">
        <v>6903</v>
      </c>
      <c r="F1857" s="8" t="s">
        <v>11430</v>
      </c>
      <c r="G1857" s="9">
        <v>0</v>
      </c>
      <c r="H1857" s="8" t="s">
        <v>8164</v>
      </c>
      <c r="I1857" s="8" t="s">
        <v>8174</v>
      </c>
      <c r="J1857" s="8"/>
      <c r="K1857" s="8"/>
      <c r="L1857" s="8"/>
      <c r="M1857" s="8"/>
      <c r="N1857" s="8"/>
      <c r="O1857" s="8"/>
      <c r="P1857" s="8"/>
      <c r="Q1857" s="8"/>
      <c r="R1857" s="8"/>
      <c r="S1857" s="8"/>
    </row>
    <row r="1858" spans="1:19" ht="15.75" customHeight="1">
      <c r="A1858" s="8">
        <v>247436671</v>
      </c>
      <c r="B1858" s="8" t="s">
        <v>7399</v>
      </c>
      <c r="C1858" s="8" t="s">
        <v>8900</v>
      </c>
      <c r="D1858" s="8" t="s">
        <v>6906</v>
      </c>
      <c r="E1858" s="9" t="s">
        <v>6907</v>
      </c>
      <c r="F1858" s="8"/>
      <c r="G1858" s="9"/>
      <c r="H1858" s="8" t="s">
        <v>8164</v>
      </c>
      <c r="I1858" s="8" t="s">
        <v>8165</v>
      </c>
      <c r="J1858" s="8"/>
      <c r="K1858" s="8"/>
      <c r="L1858" s="8"/>
      <c r="M1858" s="8"/>
      <c r="N1858" s="8"/>
      <c r="O1858" s="8"/>
      <c r="P1858" s="8"/>
      <c r="Q1858" s="8"/>
      <c r="R1858" s="8"/>
      <c r="S1858" s="8"/>
    </row>
    <row r="1859" spans="1:19" ht="15.75" customHeight="1">
      <c r="A1859" s="8">
        <v>247441357</v>
      </c>
      <c r="B1859" s="8" t="s">
        <v>11431</v>
      </c>
      <c r="C1859" s="8" t="s">
        <v>9970</v>
      </c>
      <c r="D1859" s="8" t="s">
        <v>6910</v>
      </c>
      <c r="E1859" s="9" t="s">
        <v>6911</v>
      </c>
      <c r="F1859" s="8" t="s">
        <v>11432</v>
      </c>
      <c r="G1859" s="9">
        <v>48</v>
      </c>
      <c r="H1859" s="8" t="s">
        <v>8158</v>
      </c>
      <c r="I1859" s="8" t="s">
        <v>8817</v>
      </c>
      <c r="J1859" s="8"/>
      <c r="K1859" s="8"/>
      <c r="L1859" s="8"/>
      <c r="M1859" s="8"/>
      <c r="N1859" s="8"/>
      <c r="O1859" s="8"/>
      <c r="P1859" s="8"/>
      <c r="Q1859" s="8"/>
      <c r="R1859" s="8"/>
      <c r="S1859" s="8"/>
    </row>
    <row r="1860" spans="1:19" ht="15.75" customHeight="1">
      <c r="A1860" s="8">
        <v>247442166</v>
      </c>
      <c r="B1860" s="8" t="s">
        <v>8304</v>
      </c>
      <c r="C1860" s="8" t="s">
        <v>10789</v>
      </c>
      <c r="D1860" s="8" t="s">
        <v>6914</v>
      </c>
      <c r="E1860" s="9" t="s">
        <v>6915</v>
      </c>
      <c r="F1860" s="8" t="s">
        <v>11433</v>
      </c>
      <c r="G1860" s="9">
        <v>35</v>
      </c>
      <c r="H1860" s="8" t="s">
        <v>8164</v>
      </c>
      <c r="I1860" s="8" t="s">
        <v>8467</v>
      </c>
      <c r="J1860" s="8"/>
      <c r="K1860" s="8"/>
      <c r="L1860" s="8"/>
      <c r="M1860" s="8"/>
      <c r="N1860" s="8"/>
      <c r="O1860" s="8"/>
      <c r="P1860" s="8"/>
      <c r="Q1860" s="8"/>
      <c r="R1860" s="8"/>
      <c r="S1860" s="8"/>
    </row>
    <row r="1861" spans="1:19" ht="15.75" customHeight="1">
      <c r="A1861" s="8">
        <v>247444683</v>
      </c>
      <c r="B1861" s="8" t="s">
        <v>8365</v>
      </c>
      <c r="C1861" s="8" t="s">
        <v>11434</v>
      </c>
      <c r="D1861" s="8" t="s">
        <v>6918</v>
      </c>
      <c r="E1861" s="9" t="s">
        <v>6919</v>
      </c>
      <c r="F1861" s="8"/>
      <c r="G1861" s="9"/>
      <c r="H1861" s="8" t="s">
        <v>8164</v>
      </c>
      <c r="I1861" s="8" t="s">
        <v>8834</v>
      </c>
      <c r="J1861" s="8"/>
      <c r="K1861" s="8"/>
      <c r="L1861" s="8"/>
      <c r="M1861" s="8"/>
      <c r="N1861" s="8"/>
      <c r="O1861" s="8"/>
      <c r="P1861" s="8"/>
      <c r="Q1861" s="8"/>
      <c r="R1861" s="8"/>
      <c r="S1861" s="8"/>
    </row>
    <row r="1862" spans="1:19" ht="15.75" customHeight="1">
      <c r="A1862" s="8">
        <v>247444723</v>
      </c>
      <c r="B1862" s="8" t="s">
        <v>8944</v>
      </c>
      <c r="C1862" s="8" t="s">
        <v>11435</v>
      </c>
      <c r="D1862" s="8" t="s">
        <v>6922</v>
      </c>
      <c r="E1862" s="9" t="s">
        <v>6923</v>
      </c>
      <c r="F1862" s="8"/>
      <c r="G1862" s="9"/>
      <c r="H1862" s="8" t="s">
        <v>8164</v>
      </c>
      <c r="I1862" s="8" t="s">
        <v>8208</v>
      </c>
      <c r="J1862" s="8"/>
      <c r="K1862" s="8"/>
      <c r="L1862" s="8"/>
      <c r="M1862" s="8"/>
      <c r="N1862" s="8"/>
      <c r="O1862" s="8"/>
      <c r="P1862" s="8"/>
      <c r="Q1862" s="8"/>
      <c r="R1862" s="8"/>
      <c r="S1862" s="8"/>
    </row>
    <row r="1863" spans="1:19" ht="15.75" customHeight="1">
      <c r="A1863" s="8">
        <v>247476569</v>
      </c>
      <c r="B1863" s="8" t="s">
        <v>8197</v>
      </c>
      <c r="C1863" s="8" t="s">
        <v>11436</v>
      </c>
      <c r="D1863" s="8" t="s">
        <v>6926</v>
      </c>
      <c r="E1863" s="9"/>
      <c r="F1863" s="8"/>
      <c r="G1863" s="9"/>
      <c r="H1863" s="8" t="s">
        <v>8164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</row>
    <row r="1864" spans="1:19" ht="15.75" customHeight="1">
      <c r="A1864" s="8">
        <v>247478107</v>
      </c>
      <c r="B1864" s="8" t="s">
        <v>11437</v>
      </c>
      <c r="C1864" s="8" t="s">
        <v>11438</v>
      </c>
      <c r="D1864" s="8" t="s">
        <v>6929</v>
      </c>
      <c r="E1864" s="9" t="s">
        <v>6930</v>
      </c>
      <c r="F1864" s="8"/>
      <c r="G1864" s="9"/>
      <c r="H1864" s="8" t="s">
        <v>8164</v>
      </c>
      <c r="I1864" s="8" t="s">
        <v>11219</v>
      </c>
      <c r="J1864" s="8"/>
      <c r="K1864" s="8"/>
      <c r="L1864" s="8"/>
      <c r="M1864" s="8"/>
      <c r="N1864" s="8"/>
      <c r="O1864" s="8"/>
      <c r="P1864" s="8"/>
      <c r="Q1864" s="8"/>
      <c r="R1864" s="8"/>
      <c r="S1864" s="8"/>
    </row>
    <row r="1865" spans="1:19" ht="15.75" customHeight="1">
      <c r="A1865" s="8">
        <v>247481454</v>
      </c>
      <c r="B1865" s="8" t="s">
        <v>8304</v>
      </c>
      <c r="C1865" s="8" t="s">
        <v>11439</v>
      </c>
      <c r="D1865" s="8" t="s">
        <v>6933</v>
      </c>
      <c r="E1865" s="9">
        <v>818069628318</v>
      </c>
      <c r="F1865" s="8" t="s">
        <v>11440</v>
      </c>
      <c r="G1865" s="9">
        <v>53</v>
      </c>
      <c r="H1865" s="8" t="s">
        <v>8213</v>
      </c>
      <c r="I1865" s="8" t="s">
        <v>11441</v>
      </c>
      <c r="J1865" s="8"/>
      <c r="K1865" s="8"/>
      <c r="L1865" s="8"/>
      <c r="M1865" s="8"/>
      <c r="N1865" s="8"/>
      <c r="O1865" s="8"/>
      <c r="P1865" s="8"/>
      <c r="Q1865" s="8"/>
      <c r="R1865" s="8"/>
      <c r="S1865" s="8"/>
    </row>
    <row r="1866" spans="1:19" ht="15.75" customHeight="1">
      <c r="A1866" s="8">
        <v>247496779</v>
      </c>
      <c r="B1866" s="8" t="s">
        <v>11442</v>
      </c>
      <c r="C1866" s="8" t="s">
        <v>8966</v>
      </c>
      <c r="D1866" s="8" t="s">
        <v>11443</v>
      </c>
      <c r="E1866" s="9" t="s">
        <v>11444</v>
      </c>
      <c r="F1866" s="8"/>
      <c r="G1866" s="9"/>
      <c r="H1866" s="8" t="s">
        <v>8164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</row>
    <row r="1867" spans="1:19" ht="15.75" customHeight="1">
      <c r="A1867" s="8">
        <v>247504273</v>
      </c>
      <c r="B1867" s="8" t="s">
        <v>7399</v>
      </c>
      <c r="C1867" s="8" t="s">
        <v>11445</v>
      </c>
      <c r="D1867" s="8" t="s">
        <v>6939</v>
      </c>
      <c r="E1867" s="9" t="s">
        <v>6940</v>
      </c>
      <c r="F1867" s="8"/>
      <c r="G1867" s="9"/>
      <c r="H1867" s="8" t="s">
        <v>8164</v>
      </c>
      <c r="I1867" s="8" t="s">
        <v>8467</v>
      </c>
      <c r="J1867" s="8"/>
      <c r="K1867" s="8"/>
      <c r="L1867" s="8"/>
      <c r="M1867" s="8"/>
      <c r="N1867" s="8"/>
      <c r="O1867" s="8"/>
      <c r="P1867" s="8"/>
      <c r="Q1867" s="8"/>
      <c r="R1867" s="8"/>
      <c r="S1867" s="8"/>
    </row>
    <row r="1868" spans="1:19" ht="15.75" customHeight="1">
      <c r="A1868" s="8">
        <v>247511490</v>
      </c>
      <c r="B1868" s="8" t="s">
        <v>8197</v>
      </c>
      <c r="C1868" s="8" t="s">
        <v>11446</v>
      </c>
      <c r="D1868" s="8" t="s">
        <v>6943</v>
      </c>
      <c r="E1868" s="9" t="s">
        <v>6944</v>
      </c>
      <c r="F1868" s="8"/>
      <c r="G1868" s="9"/>
      <c r="H1868" s="8" t="s">
        <v>8522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</row>
    <row r="1869" spans="1:19" ht="15.75" customHeight="1">
      <c r="A1869" s="8">
        <v>247513404</v>
      </c>
      <c r="B1869" s="8" t="s">
        <v>11447</v>
      </c>
      <c r="C1869" s="8" t="s">
        <v>11448</v>
      </c>
      <c r="D1869" s="8" t="s">
        <v>6947</v>
      </c>
      <c r="E1869" s="9" t="s">
        <v>6948</v>
      </c>
      <c r="F1869" s="8"/>
      <c r="G1869" s="9"/>
      <c r="H1869" s="8" t="s">
        <v>8164</v>
      </c>
      <c r="I1869" s="8" t="s">
        <v>8191</v>
      </c>
      <c r="J1869" s="8"/>
      <c r="K1869" s="8"/>
      <c r="L1869" s="8"/>
      <c r="M1869" s="8"/>
      <c r="N1869" s="8"/>
      <c r="O1869" s="8"/>
      <c r="P1869" s="8"/>
      <c r="Q1869" s="8"/>
      <c r="R1869" s="8"/>
      <c r="S1869" s="8"/>
    </row>
    <row r="1870" spans="1:19" ht="15.75" customHeight="1">
      <c r="A1870" s="8">
        <v>247514048</v>
      </c>
      <c r="B1870" s="8" t="s">
        <v>10682</v>
      </c>
      <c r="C1870" s="8" t="s">
        <v>11449</v>
      </c>
      <c r="D1870" s="8" t="s">
        <v>6951</v>
      </c>
      <c r="E1870" s="9">
        <v>79185335373</v>
      </c>
      <c r="F1870" s="8" t="s">
        <v>11450</v>
      </c>
      <c r="G1870" s="9">
        <v>44</v>
      </c>
      <c r="H1870" s="8" t="s">
        <v>8164</v>
      </c>
      <c r="I1870" s="8" t="s">
        <v>11451</v>
      </c>
      <c r="J1870" s="8"/>
      <c r="K1870" s="8"/>
      <c r="L1870" s="8"/>
      <c r="M1870" s="8"/>
      <c r="N1870" s="8"/>
      <c r="O1870" s="8"/>
      <c r="P1870" s="8"/>
      <c r="Q1870" s="8"/>
      <c r="R1870" s="8"/>
      <c r="S1870" s="8"/>
    </row>
    <row r="1871" spans="1:19" ht="15.75" customHeight="1">
      <c r="A1871" s="8">
        <v>247518240</v>
      </c>
      <c r="B1871" s="8" t="s">
        <v>11452</v>
      </c>
      <c r="C1871" s="8" t="s">
        <v>11453</v>
      </c>
      <c r="D1871" s="8" t="s">
        <v>11454</v>
      </c>
      <c r="E1871" s="9" t="s">
        <v>11455</v>
      </c>
      <c r="F1871" s="8"/>
      <c r="G1871" s="9"/>
      <c r="H1871" s="8" t="s">
        <v>8386</v>
      </c>
      <c r="I1871" s="8" t="s">
        <v>11456</v>
      </c>
      <c r="J1871" s="8"/>
      <c r="K1871" s="8"/>
      <c r="L1871" s="8"/>
      <c r="M1871" s="8"/>
      <c r="N1871" s="8"/>
      <c r="O1871" s="8"/>
      <c r="P1871" s="8"/>
      <c r="Q1871" s="8"/>
      <c r="R1871" s="8"/>
      <c r="S1871" s="8"/>
    </row>
    <row r="1872" spans="1:19" ht="15.75" customHeight="1">
      <c r="A1872" s="8">
        <v>247519918</v>
      </c>
      <c r="B1872" s="8" t="s">
        <v>9977</v>
      </c>
      <c r="C1872" s="8" t="s">
        <v>11457</v>
      </c>
      <c r="D1872" s="8" t="s">
        <v>6955</v>
      </c>
      <c r="E1872" s="9" t="s">
        <v>6956</v>
      </c>
      <c r="F1872" s="8"/>
      <c r="G1872" s="9"/>
      <c r="H1872" s="8" t="s">
        <v>8164</v>
      </c>
      <c r="I1872" s="8" t="s">
        <v>11458</v>
      </c>
      <c r="J1872" s="8"/>
      <c r="K1872" s="8"/>
      <c r="L1872" s="8"/>
      <c r="M1872" s="8"/>
      <c r="N1872" s="8"/>
      <c r="O1872" s="8"/>
      <c r="P1872" s="8"/>
      <c r="Q1872" s="8"/>
      <c r="R1872" s="8"/>
      <c r="S1872" s="8"/>
    </row>
    <row r="1873" spans="1:19" ht="15.75" customHeight="1">
      <c r="A1873" s="8">
        <v>247520299</v>
      </c>
      <c r="B1873" s="8" t="s">
        <v>8579</v>
      </c>
      <c r="C1873" s="8" t="s">
        <v>8675</v>
      </c>
      <c r="D1873" s="8" t="s">
        <v>6959</v>
      </c>
      <c r="E1873" s="9" t="s">
        <v>6960</v>
      </c>
      <c r="F1873" s="8" t="s">
        <v>11459</v>
      </c>
      <c r="G1873" s="9"/>
      <c r="H1873" s="8" t="s">
        <v>8241</v>
      </c>
      <c r="I1873" s="8" t="s">
        <v>8242</v>
      </c>
      <c r="J1873" s="8"/>
      <c r="K1873" s="8"/>
      <c r="L1873" s="8"/>
      <c r="M1873" s="8"/>
      <c r="N1873" s="8"/>
      <c r="O1873" s="8"/>
      <c r="P1873" s="8"/>
      <c r="Q1873" s="8"/>
      <c r="R1873" s="8"/>
      <c r="S1873" s="8"/>
    </row>
    <row r="1874" spans="1:19" ht="15.75" customHeight="1">
      <c r="A1874" s="8">
        <v>247525364</v>
      </c>
      <c r="B1874" s="8" t="s">
        <v>8325</v>
      </c>
      <c r="C1874" s="8" t="s">
        <v>11460</v>
      </c>
      <c r="D1874" s="8" t="s">
        <v>6963</v>
      </c>
      <c r="E1874" s="9">
        <v>79633303744</v>
      </c>
      <c r="F1874" s="8"/>
      <c r="G1874" s="9"/>
      <c r="H1874" s="8" t="s">
        <v>8164</v>
      </c>
      <c r="I1874" s="8" t="s">
        <v>11461</v>
      </c>
      <c r="J1874" s="8"/>
      <c r="K1874" s="8"/>
      <c r="L1874" s="8"/>
      <c r="M1874" s="8"/>
      <c r="N1874" s="8"/>
      <c r="O1874" s="8"/>
      <c r="P1874" s="8"/>
      <c r="Q1874" s="8"/>
      <c r="R1874" s="8"/>
      <c r="S1874" s="8"/>
    </row>
    <row r="1875" spans="1:19" ht="15.75" customHeight="1">
      <c r="A1875" s="8">
        <v>247537705</v>
      </c>
      <c r="B1875" s="8" t="s">
        <v>8186</v>
      </c>
      <c r="C1875" s="8" t="s">
        <v>11462</v>
      </c>
      <c r="D1875" s="8" t="s">
        <v>6966</v>
      </c>
      <c r="E1875" s="9" t="s">
        <v>6967</v>
      </c>
      <c r="F1875" s="8"/>
      <c r="G1875" s="9"/>
      <c r="H1875" s="8" t="s">
        <v>8164</v>
      </c>
      <c r="I1875" s="8" t="s">
        <v>9274</v>
      </c>
      <c r="J1875" s="8"/>
      <c r="K1875" s="8"/>
      <c r="L1875" s="8"/>
      <c r="M1875" s="8"/>
      <c r="N1875" s="8"/>
      <c r="O1875" s="8"/>
      <c r="P1875" s="8"/>
      <c r="Q1875" s="8"/>
      <c r="R1875" s="8"/>
      <c r="S1875" s="8"/>
    </row>
    <row r="1876" spans="1:19" ht="15.75" customHeight="1">
      <c r="A1876" s="8">
        <v>247538529</v>
      </c>
      <c r="B1876" s="8"/>
      <c r="C1876" s="8"/>
      <c r="D1876" s="8" t="s">
        <v>6970</v>
      </c>
      <c r="E1876" s="9"/>
      <c r="F1876" s="8"/>
      <c r="G1876" s="9"/>
      <c r="H1876" s="8" t="s">
        <v>8158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</row>
    <row r="1877" spans="1:19" ht="15.75" customHeight="1">
      <c r="A1877" s="8">
        <v>247555945</v>
      </c>
      <c r="B1877" s="8"/>
      <c r="C1877" s="8"/>
      <c r="D1877" s="8" t="s">
        <v>11463</v>
      </c>
      <c r="E1877" s="9"/>
      <c r="F1877" s="8"/>
      <c r="G1877" s="9"/>
      <c r="H1877" s="8" t="s">
        <v>8164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</row>
    <row r="1878" spans="1:19" ht="15.75" customHeight="1">
      <c r="A1878" s="8">
        <v>247606890</v>
      </c>
      <c r="B1878" s="8" t="s">
        <v>8197</v>
      </c>
      <c r="C1878" s="8" t="s">
        <v>11464</v>
      </c>
      <c r="D1878" s="8" t="s">
        <v>6975</v>
      </c>
      <c r="E1878" s="9" t="s">
        <v>6976</v>
      </c>
      <c r="F1878" s="8" t="s">
        <v>11465</v>
      </c>
      <c r="G1878" s="9">
        <v>41</v>
      </c>
      <c r="H1878" s="8" t="s">
        <v>8164</v>
      </c>
      <c r="I1878" s="8" t="s">
        <v>8165</v>
      </c>
      <c r="J1878" s="8"/>
      <c r="K1878" s="8"/>
      <c r="L1878" s="8"/>
      <c r="M1878" s="8"/>
      <c r="N1878" s="8"/>
      <c r="O1878" s="8"/>
      <c r="P1878" s="8"/>
      <c r="Q1878" s="8"/>
      <c r="R1878" s="8"/>
      <c r="S1878" s="8"/>
    </row>
    <row r="1879" spans="1:19" ht="15.75" customHeight="1">
      <c r="A1879" s="8">
        <v>247608130</v>
      </c>
      <c r="B1879" s="8" t="s">
        <v>8277</v>
      </c>
      <c r="C1879" s="8" t="s">
        <v>11466</v>
      </c>
      <c r="D1879" s="8" t="s">
        <v>6979</v>
      </c>
      <c r="E1879" s="9" t="s">
        <v>6980</v>
      </c>
      <c r="F1879" s="8"/>
      <c r="G1879" s="9"/>
      <c r="H1879" s="8" t="s">
        <v>8164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</row>
    <row r="1880" spans="1:19" ht="15.75" customHeight="1">
      <c r="A1880" s="8">
        <v>247624941</v>
      </c>
      <c r="B1880" s="8" t="s">
        <v>8721</v>
      </c>
      <c r="C1880" s="8" t="s">
        <v>11467</v>
      </c>
      <c r="D1880" s="8" t="s">
        <v>6983</v>
      </c>
      <c r="E1880" s="9">
        <v>79245110238</v>
      </c>
      <c r="F1880" s="8"/>
      <c r="G1880" s="9"/>
      <c r="H1880" s="8" t="s">
        <v>8164</v>
      </c>
      <c r="I1880" s="8" t="s">
        <v>8165</v>
      </c>
      <c r="J1880" s="8"/>
      <c r="K1880" s="8"/>
      <c r="L1880" s="8"/>
      <c r="M1880" s="8"/>
      <c r="N1880" s="8"/>
      <c r="O1880" s="8"/>
      <c r="P1880" s="8"/>
      <c r="Q1880" s="8"/>
      <c r="R1880" s="8"/>
      <c r="S1880" s="8"/>
    </row>
    <row r="1881" spans="1:19" ht="15.75" customHeight="1">
      <c r="A1881" s="8">
        <v>247629374</v>
      </c>
      <c r="B1881" s="8" t="s">
        <v>11468</v>
      </c>
      <c r="C1881" s="8" t="s">
        <v>11469</v>
      </c>
      <c r="D1881" s="8" t="s">
        <v>6986</v>
      </c>
      <c r="E1881" s="9" t="s">
        <v>6987</v>
      </c>
      <c r="F1881" s="8"/>
      <c r="G1881" s="9"/>
      <c r="H1881" s="8" t="s">
        <v>8463</v>
      </c>
      <c r="I1881" s="8" t="s">
        <v>8464</v>
      </c>
      <c r="J1881" s="8"/>
      <c r="K1881" s="8"/>
      <c r="L1881" s="8"/>
      <c r="M1881" s="8"/>
      <c r="N1881" s="8"/>
      <c r="O1881" s="8"/>
      <c r="P1881" s="8"/>
      <c r="Q1881" s="8"/>
      <c r="R1881" s="8"/>
      <c r="S1881" s="8"/>
    </row>
    <row r="1882" spans="1:19" ht="15.75" customHeight="1">
      <c r="A1882" s="8">
        <v>247653674</v>
      </c>
      <c r="B1882" s="8" t="s">
        <v>8398</v>
      </c>
      <c r="C1882" s="8" t="s">
        <v>11470</v>
      </c>
      <c r="D1882" s="8" t="s">
        <v>6990</v>
      </c>
      <c r="E1882" s="9">
        <v>79099993600</v>
      </c>
      <c r="F1882" s="8"/>
      <c r="G1882" s="9"/>
      <c r="H1882" s="8" t="s">
        <v>9435</v>
      </c>
      <c r="I1882" s="8" t="s">
        <v>9436</v>
      </c>
      <c r="J1882" s="8"/>
      <c r="K1882" s="8"/>
      <c r="L1882" s="8"/>
      <c r="M1882" s="8"/>
      <c r="N1882" s="8"/>
      <c r="O1882" s="8"/>
      <c r="P1882" s="8"/>
      <c r="Q1882" s="8"/>
      <c r="R1882" s="8"/>
      <c r="S1882" s="8"/>
    </row>
    <row r="1883" spans="1:19" ht="15.75" customHeight="1">
      <c r="A1883" s="8">
        <v>247654485</v>
      </c>
      <c r="B1883" s="8" t="s">
        <v>8407</v>
      </c>
      <c r="C1883" s="8" t="s">
        <v>11471</v>
      </c>
      <c r="D1883" s="8" t="s">
        <v>6993</v>
      </c>
      <c r="E1883" s="9" t="s">
        <v>6994</v>
      </c>
      <c r="F1883" s="8" t="s">
        <v>11472</v>
      </c>
      <c r="G1883" s="9">
        <v>36</v>
      </c>
      <c r="H1883" s="8" t="s">
        <v>8164</v>
      </c>
      <c r="I1883" s="8" t="s">
        <v>8191</v>
      </c>
      <c r="J1883" s="8"/>
      <c r="K1883" s="8"/>
      <c r="L1883" s="8"/>
      <c r="M1883" s="8"/>
      <c r="N1883" s="8"/>
      <c r="O1883" s="8"/>
      <c r="P1883" s="8"/>
      <c r="Q1883" s="8"/>
      <c r="R1883" s="8"/>
      <c r="S1883" s="8"/>
    </row>
    <row r="1884" spans="1:19" ht="15.75" customHeight="1">
      <c r="A1884" s="8">
        <v>247674657</v>
      </c>
      <c r="B1884" s="8" t="s">
        <v>11473</v>
      </c>
      <c r="C1884" s="8" t="s">
        <v>11474</v>
      </c>
      <c r="D1884" s="8" t="s">
        <v>6998</v>
      </c>
      <c r="E1884" s="9" t="s">
        <v>6999</v>
      </c>
      <c r="F1884" s="8"/>
      <c r="G1884" s="9"/>
      <c r="H1884" s="8" t="s">
        <v>8158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</row>
    <row r="1885" spans="1:19" ht="15.75" customHeight="1">
      <c r="A1885" s="8">
        <v>247730346</v>
      </c>
      <c r="B1885" s="8" t="s">
        <v>11475</v>
      </c>
      <c r="C1885" s="8" t="s">
        <v>8981</v>
      </c>
      <c r="D1885" s="8" t="s">
        <v>7002</v>
      </c>
      <c r="E1885" s="9" t="s">
        <v>7003</v>
      </c>
      <c r="F1885" s="8"/>
      <c r="G1885" s="9"/>
      <c r="H1885" s="8" t="s">
        <v>8164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</row>
    <row r="1886" spans="1:19" ht="15.75" customHeight="1">
      <c r="A1886" s="8">
        <v>247731346</v>
      </c>
      <c r="B1886" s="8" t="s">
        <v>7768</v>
      </c>
      <c r="C1886" s="8" t="s">
        <v>11476</v>
      </c>
      <c r="D1886" s="8" t="s">
        <v>7006</v>
      </c>
      <c r="E1886" s="9" t="s">
        <v>7007</v>
      </c>
      <c r="F1886" s="8"/>
      <c r="G1886" s="9"/>
      <c r="H1886" s="8" t="s">
        <v>8164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</row>
    <row r="1887" spans="1:19" ht="15.75" customHeight="1">
      <c r="A1887" s="8">
        <v>247738305</v>
      </c>
      <c r="B1887" s="8" t="s">
        <v>8390</v>
      </c>
      <c r="C1887" s="8" t="s">
        <v>10181</v>
      </c>
      <c r="D1887" s="8" t="s">
        <v>7011</v>
      </c>
      <c r="E1887" s="9" t="s">
        <v>7012</v>
      </c>
      <c r="F1887" s="8"/>
      <c r="G1887" s="9"/>
      <c r="H1887" s="8" t="s">
        <v>8164</v>
      </c>
      <c r="I1887" s="8" t="s">
        <v>8208</v>
      </c>
      <c r="J1887" s="8"/>
      <c r="K1887" s="8"/>
      <c r="L1887" s="8"/>
      <c r="M1887" s="8"/>
      <c r="N1887" s="8"/>
      <c r="O1887" s="8"/>
      <c r="P1887" s="8"/>
      <c r="Q1887" s="8"/>
      <c r="R1887" s="8"/>
      <c r="S1887" s="8"/>
    </row>
    <row r="1888" spans="1:19" ht="15.75" customHeight="1">
      <c r="A1888" s="8">
        <v>247754878</v>
      </c>
      <c r="B1888" s="8" t="s">
        <v>8721</v>
      </c>
      <c r="C1888" s="8" t="s">
        <v>11477</v>
      </c>
      <c r="D1888" s="8" t="s">
        <v>7016</v>
      </c>
      <c r="E1888" s="9" t="s">
        <v>7017</v>
      </c>
      <c r="F1888" s="8"/>
      <c r="G1888" s="9"/>
      <c r="H1888" s="8" t="s">
        <v>8164</v>
      </c>
      <c r="I1888" s="8" t="s">
        <v>8165</v>
      </c>
      <c r="J1888" s="8"/>
      <c r="K1888" s="8"/>
      <c r="L1888" s="8"/>
      <c r="M1888" s="8"/>
      <c r="N1888" s="8"/>
      <c r="O1888" s="8"/>
      <c r="P1888" s="8"/>
      <c r="Q1888" s="8"/>
      <c r="R1888" s="8"/>
      <c r="S1888" s="8"/>
    </row>
    <row r="1889" spans="1:19" ht="15.75" customHeight="1">
      <c r="A1889" s="8">
        <v>247759668</v>
      </c>
      <c r="B1889" s="8" t="s">
        <v>8410</v>
      </c>
      <c r="C1889" s="8" t="s">
        <v>11478</v>
      </c>
      <c r="D1889" s="8" t="s">
        <v>7020</v>
      </c>
      <c r="E1889" s="9" t="s">
        <v>7021</v>
      </c>
      <c r="F1889" s="8"/>
      <c r="G1889" s="9"/>
      <c r="H1889" s="8" t="s">
        <v>8164</v>
      </c>
      <c r="I1889" s="8" t="s">
        <v>8208</v>
      </c>
      <c r="J1889" s="8"/>
      <c r="K1889" s="8"/>
      <c r="L1889" s="8"/>
      <c r="M1889" s="8"/>
      <c r="N1889" s="8"/>
      <c r="O1889" s="8"/>
      <c r="P1889" s="8"/>
      <c r="Q1889" s="8"/>
      <c r="R1889" s="8"/>
      <c r="S1889" s="8"/>
    </row>
    <row r="1890" spans="1:19" ht="15.75" customHeight="1">
      <c r="A1890" s="8">
        <v>247783327</v>
      </c>
      <c r="B1890" s="8" t="s">
        <v>7875</v>
      </c>
      <c r="C1890" s="8" t="s">
        <v>11479</v>
      </c>
      <c r="D1890" s="8" t="s">
        <v>11480</v>
      </c>
      <c r="E1890" s="9">
        <v>128398938</v>
      </c>
      <c r="F1890" s="8"/>
      <c r="G1890" s="9"/>
      <c r="H1890" s="8" t="s">
        <v>8164</v>
      </c>
      <c r="I1890" s="8" t="s">
        <v>8191</v>
      </c>
      <c r="J1890" s="8"/>
      <c r="K1890" s="8"/>
      <c r="L1890" s="8"/>
      <c r="M1890" s="8"/>
      <c r="N1890" s="8"/>
      <c r="O1890" s="8"/>
      <c r="P1890" s="8"/>
      <c r="Q1890" s="8"/>
      <c r="R1890" s="8"/>
      <c r="S1890" s="8"/>
    </row>
    <row r="1891" spans="1:19" ht="15.75" customHeight="1">
      <c r="A1891" s="8">
        <v>247783766</v>
      </c>
      <c r="B1891" s="8" t="s">
        <v>8234</v>
      </c>
      <c r="C1891" s="8" t="s">
        <v>11481</v>
      </c>
      <c r="D1891" s="8" t="s">
        <v>7024</v>
      </c>
      <c r="E1891" s="9" t="s">
        <v>7025</v>
      </c>
      <c r="F1891" s="8"/>
      <c r="G1891" s="9"/>
      <c r="H1891" s="8" t="s">
        <v>8164</v>
      </c>
      <c r="I1891" s="8" t="s">
        <v>8208</v>
      </c>
      <c r="J1891" s="8"/>
      <c r="K1891" s="8"/>
      <c r="L1891" s="8"/>
      <c r="M1891" s="8"/>
      <c r="N1891" s="8"/>
      <c r="O1891" s="8"/>
      <c r="P1891" s="8"/>
      <c r="Q1891" s="8"/>
      <c r="R1891" s="8"/>
      <c r="S1891" s="8"/>
    </row>
    <row r="1892" spans="1:19" ht="15.75" customHeight="1">
      <c r="A1892" s="8">
        <v>247872744</v>
      </c>
      <c r="B1892" s="8" t="s">
        <v>8431</v>
      </c>
      <c r="C1892" s="8" t="s">
        <v>11482</v>
      </c>
      <c r="D1892" s="8" t="s">
        <v>7029</v>
      </c>
      <c r="E1892" s="9" t="s">
        <v>7030</v>
      </c>
      <c r="F1892" s="8"/>
      <c r="G1892" s="9"/>
      <c r="H1892" s="8" t="s">
        <v>8164</v>
      </c>
      <c r="I1892" s="8" t="s">
        <v>8214</v>
      </c>
      <c r="J1892" s="8"/>
      <c r="K1892" s="8"/>
      <c r="L1892" s="8"/>
      <c r="M1892" s="8"/>
      <c r="N1892" s="8"/>
      <c r="O1892" s="8"/>
      <c r="P1892" s="8"/>
      <c r="Q1892" s="8"/>
      <c r="R1892" s="8"/>
      <c r="S1892" s="8"/>
    </row>
    <row r="1893" spans="1:19" ht="15.75" customHeight="1">
      <c r="A1893" s="8">
        <v>247876402</v>
      </c>
      <c r="B1893" s="8" t="s">
        <v>7768</v>
      </c>
      <c r="C1893" s="8" t="s">
        <v>11483</v>
      </c>
      <c r="D1893" s="8" t="s">
        <v>7033</v>
      </c>
      <c r="E1893" s="9" t="s">
        <v>7034</v>
      </c>
      <c r="F1893" s="8"/>
      <c r="G1893" s="9"/>
      <c r="H1893" s="8" t="s">
        <v>8164</v>
      </c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</row>
    <row r="1894" spans="1:19" ht="15.75" customHeight="1">
      <c r="A1894" s="8">
        <v>247901280</v>
      </c>
      <c r="B1894" s="8" t="s">
        <v>7399</v>
      </c>
      <c r="C1894" s="8" t="s">
        <v>11484</v>
      </c>
      <c r="D1894" s="8" t="s">
        <v>7037</v>
      </c>
      <c r="E1894" s="9">
        <v>79133302729</v>
      </c>
      <c r="F1894" s="8"/>
      <c r="G1894" s="9"/>
      <c r="H1894" s="8" t="s">
        <v>8164</v>
      </c>
      <c r="I1894" s="8" t="s">
        <v>8208</v>
      </c>
      <c r="J1894" s="8"/>
      <c r="K1894" s="8"/>
      <c r="L1894" s="8"/>
      <c r="M1894" s="8"/>
      <c r="N1894" s="8"/>
      <c r="O1894" s="8"/>
      <c r="P1894" s="8"/>
      <c r="Q1894" s="8"/>
      <c r="R1894" s="8"/>
      <c r="S1894" s="8"/>
    </row>
    <row r="1895" spans="1:19" ht="15.75" customHeight="1">
      <c r="A1895" s="8">
        <v>247923442</v>
      </c>
      <c r="B1895" s="8" t="s">
        <v>8866</v>
      </c>
      <c r="C1895" s="8" t="s">
        <v>11485</v>
      </c>
      <c r="D1895" s="8" t="s">
        <v>7040</v>
      </c>
      <c r="E1895" s="9">
        <v>79185971234</v>
      </c>
      <c r="F1895" s="8"/>
      <c r="G1895" s="9"/>
      <c r="H1895" s="8" t="s">
        <v>8164</v>
      </c>
      <c r="I1895" s="8" t="s">
        <v>8214</v>
      </c>
      <c r="J1895" s="8"/>
      <c r="K1895" s="8"/>
      <c r="L1895" s="8"/>
      <c r="M1895" s="8"/>
      <c r="N1895" s="8"/>
      <c r="O1895" s="8"/>
      <c r="P1895" s="8"/>
      <c r="Q1895" s="8"/>
      <c r="R1895" s="8"/>
      <c r="S1895" s="8"/>
    </row>
    <row r="1896" spans="1:19" ht="15.75" customHeight="1">
      <c r="A1896" s="8">
        <v>247930423</v>
      </c>
      <c r="B1896" s="8" t="s">
        <v>8206</v>
      </c>
      <c r="C1896" s="8" t="s">
        <v>11486</v>
      </c>
      <c r="D1896" s="8" t="s">
        <v>7043</v>
      </c>
      <c r="E1896" s="9" t="s">
        <v>7044</v>
      </c>
      <c r="F1896" s="8"/>
      <c r="G1896" s="9"/>
      <c r="H1896" s="8" t="s">
        <v>8164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</row>
    <row r="1897" spans="1:19" ht="15.75" customHeight="1">
      <c r="A1897" s="8">
        <v>247937273</v>
      </c>
      <c r="B1897" s="8" t="s">
        <v>9431</v>
      </c>
      <c r="C1897" s="8" t="s">
        <v>11487</v>
      </c>
      <c r="D1897" s="8" t="s">
        <v>7047</v>
      </c>
      <c r="E1897" s="9" t="s">
        <v>7048</v>
      </c>
      <c r="F1897" s="8"/>
      <c r="G1897" s="9"/>
      <c r="H1897" s="8" t="s">
        <v>8164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</row>
    <row r="1898" spans="1:19" ht="15.75" customHeight="1">
      <c r="A1898" s="8">
        <v>247955013</v>
      </c>
      <c r="B1898" s="8" t="s">
        <v>8479</v>
      </c>
      <c r="C1898" s="8" t="s">
        <v>11488</v>
      </c>
      <c r="D1898" s="8" t="s">
        <v>7051</v>
      </c>
      <c r="E1898" s="9" t="s">
        <v>7052</v>
      </c>
      <c r="F1898" s="8"/>
      <c r="G1898" s="9"/>
      <c r="H1898" s="8" t="s">
        <v>8164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</row>
    <row r="1899" spans="1:19" ht="15.75" customHeight="1">
      <c r="A1899" s="8">
        <v>247975298</v>
      </c>
      <c r="B1899" s="8" t="s">
        <v>8075</v>
      </c>
      <c r="C1899" s="8" t="s">
        <v>11489</v>
      </c>
      <c r="D1899" s="8" t="s">
        <v>7056</v>
      </c>
      <c r="E1899" s="9">
        <v>79296623555</v>
      </c>
      <c r="F1899" s="8"/>
      <c r="G1899" s="9"/>
      <c r="H1899" s="8" t="s">
        <v>8164</v>
      </c>
      <c r="I1899" s="8" t="s">
        <v>8165</v>
      </c>
      <c r="J1899" s="8"/>
      <c r="K1899" s="8"/>
      <c r="L1899" s="8"/>
      <c r="M1899" s="8"/>
      <c r="N1899" s="8"/>
      <c r="O1899" s="8"/>
      <c r="P1899" s="8"/>
      <c r="Q1899" s="8"/>
      <c r="R1899" s="8"/>
      <c r="S1899" s="8"/>
    </row>
    <row r="1900" spans="1:19" ht="15.75" customHeight="1">
      <c r="A1900" s="8">
        <v>247977695</v>
      </c>
      <c r="B1900" s="8" t="s">
        <v>9145</v>
      </c>
      <c r="C1900" s="8" t="s">
        <v>11490</v>
      </c>
      <c r="D1900" s="8" t="s">
        <v>11491</v>
      </c>
      <c r="E1900" s="9" t="s">
        <v>11492</v>
      </c>
      <c r="F1900" s="8"/>
      <c r="G1900" s="9"/>
      <c r="H1900" s="8" t="s">
        <v>8558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</row>
    <row r="1901" spans="1:19" ht="15.75" customHeight="1">
      <c r="A1901" s="8">
        <v>248062140</v>
      </c>
      <c r="B1901" s="8" t="s">
        <v>8321</v>
      </c>
      <c r="C1901" s="8" t="s">
        <v>11493</v>
      </c>
      <c r="D1901" s="8" t="s">
        <v>7059</v>
      </c>
      <c r="E1901" s="9" t="s">
        <v>7060</v>
      </c>
      <c r="F1901" s="8" t="s">
        <v>11494</v>
      </c>
      <c r="G1901" s="9">
        <v>51</v>
      </c>
      <c r="H1901" s="8" t="s">
        <v>8164</v>
      </c>
      <c r="I1901" s="8" t="s">
        <v>10250</v>
      </c>
      <c r="J1901" s="8"/>
      <c r="K1901" s="8"/>
      <c r="L1901" s="8"/>
      <c r="M1901" s="8"/>
      <c r="N1901" s="8"/>
      <c r="O1901" s="8"/>
      <c r="P1901" s="8"/>
      <c r="Q1901" s="8"/>
      <c r="R1901" s="8"/>
      <c r="S1901" s="8"/>
    </row>
    <row r="1902" spans="1:19" ht="15.75" customHeight="1">
      <c r="A1902" s="8">
        <v>248069857</v>
      </c>
      <c r="B1902" s="8"/>
      <c r="C1902" s="8"/>
      <c r="D1902" s="8" t="s">
        <v>7063</v>
      </c>
      <c r="E1902" s="9"/>
      <c r="F1902" s="8"/>
      <c r="G1902" s="9"/>
      <c r="H1902" s="8" t="s">
        <v>8164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</row>
    <row r="1903" spans="1:19" ht="15.75" customHeight="1">
      <c r="A1903" s="8">
        <v>248075528</v>
      </c>
      <c r="B1903" s="8"/>
      <c r="C1903" s="8"/>
      <c r="D1903" s="8" t="s">
        <v>7066</v>
      </c>
      <c r="E1903" s="9"/>
      <c r="F1903" s="8"/>
      <c r="G1903" s="9"/>
      <c r="H1903" s="8" t="s">
        <v>8267</v>
      </c>
      <c r="I1903" s="8" t="s">
        <v>11495</v>
      </c>
      <c r="J1903" s="8"/>
      <c r="K1903" s="8"/>
      <c r="L1903" s="8"/>
      <c r="M1903" s="8"/>
      <c r="N1903" s="8"/>
      <c r="O1903" s="8"/>
      <c r="P1903" s="8"/>
      <c r="Q1903" s="8"/>
      <c r="R1903" s="8"/>
      <c r="S1903" s="8"/>
    </row>
    <row r="1904" spans="1:19" ht="15.75" customHeight="1">
      <c r="A1904" s="8">
        <v>248092104</v>
      </c>
      <c r="B1904" s="8"/>
      <c r="C1904" s="8"/>
      <c r="D1904" s="8" t="s">
        <v>7070</v>
      </c>
      <c r="E1904" s="9"/>
      <c r="F1904" s="8"/>
      <c r="G1904" s="9"/>
      <c r="H1904" s="8" t="s">
        <v>8241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</row>
    <row r="1905" spans="1:19" ht="15.75" customHeight="1">
      <c r="A1905" s="8">
        <v>248138020</v>
      </c>
      <c r="B1905" s="8" t="s">
        <v>11496</v>
      </c>
      <c r="C1905" s="8" t="s">
        <v>11497</v>
      </c>
      <c r="D1905" s="8" t="s">
        <v>7073</v>
      </c>
      <c r="E1905" s="9"/>
      <c r="F1905" s="8"/>
      <c r="G1905" s="9"/>
      <c r="H1905" s="8" t="s">
        <v>8164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</row>
    <row r="1906" spans="1:19" ht="15.75" customHeight="1">
      <c r="A1906" s="8">
        <v>248138300</v>
      </c>
      <c r="B1906" s="8" t="s">
        <v>8760</v>
      </c>
      <c r="C1906" s="8" t="s">
        <v>8275</v>
      </c>
      <c r="D1906" s="8" t="s">
        <v>7076</v>
      </c>
      <c r="E1906" s="9" t="s">
        <v>7077</v>
      </c>
      <c r="F1906" s="8"/>
      <c r="G1906" s="9"/>
      <c r="H1906" s="8" t="s">
        <v>8164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</row>
    <row r="1907" spans="1:19" ht="15.75" customHeight="1">
      <c r="A1907" s="8">
        <v>248148376</v>
      </c>
      <c r="B1907" s="8" t="s">
        <v>11498</v>
      </c>
      <c r="C1907" s="8" t="s">
        <v>11499</v>
      </c>
      <c r="D1907" s="8" t="s">
        <v>11500</v>
      </c>
      <c r="E1907" s="9" t="s">
        <v>11501</v>
      </c>
      <c r="F1907" s="8"/>
      <c r="G1907" s="9"/>
      <c r="H1907" s="8" t="s">
        <v>8164</v>
      </c>
      <c r="I1907" s="8" t="s">
        <v>11502</v>
      </c>
      <c r="J1907" s="8" t="s">
        <v>7399</v>
      </c>
      <c r="K1907" s="8"/>
      <c r="L1907" s="8"/>
      <c r="M1907" s="8"/>
      <c r="N1907" s="8"/>
      <c r="O1907" s="8"/>
      <c r="P1907" s="8"/>
      <c r="Q1907" s="8"/>
      <c r="R1907" s="8"/>
      <c r="S1907" s="8"/>
    </row>
    <row r="1908" spans="1:19" ht="15.75" customHeight="1">
      <c r="A1908" s="8">
        <v>248152395</v>
      </c>
      <c r="B1908" s="8" t="s">
        <v>8643</v>
      </c>
      <c r="C1908" s="8" t="s">
        <v>11503</v>
      </c>
      <c r="D1908" s="8" t="s">
        <v>7080</v>
      </c>
      <c r="E1908" s="9">
        <v>79111362441</v>
      </c>
      <c r="F1908" s="8"/>
      <c r="G1908" s="9"/>
      <c r="H1908" s="8" t="s">
        <v>8164</v>
      </c>
      <c r="I1908" s="8" t="s">
        <v>8208</v>
      </c>
      <c r="J1908" s="8"/>
      <c r="K1908" s="8"/>
      <c r="L1908" s="8"/>
      <c r="M1908" s="8"/>
      <c r="N1908" s="8"/>
      <c r="O1908" s="8"/>
      <c r="P1908" s="8"/>
      <c r="Q1908" s="8"/>
      <c r="R1908" s="8"/>
      <c r="S1908" s="8"/>
    </row>
    <row r="1909" spans="1:19" ht="15.75" customHeight="1">
      <c r="A1909" s="8">
        <v>248160728</v>
      </c>
      <c r="B1909" s="8" t="s">
        <v>8186</v>
      </c>
      <c r="C1909" s="8" t="s">
        <v>11504</v>
      </c>
      <c r="D1909" s="8" t="s">
        <v>7089</v>
      </c>
      <c r="E1909" s="9"/>
      <c r="F1909" s="8"/>
      <c r="G1909" s="9"/>
      <c r="H1909" s="8" t="s">
        <v>8241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</row>
    <row r="1910" spans="1:19" ht="15.75" customHeight="1">
      <c r="A1910" s="8">
        <v>248176792</v>
      </c>
      <c r="B1910" s="8"/>
      <c r="C1910" s="8"/>
      <c r="D1910" s="8" t="s">
        <v>7093</v>
      </c>
      <c r="E1910" s="9"/>
      <c r="F1910" s="8"/>
      <c r="G1910" s="9"/>
      <c r="H1910" s="8" t="s">
        <v>8164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</row>
    <row r="1911" spans="1:19" ht="15.75" customHeight="1">
      <c r="A1911" s="8">
        <v>248181930</v>
      </c>
      <c r="B1911" s="8" t="s">
        <v>8197</v>
      </c>
      <c r="C1911" s="8" t="s">
        <v>11505</v>
      </c>
      <c r="D1911" s="8" t="s">
        <v>7096</v>
      </c>
      <c r="E1911" s="9"/>
      <c r="F1911" s="8"/>
      <c r="G1911" s="9"/>
      <c r="H1911" s="8" t="s">
        <v>8222</v>
      </c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</row>
    <row r="1912" spans="1:19" ht="15.75" customHeight="1">
      <c r="A1912" s="8">
        <v>248206353</v>
      </c>
      <c r="B1912" s="8" t="s">
        <v>11506</v>
      </c>
      <c r="C1912" s="8" t="s">
        <v>11507</v>
      </c>
      <c r="D1912" s="8" t="s">
        <v>7099</v>
      </c>
      <c r="E1912" s="9"/>
      <c r="F1912" s="8" t="s">
        <v>11508</v>
      </c>
      <c r="G1912" s="9">
        <v>42</v>
      </c>
      <c r="H1912" s="8" t="s">
        <v>9212</v>
      </c>
      <c r="I1912" s="8" t="s">
        <v>11509</v>
      </c>
      <c r="J1912" s="8"/>
      <c r="K1912" s="8"/>
      <c r="L1912" s="8"/>
      <c r="M1912" s="8"/>
      <c r="N1912" s="8"/>
      <c r="O1912" s="8"/>
      <c r="P1912" s="8"/>
      <c r="Q1912" s="8"/>
      <c r="R1912" s="8"/>
      <c r="S1912" s="8"/>
    </row>
    <row r="1913" spans="1:19" ht="15.75" customHeight="1">
      <c r="A1913" s="8">
        <v>248207481</v>
      </c>
      <c r="B1913" s="8" t="s">
        <v>8479</v>
      </c>
      <c r="C1913" s="8" t="s">
        <v>11510</v>
      </c>
      <c r="D1913" s="8" t="s">
        <v>7102</v>
      </c>
      <c r="E1913" s="9"/>
      <c r="F1913" s="8"/>
      <c r="G1913" s="9"/>
      <c r="H1913" s="8" t="s">
        <v>8164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</row>
    <row r="1914" spans="1:19" ht="15.75" customHeight="1">
      <c r="A1914" s="8">
        <v>248210729</v>
      </c>
      <c r="B1914" s="8" t="s">
        <v>9163</v>
      </c>
      <c r="C1914" s="8" t="s">
        <v>1837</v>
      </c>
      <c r="D1914" s="8" t="s">
        <v>7105</v>
      </c>
      <c r="E1914" s="9" t="s">
        <v>7106</v>
      </c>
      <c r="F1914" s="8"/>
      <c r="G1914" s="9"/>
      <c r="H1914" s="8" t="s">
        <v>8164</v>
      </c>
      <c r="I1914" s="8" t="s">
        <v>11511</v>
      </c>
      <c r="J1914" s="8"/>
      <c r="K1914" s="8"/>
      <c r="L1914" s="8"/>
      <c r="M1914" s="8"/>
      <c r="N1914" s="8"/>
      <c r="O1914" s="8"/>
      <c r="P1914" s="8"/>
      <c r="Q1914" s="8"/>
      <c r="R1914" s="8"/>
      <c r="S1914" s="8"/>
    </row>
    <row r="1915" spans="1:19" ht="15.75" customHeight="1">
      <c r="A1915" s="8">
        <v>248211866</v>
      </c>
      <c r="B1915" s="8"/>
      <c r="C1915" s="8"/>
      <c r="D1915" s="8" t="s">
        <v>11512</v>
      </c>
      <c r="E1915" s="9"/>
      <c r="F1915" s="8"/>
      <c r="G1915" s="9"/>
      <c r="H1915" s="8" t="s">
        <v>9435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</row>
    <row r="1916" spans="1:19" ht="15.75" customHeight="1">
      <c r="A1916" s="8">
        <v>248216815</v>
      </c>
      <c r="B1916" s="8"/>
      <c r="C1916" s="8"/>
      <c r="D1916" s="8" t="s">
        <v>7109</v>
      </c>
      <c r="E1916" s="9"/>
      <c r="F1916" s="8"/>
      <c r="G1916" s="9"/>
      <c r="H1916" s="8" t="s">
        <v>8183</v>
      </c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</row>
    <row r="1917" spans="1:19" ht="15.75" customHeight="1">
      <c r="A1917" s="8">
        <v>248220957</v>
      </c>
      <c r="B1917" s="8" t="s">
        <v>8304</v>
      </c>
      <c r="C1917" s="8" t="s">
        <v>11513</v>
      </c>
      <c r="D1917" s="8" t="s">
        <v>7112</v>
      </c>
      <c r="E1917" s="9">
        <v>79000818980</v>
      </c>
      <c r="F1917" s="8" t="s">
        <v>11514</v>
      </c>
      <c r="G1917" s="9">
        <v>49</v>
      </c>
      <c r="H1917" s="8" t="s">
        <v>8164</v>
      </c>
      <c r="I1917" s="8" t="s">
        <v>10032</v>
      </c>
      <c r="J1917" s="8"/>
      <c r="K1917" s="8"/>
      <c r="L1917" s="8"/>
      <c r="M1917" s="8"/>
      <c r="N1917" s="8"/>
      <c r="O1917" s="8"/>
      <c r="P1917" s="8"/>
      <c r="Q1917" s="8"/>
      <c r="R1917" s="8"/>
      <c r="S1917" s="8"/>
    </row>
    <row r="1918" spans="1:19" ht="15.75" customHeight="1">
      <c r="A1918" s="8">
        <v>248224078</v>
      </c>
      <c r="B1918" s="8" t="s">
        <v>8288</v>
      </c>
      <c r="C1918" s="8" t="s">
        <v>11515</v>
      </c>
      <c r="D1918" s="8" t="s">
        <v>7115</v>
      </c>
      <c r="E1918" s="9">
        <v>79223636100</v>
      </c>
      <c r="F1918" s="8"/>
      <c r="G1918" s="9"/>
      <c r="H1918" s="8" t="s">
        <v>8164</v>
      </c>
      <c r="I1918" s="8" t="s">
        <v>8499</v>
      </c>
      <c r="J1918" s="8"/>
      <c r="K1918" s="8"/>
      <c r="L1918" s="8"/>
      <c r="M1918" s="8"/>
      <c r="N1918" s="8"/>
      <c r="O1918" s="8"/>
      <c r="P1918" s="8"/>
      <c r="Q1918" s="8"/>
      <c r="R1918" s="8"/>
      <c r="S1918" s="8"/>
    </row>
    <row r="1919" spans="1:19" ht="15.75" customHeight="1">
      <c r="A1919" s="8">
        <v>248236979</v>
      </c>
      <c r="B1919" s="8" t="s">
        <v>7768</v>
      </c>
      <c r="C1919" s="8" t="s">
        <v>11516</v>
      </c>
      <c r="D1919" s="8" t="s">
        <v>11517</v>
      </c>
      <c r="E1919" s="9">
        <v>79045470011</v>
      </c>
      <c r="F1919" s="8"/>
      <c r="G1919" s="9"/>
      <c r="H1919" s="8" t="s">
        <v>8158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</row>
    <row r="1920" spans="1:19" ht="15.75" customHeight="1">
      <c r="A1920" s="8">
        <v>248242720</v>
      </c>
      <c r="B1920" s="8" t="s">
        <v>8283</v>
      </c>
      <c r="C1920" s="8" t="s">
        <v>11518</v>
      </c>
      <c r="D1920" s="8" t="s">
        <v>7118</v>
      </c>
      <c r="E1920" s="9" t="s">
        <v>7119</v>
      </c>
      <c r="F1920" s="8"/>
      <c r="G1920" s="9"/>
      <c r="H1920" s="8" t="s">
        <v>8164</v>
      </c>
      <c r="I1920" s="8" t="s">
        <v>8214</v>
      </c>
      <c r="J1920" s="8"/>
      <c r="K1920" s="8"/>
      <c r="L1920" s="8"/>
      <c r="M1920" s="8"/>
      <c r="N1920" s="8"/>
      <c r="O1920" s="8"/>
      <c r="P1920" s="8"/>
      <c r="Q1920" s="8"/>
      <c r="R1920" s="8"/>
      <c r="S1920" s="8"/>
    </row>
    <row r="1921" spans="1:19" ht="15.75" customHeight="1">
      <c r="A1921" s="8">
        <v>248243237</v>
      </c>
      <c r="B1921" s="8" t="s">
        <v>11519</v>
      </c>
      <c r="C1921" s="8" t="s">
        <v>11520</v>
      </c>
      <c r="D1921" s="8" t="s">
        <v>7122</v>
      </c>
      <c r="E1921" s="9">
        <v>79636048668</v>
      </c>
      <c r="F1921" s="8"/>
      <c r="G1921" s="9"/>
      <c r="H1921" s="8" t="s">
        <v>8164</v>
      </c>
      <c r="I1921" s="8" t="s">
        <v>8921</v>
      </c>
      <c r="J1921" s="8"/>
      <c r="K1921" s="8"/>
      <c r="L1921" s="8"/>
      <c r="M1921" s="8"/>
      <c r="N1921" s="8"/>
      <c r="O1921" s="8"/>
      <c r="P1921" s="8"/>
      <c r="Q1921" s="8"/>
      <c r="R1921" s="8"/>
      <c r="S1921" s="8"/>
    </row>
    <row r="1922" spans="1:19" ht="15.75" customHeight="1">
      <c r="A1922" s="8">
        <v>248254278</v>
      </c>
      <c r="B1922" s="8" t="s">
        <v>8186</v>
      </c>
      <c r="C1922" s="8" t="s">
        <v>11521</v>
      </c>
      <c r="D1922" s="8" t="s">
        <v>7125</v>
      </c>
      <c r="E1922" s="9" t="s">
        <v>7126</v>
      </c>
      <c r="F1922" s="8"/>
      <c r="G1922" s="9"/>
      <c r="H1922" s="8" t="s">
        <v>8164</v>
      </c>
      <c r="I1922" s="8" t="s">
        <v>8208</v>
      </c>
      <c r="J1922" s="8"/>
      <c r="K1922" s="8"/>
      <c r="L1922" s="8"/>
      <c r="M1922" s="8"/>
      <c r="N1922" s="8"/>
      <c r="O1922" s="8"/>
      <c r="P1922" s="8"/>
      <c r="Q1922" s="8"/>
      <c r="R1922" s="8"/>
      <c r="S1922" s="8"/>
    </row>
    <row r="1923" spans="1:19" ht="15.75" customHeight="1">
      <c r="A1923" s="8">
        <v>248287573</v>
      </c>
      <c r="B1923" s="8" t="s">
        <v>7768</v>
      </c>
      <c r="C1923" s="8" t="s">
        <v>11522</v>
      </c>
      <c r="D1923" s="8" t="s">
        <v>7129</v>
      </c>
      <c r="E1923" s="9">
        <v>79234928914</v>
      </c>
      <c r="F1923" s="8"/>
      <c r="G1923" s="9"/>
      <c r="H1923" s="8" t="s">
        <v>8164</v>
      </c>
      <c r="I1923" s="8" t="s">
        <v>8165</v>
      </c>
      <c r="J1923" s="8"/>
      <c r="K1923" s="8"/>
      <c r="L1923" s="8"/>
      <c r="M1923" s="8"/>
      <c r="N1923" s="8"/>
      <c r="O1923" s="8"/>
      <c r="P1923" s="8"/>
      <c r="Q1923" s="8"/>
      <c r="R1923" s="8"/>
      <c r="S1923" s="8"/>
    </row>
    <row r="1924" spans="1:19" ht="15.75" customHeight="1">
      <c r="A1924" s="8">
        <v>248307786</v>
      </c>
      <c r="B1924" s="8" t="s">
        <v>7131</v>
      </c>
      <c r="C1924" s="8"/>
      <c r="D1924" s="8" t="s">
        <v>7132</v>
      </c>
      <c r="E1924" s="9" t="s">
        <v>7133</v>
      </c>
      <c r="F1924" s="8" t="s">
        <v>11523</v>
      </c>
      <c r="G1924" s="9">
        <v>33</v>
      </c>
      <c r="H1924" s="8" t="s">
        <v>8164</v>
      </c>
      <c r="I1924" s="8" t="s">
        <v>8165</v>
      </c>
      <c r="J1924" s="8"/>
      <c r="K1924" s="8"/>
      <c r="L1924" s="8"/>
      <c r="M1924" s="8"/>
      <c r="N1924" s="8"/>
      <c r="O1924" s="8"/>
      <c r="P1924" s="8"/>
      <c r="Q1924" s="8"/>
      <c r="R1924" s="8"/>
      <c r="S1924" s="8"/>
    </row>
    <row r="1925" spans="1:19" ht="15.75" customHeight="1">
      <c r="A1925" s="8">
        <v>248319859</v>
      </c>
      <c r="B1925" s="8" t="s">
        <v>8325</v>
      </c>
      <c r="C1925" s="8" t="s">
        <v>11524</v>
      </c>
      <c r="D1925" s="8" t="s">
        <v>7136</v>
      </c>
      <c r="E1925" s="9">
        <v>79153802150</v>
      </c>
      <c r="F1925" s="8"/>
      <c r="G1925" s="9"/>
      <c r="H1925" s="8" t="s">
        <v>8164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</row>
    <row r="1926" spans="1:19" ht="15.75" customHeight="1">
      <c r="A1926" s="8">
        <v>248331923</v>
      </c>
      <c r="B1926" s="8" t="s">
        <v>8434</v>
      </c>
      <c r="C1926" s="8" t="s">
        <v>11525</v>
      </c>
      <c r="D1926" s="8" t="s">
        <v>7139</v>
      </c>
      <c r="E1926" s="9" t="s">
        <v>7140</v>
      </c>
      <c r="F1926" s="8"/>
      <c r="G1926" s="9"/>
      <c r="H1926" s="8" t="s">
        <v>8164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</row>
    <row r="1927" spans="1:19" ht="15.75" customHeight="1">
      <c r="A1927" s="8">
        <v>248351827</v>
      </c>
      <c r="B1927" s="8" t="s">
        <v>11526</v>
      </c>
      <c r="C1927" s="8" t="s">
        <v>11527</v>
      </c>
      <c r="D1927" s="8" t="s">
        <v>11528</v>
      </c>
      <c r="E1927" s="9">
        <v>79528661619</v>
      </c>
      <c r="F1927" s="8"/>
      <c r="G1927" s="9"/>
      <c r="H1927" s="8" t="s">
        <v>8164</v>
      </c>
      <c r="I1927" s="8" t="s">
        <v>8191</v>
      </c>
      <c r="J1927" s="8"/>
      <c r="K1927" s="8"/>
      <c r="L1927" s="8"/>
      <c r="M1927" s="8"/>
      <c r="N1927" s="8"/>
      <c r="O1927" s="8"/>
      <c r="P1927" s="8"/>
      <c r="Q1927" s="8"/>
      <c r="R1927" s="8"/>
      <c r="S1927" s="8"/>
    </row>
    <row r="1928" spans="1:19" ht="15.75" customHeight="1">
      <c r="A1928" s="8">
        <v>248399064</v>
      </c>
      <c r="B1928" s="8" t="s">
        <v>11529</v>
      </c>
      <c r="C1928" s="8" t="s">
        <v>11530</v>
      </c>
      <c r="D1928" s="8" t="s">
        <v>7144</v>
      </c>
      <c r="E1928" s="9">
        <v>79004834292</v>
      </c>
      <c r="F1928" s="8"/>
      <c r="G1928" s="9"/>
      <c r="H1928" s="8" t="s">
        <v>8164</v>
      </c>
      <c r="I1928" s="8" t="s">
        <v>8191</v>
      </c>
      <c r="J1928" s="8"/>
      <c r="K1928" s="8"/>
      <c r="L1928" s="8"/>
      <c r="M1928" s="8"/>
      <c r="N1928" s="8"/>
      <c r="O1928" s="8"/>
      <c r="P1928" s="8"/>
      <c r="Q1928" s="8"/>
      <c r="R1928" s="8"/>
      <c r="S1928" s="8"/>
    </row>
    <row r="1929" spans="1:19" ht="15.75" customHeight="1">
      <c r="A1929" s="8">
        <v>248399887</v>
      </c>
      <c r="B1929" s="8" t="s">
        <v>7399</v>
      </c>
      <c r="C1929" s="8" t="s">
        <v>11531</v>
      </c>
      <c r="D1929" s="8" t="s">
        <v>7147</v>
      </c>
      <c r="E1929" s="9" t="s">
        <v>7148</v>
      </c>
      <c r="F1929" s="8"/>
      <c r="G1929" s="9"/>
      <c r="H1929" s="8" t="s">
        <v>8164</v>
      </c>
      <c r="I1929" s="8" t="s">
        <v>8165</v>
      </c>
      <c r="J1929" s="8"/>
      <c r="K1929" s="8"/>
      <c r="L1929" s="8"/>
      <c r="M1929" s="8"/>
      <c r="N1929" s="8"/>
      <c r="O1929" s="8"/>
      <c r="P1929" s="8"/>
      <c r="Q1929" s="8"/>
      <c r="R1929" s="8"/>
      <c r="S1929" s="8"/>
    </row>
    <row r="1930" spans="1:19" ht="15.75" customHeight="1">
      <c r="A1930" s="8">
        <v>248437672</v>
      </c>
      <c r="B1930" s="8" t="s">
        <v>3971</v>
      </c>
      <c r="C1930" s="8" t="s">
        <v>11532</v>
      </c>
      <c r="D1930" s="8" t="s">
        <v>11533</v>
      </c>
      <c r="E1930" s="9">
        <v>79850448430</v>
      </c>
      <c r="F1930" s="8" t="s">
        <v>11534</v>
      </c>
      <c r="G1930" s="9">
        <v>48</v>
      </c>
      <c r="H1930" s="8" t="s">
        <v>8164</v>
      </c>
      <c r="I1930" s="8" t="s">
        <v>9240</v>
      </c>
      <c r="J1930" s="8"/>
      <c r="K1930" s="8"/>
      <c r="L1930" s="8"/>
      <c r="M1930" s="8"/>
      <c r="N1930" s="8"/>
      <c r="O1930" s="8"/>
      <c r="P1930" s="8"/>
      <c r="Q1930" s="8"/>
      <c r="R1930" s="8"/>
      <c r="S1930" s="8"/>
    </row>
    <row r="1931" spans="1:19" ht="15.75" customHeight="1">
      <c r="A1931" s="8">
        <v>248462034</v>
      </c>
      <c r="B1931" s="8" t="s">
        <v>8619</v>
      </c>
      <c r="C1931" s="8" t="s">
        <v>11535</v>
      </c>
      <c r="D1931" s="8" t="s">
        <v>7153</v>
      </c>
      <c r="E1931" s="9" t="s">
        <v>7154</v>
      </c>
      <c r="F1931" s="8"/>
      <c r="G1931" s="9"/>
      <c r="H1931" s="8" t="s">
        <v>8164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</row>
    <row r="1932" spans="1:19" ht="15.75" customHeight="1">
      <c r="A1932" s="8">
        <v>248474515</v>
      </c>
      <c r="B1932" s="8" t="s">
        <v>8903</v>
      </c>
      <c r="C1932" s="8" t="s">
        <v>11536</v>
      </c>
      <c r="D1932" s="8" t="s">
        <v>7157</v>
      </c>
      <c r="E1932" s="9">
        <v>79787512092</v>
      </c>
      <c r="F1932" s="8"/>
      <c r="G1932" s="9"/>
      <c r="H1932" s="8" t="s">
        <v>8267</v>
      </c>
      <c r="I1932" s="8" t="s">
        <v>9629</v>
      </c>
      <c r="J1932" s="8"/>
      <c r="K1932" s="8"/>
      <c r="L1932" s="8"/>
      <c r="M1932" s="8"/>
      <c r="N1932" s="8"/>
      <c r="O1932" s="8"/>
      <c r="P1932" s="8"/>
      <c r="Q1932" s="8"/>
      <c r="R1932" s="8"/>
      <c r="S1932" s="8"/>
    </row>
    <row r="1933" spans="1:19" ht="15.75" customHeight="1">
      <c r="A1933" s="8">
        <v>248490196</v>
      </c>
      <c r="B1933" s="8" t="s">
        <v>10442</v>
      </c>
      <c r="C1933" s="8" t="s">
        <v>11537</v>
      </c>
      <c r="D1933" s="8" t="s">
        <v>7160</v>
      </c>
      <c r="E1933" s="9" t="s">
        <v>7161</v>
      </c>
      <c r="F1933" s="8"/>
      <c r="G1933" s="9"/>
      <c r="H1933" s="8" t="s">
        <v>8164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</row>
    <row r="1934" spans="1:19" ht="15.75" customHeight="1">
      <c r="A1934" s="8">
        <v>248517521</v>
      </c>
      <c r="B1934" s="8" t="s">
        <v>8539</v>
      </c>
      <c r="C1934" s="8" t="s">
        <v>11538</v>
      </c>
      <c r="D1934" s="8" t="s">
        <v>11539</v>
      </c>
      <c r="E1934" s="9">
        <v>37067536539</v>
      </c>
      <c r="F1934" s="8"/>
      <c r="G1934" s="9"/>
      <c r="H1934" s="8" t="s">
        <v>8386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</row>
    <row r="1935" spans="1:19" ht="15.75" customHeight="1">
      <c r="A1935" s="8">
        <v>248520679</v>
      </c>
      <c r="B1935" s="8"/>
      <c r="C1935" s="8"/>
      <c r="D1935" s="8" t="s">
        <v>11540</v>
      </c>
      <c r="E1935" s="9"/>
      <c r="F1935" s="8"/>
      <c r="G1935" s="9"/>
      <c r="H1935" s="8" t="s">
        <v>8164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</row>
    <row r="1936" spans="1:19" ht="15.75" customHeight="1">
      <c r="A1936" s="8">
        <v>248523059</v>
      </c>
      <c r="B1936" s="8" t="s">
        <v>8325</v>
      </c>
      <c r="C1936" s="8" t="s">
        <v>11541</v>
      </c>
      <c r="D1936" s="8" t="s">
        <v>7165</v>
      </c>
      <c r="E1936" s="9">
        <v>79940072416</v>
      </c>
      <c r="F1936" s="8" t="s">
        <v>11542</v>
      </c>
      <c r="G1936" s="9">
        <v>26</v>
      </c>
      <c r="H1936" s="8" t="s">
        <v>8164</v>
      </c>
      <c r="I1936" s="8" t="s">
        <v>8205</v>
      </c>
      <c r="J1936" s="8"/>
      <c r="K1936" s="8"/>
      <c r="L1936" s="8"/>
      <c r="M1936" s="8"/>
      <c r="N1936" s="8"/>
      <c r="O1936" s="8"/>
      <c r="P1936" s="8"/>
      <c r="Q1936" s="8"/>
      <c r="R1936" s="8"/>
      <c r="S1936" s="8"/>
    </row>
    <row r="1937" spans="1:19" ht="15.75" customHeight="1">
      <c r="A1937" s="8">
        <v>248558015</v>
      </c>
      <c r="B1937" s="8" t="s">
        <v>8277</v>
      </c>
      <c r="C1937" s="8" t="s">
        <v>10181</v>
      </c>
      <c r="D1937" s="8" t="s">
        <v>7168</v>
      </c>
      <c r="E1937" s="9" t="s">
        <v>7169</v>
      </c>
      <c r="F1937" s="8"/>
      <c r="G1937" s="9"/>
      <c r="H1937" s="8" t="s">
        <v>8164</v>
      </c>
      <c r="I1937" s="8" t="s">
        <v>8276</v>
      </c>
      <c r="J1937" s="8"/>
      <c r="K1937" s="8"/>
      <c r="L1937" s="8"/>
      <c r="M1937" s="8"/>
      <c r="N1937" s="8"/>
      <c r="O1937" s="8"/>
      <c r="P1937" s="8"/>
      <c r="Q1937" s="8"/>
      <c r="R1937" s="8"/>
      <c r="S1937" s="8"/>
    </row>
    <row r="1938" spans="1:19" ht="15.75" customHeight="1">
      <c r="A1938" s="8">
        <v>248578714</v>
      </c>
      <c r="B1938" s="8"/>
      <c r="C1938" s="8"/>
      <c r="D1938" s="8" t="s">
        <v>7172</v>
      </c>
      <c r="E1938" s="9"/>
      <c r="F1938" s="8"/>
      <c r="G1938" s="9"/>
      <c r="H1938" s="8" t="s">
        <v>8222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</row>
    <row r="1939" spans="1:19" ht="15.75" customHeight="1">
      <c r="A1939" s="8">
        <v>248590556</v>
      </c>
      <c r="B1939" s="8" t="s">
        <v>8229</v>
      </c>
      <c r="C1939" s="8" t="s">
        <v>11543</v>
      </c>
      <c r="D1939" s="8" t="s">
        <v>7175</v>
      </c>
      <c r="E1939" s="9"/>
      <c r="F1939" s="8"/>
      <c r="G1939" s="9"/>
      <c r="H1939" s="8" t="s">
        <v>8164</v>
      </c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</row>
    <row r="1940" spans="1:19" ht="15.75" customHeight="1">
      <c r="A1940" s="8">
        <v>248591227</v>
      </c>
      <c r="B1940" s="8" t="s">
        <v>8197</v>
      </c>
      <c r="C1940" s="8" t="s">
        <v>11544</v>
      </c>
      <c r="D1940" s="8" t="s">
        <v>7179</v>
      </c>
      <c r="E1940" s="9"/>
      <c r="F1940" s="8"/>
      <c r="G1940" s="9"/>
      <c r="H1940" s="8" t="s">
        <v>8222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</row>
    <row r="1941" spans="1:19" ht="15.75" customHeight="1">
      <c r="A1941" s="8">
        <v>248591276</v>
      </c>
      <c r="B1941" s="8"/>
      <c r="C1941" s="8"/>
      <c r="D1941" s="8" t="s">
        <v>7182</v>
      </c>
      <c r="E1941" s="9"/>
      <c r="F1941" s="8"/>
      <c r="G1941" s="9"/>
      <c r="H1941" s="8" t="s">
        <v>8164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</row>
    <row r="1942" spans="1:19" ht="15.75" customHeight="1">
      <c r="A1942" s="8">
        <v>248614993</v>
      </c>
      <c r="B1942" s="8" t="s">
        <v>7818</v>
      </c>
      <c r="C1942" s="8" t="s">
        <v>11545</v>
      </c>
      <c r="D1942" s="8" t="s">
        <v>7186</v>
      </c>
      <c r="E1942" s="9"/>
      <c r="F1942" s="8"/>
      <c r="G1942" s="9"/>
      <c r="H1942" s="8" t="s">
        <v>8222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</row>
    <row r="1943" spans="1:19" ht="15.75" customHeight="1">
      <c r="A1943" s="8">
        <v>248619219</v>
      </c>
      <c r="B1943" s="8" t="s">
        <v>8438</v>
      </c>
      <c r="C1943" s="8" t="s">
        <v>11546</v>
      </c>
      <c r="D1943" s="8" t="s">
        <v>7189</v>
      </c>
      <c r="E1943" s="9"/>
      <c r="F1943" s="8"/>
      <c r="G1943" s="9"/>
      <c r="H1943" s="8" t="s">
        <v>8542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</row>
    <row r="1944" spans="1:19" ht="15.75" customHeight="1">
      <c r="A1944" s="8">
        <v>248619385</v>
      </c>
      <c r="B1944" s="8"/>
      <c r="C1944" s="8"/>
      <c r="D1944" s="8" t="s">
        <v>7192</v>
      </c>
      <c r="E1944" s="9"/>
      <c r="F1944" s="8"/>
      <c r="G1944" s="9"/>
      <c r="H1944" s="8" t="s">
        <v>8164</v>
      </c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</row>
    <row r="1945" spans="1:19" ht="15.75" customHeight="1">
      <c r="A1945" s="8">
        <v>248629286</v>
      </c>
      <c r="B1945" s="8" t="s">
        <v>7194</v>
      </c>
      <c r="C1945" s="8"/>
      <c r="D1945" s="8" t="s">
        <v>7195</v>
      </c>
      <c r="E1945" s="9" t="s">
        <v>7196</v>
      </c>
      <c r="F1945" s="8"/>
      <c r="G1945" s="9"/>
      <c r="H1945" s="8" t="s">
        <v>8164</v>
      </c>
      <c r="I1945" s="8" t="s">
        <v>8191</v>
      </c>
      <c r="J1945" s="8"/>
      <c r="K1945" s="8"/>
      <c r="L1945" s="8"/>
      <c r="M1945" s="8"/>
      <c r="N1945" s="8"/>
      <c r="O1945" s="8"/>
      <c r="P1945" s="8"/>
      <c r="Q1945" s="8"/>
      <c r="R1945" s="8"/>
      <c r="S1945" s="8"/>
    </row>
    <row r="1946" spans="1:19" ht="15.75" customHeight="1">
      <c r="A1946" s="8">
        <v>248641424</v>
      </c>
      <c r="B1946" s="8" t="s">
        <v>11547</v>
      </c>
      <c r="C1946" s="8" t="s">
        <v>11548</v>
      </c>
      <c r="D1946" s="8" t="s">
        <v>7201</v>
      </c>
      <c r="E1946" s="9" t="s">
        <v>7202</v>
      </c>
      <c r="F1946" s="8"/>
      <c r="G1946" s="9"/>
      <c r="H1946" s="8" t="s">
        <v>8179</v>
      </c>
      <c r="I1946" s="8" t="s">
        <v>11549</v>
      </c>
      <c r="J1946" s="8"/>
      <c r="K1946" s="8"/>
      <c r="L1946" s="8"/>
      <c r="M1946" s="8"/>
      <c r="N1946" s="8"/>
      <c r="O1946" s="8"/>
      <c r="P1946" s="8"/>
      <c r="Q1946" s="8"/>
      <c r="R1946" s="8"/>
      <c r="S1946" s="8"/>
    </row>
    <row r="1947" spans="1:19" ht="15.75" customHeight="1">
      <c r="A1947" s="8">
        <v>248642203</v>
      </c>
      <c r="B1947" s="8" t="s">
        <v>8465</v>
      </c>
      <c r="C1947" s="8" t="s">
        <v>11222</v>
      </c>
      <c r="D1947" s="8" t="s">
        <v>7205</v>
      </c>
      <c r="E1947" s="9" t="s">
        <v>7206</v>
      </c>
      <c r="F1947" s="8"/>
      <c r="G1947" s="9"/>
      <c r="H1947" s="8" t="s">
        <v>8164</v>
      </c>
      <c r="I1947" s="8" t="s">
        <v>8208</v>
      </c>
      <c r="J1947" s="8"/>
      <c r="K1947" s="8"/>
      <c r="L1947" s="8"/>
      <c r="M1947" s="8"/>
      <c r="N1947" s="8"/>
      <c r="O1947" s="8"/>
      <c r="P1947" s="8"/>
      <c r="Q1947" s="8"/>
      <c r="R1947" s="8"/>
      <c r="S1947" s="8"/>
    </row>
    <row r="1948" spans="1:19" ht="15.75" customHeight="1">
      <c r="A1948" s="8">
        <v>248643215</v>
      </c>
      <c r="B1948" s="8" t="s">
        <v>11550</v>
      </c>
      <c r="C1948" s="8" t="s">
        <v>11550</v>
      </c>
      <c r="D1948" s="8" t="s">
        <v>7209</v>
      </c>
      <c r="E1948" s="9" t="s">
        <v>7210</v>
      </c>
      <c r="F1948" s="8"/>
      <c r="G1948" s="9"/>
      <c r="H1948" s="8" t="s">
        <v>8222</v>
      </c>
      <c r="I1948" s="8" t="s">
        <v>8412</v>
      </c>
      <c r="J1948" s="8"/>
      <c r="K1948" s="8"/>
      <c r="L1948" s="8"/>
      <c r="M1948" s="8"/>
      <c r="N1948" s="8"/>
      <c r="O1948" s="8"/>
      <c r="P1948" s="8"/>
      <c r="Q1948" s="8"/>
      <c r="R1948" s="8"/>
      <c r="S1948" s="8"/>
    </row>
    <row r="1949" spans="1:19" ht="15.75" customHeight="1">
      <c r="A1949" s="8">
        <v>248655206</v>
      </c>
      <c r="B1949" s="8" t="s">
        <v>8234</v>
      </c>
      <c r="C1949" s="8" t="s">
        <v>11551</v>
      </c>
      <c r="D1949" s="8" t="s">
        <v>7213</v>
      </c>
      <c r="E1949" s="9"/>
      <c r="F1949" s="8"/>
      <c r="G1949" s="9"/>
      <c r="H1949" s="8" t="s">
        <v>8222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</row>
    <row r="1950" spans="1:19" ht="15.75" customHeight="1">
      <c r="A1950" s="8">
        <v>248655667</v>
      </c>
      <c r="B1950" s="8"/>
      <c r="C1950" s="8"/>
      <c r="D1950" s="8" t="s">
        <v>7216</v>
      </c>
      <c r="E1950" s="9"/>
      <c r="F1950" s="8"/>
      <c r="G1950" s="9"/>
      <c r="H1950" s="8" t="s">
        <v>8164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</row>
    <row r="1951" spans="1:19" ht="15.75" customHeight="1">
      <c r="A1951" s="8">
        <v>248663963</v>
      </c>
      <c r="B1951" s="8" t="s">
        <v>8697</v>
      </c>
      <c r="C1951" s="8" t="s">
        <v>11552</v>
      </c>
      <c r="D1951" s="8" t="s">
        <v>7219</v>
      </c>
      <c r="E1951" s="9"/>
      <c r="F1951" s="8"/>
      <c r="G1951" s="9"/>
      <c r="H1951" s="8" t="s">
        <v>8158</v>
      </c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</row>
    <row r="1952" spans="1:19" ht="15.75" customHeight="1">
      <c r="A1952" s="8">
        <v>248665517</v>
      </c>
      <c r="B1952" s="8" t="s">
        <v>11553</v>
      </c>
      <c r="C1952" s="8" t="s">
        <v>10857</v>
      </c>
      <c r="D1952" s="8" t="s">
        <v>7224</v>
      </c>
      <c r="E1952" s="9" t="s">
        <v>7225</v>
      </c>
      <c r="F1952" s="8"/>
      <c r="G1952" s="9"/>
      <c r="H1952" s="8" t="s">
        <v>8463</v>
      </c>
      <c r="I1952" s="8" t="s">
        <v>8464</v>
      </c>
      <c r="J1952" s="8"/>
      <c r="K1952" s="8"/>
      <c r="L1952" s="8"/>
      <c r="M1952" s="8"/>
      <c r="N1952" s="8"/>
      <c r="O1952" s="8"/>
      <c r="P1952" s="8"/>
      <c r="Q1952" s="8"/>
      <c r="R1952" s="8"/>
      <c r="S1952" s="8"/>
    </row>
    <row r="1953" spans="1:19" ht="15.75" customHeight="1">
      <c r="A1953" s="8">
        <v>248694893</v>
      </c>
      <c r="B1953" s="8" t="s">
        <v>8234</v>
      </c>
      <c r="C1953" s="8" t="s">
        <v>10264</v>
      </c>
      <c r="D1953" s="8" t="s">
        <v>7228</v>
      </c>
      <c r="E1953" s="9">
        <v>79502225808</v>
      </c>
      <c r="F1953" s="8"/>
      <c r="G1953" s="9"/>
      <c r="H1953" s="8" t="s">
        <v>8164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</row>
    <row r="1954" spans="1:19" ht="15.75" customHeight="1">
      <c r="A1954" s="8">
        <v>248697781</v>
      </c>
      <c r="B1954" s="8" t="s">
        <v>8434</v>
      </c>
      <c r="C1954" s="8" t="s">
        <v>11554</v>
      </c>
      <c r="D1954" s="8" t="s">
        <v>7231</v>
      </c>
      <c r="E1954" s="9"/>
      <c r="F1954" s="8"/>
      <c r="G1954" s="9"/>
      <c r="H1954" s="8" t="s">
        <v>8164</v>
      </c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</row>
    <row r="1955" spans="1:19" ht="15.75" customHeight="1">
      <c r="A1955" s="8">
        <v>248708344</v>
      </c>
      <c r="B1955" s="8" t="s">
        <v>8283</v>
      </c>
      <c r="C1955" s="8" t="s">
        <v>8981</v>
      </c>
      <c r="D1955" s="8" t="s">
        <v>7234</v>
      </c>
      <c r="E1955" s="9"/>
      <c r="F1955" s="8"/>
      <c r="G1955" s="9"/>
      <c r="H1955" s="8" t="s">
        <v>8558</v>
      </c>
      <c r="I1955" s="8" t="s">
        <v>11555</v>
      </c>
      <c r="J1955" s="8"/>
      <c r="K1955" s="8"/>
      <c r="L1955" s="8"/>
      <c r="M1955" s="8"/>
      <c r="N1955" s="8"/>
      <c r="O1955" s="8"/>
      <c r="P1955" s="8"/>
      <c r="Q1955" s="8"/>
      <c r="R1955" s="8"/>
      <c r="S1955" s="8"/>
    </row>
    <row r="1956" spans="1:19" ht="15.75" customHeight="1">
      <c r="A1956" s="8">
        <v>248728300</v>
      </c>
      <c r="B1956" s="8" t="s">
        <v>9431</v>
      </c>
      <c r="C1956" s="8" t="s">
        <v>11556</v>
      </c>
      <c r="D1956" s="8" t="s">
        <v>7237</v>
      </c>
      <c r="E1956" s="9" t="s">
        <v>7238</v>
      </c>
      <c r="F1956" s="8" t="s">
        <v>11557</v>
      </c>
      <c r="G1956" s="9">
        <v>39</v>
      </c>
      <c r="H1956" s="8" t="s">
        <v>8222</v>
      </c>
      <c r="I1956" s="8" t="s">
        <v>9018</v>
      </c>
      <c r="J1956" s="8"/>
      <c r="K1956" s="8"/>
      <c r="L1956" s="8"/>
      <c r="M1956" s="8"/>
      <c r="N1956" s="8"/>
      <c r="O1956" s="8"/>
      <c r="P1956" s="8"/>
      <c r="Q1956" s="8"/>
      <c r="R1956" s="8"/>
      <c r="S1956" s="8"/>
    </row>
    <row r="1957" spans="1:19" ht="15.75" customHeight="1">
      <c r="A1957" s="8">
        <v>248728774</v>
      </c>
      <c r="B1957" s="8" t="s">
        <v>8189</v>
      </c>
      <c r="C1957" s="8" t="s">
        <v>11558</v>
      </c>
      <c r="D1957" s="8" t="s">
        <v>7241</v>
      </c>
      <c r="E1957" s="9"/>
      <c r="F1957" s="8"/>
      <c r="G1957" s="9"/>
      <c r="H1957" s="8" t="s">
        <v>8164</v>
      </c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</row>
    <row r="1958" spans="1:19" ht="15.75" customHeight="1">
      <c r="A1958" s="8">
        <v>248735653</v>
      </c>
      <c r="B1958" s="8" t="s">
        <v>8410</v>
      </c>
      <c r="C1958" s="8" t="s">
        <v>11559</v>
      </c>
      <c r="D1958" s="8" t="s">
        <v>7245</v>
      </c>
      <c r="E1958" s="9" t="s">
        <v>7246</v>
      </c>
      <c r="F1958" s="8"/>
      <c r="G1958" s="9"/>
      <c r="H1958" s="8" t="s">
        <v>8164</v>
      </c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</row>
    <row r="1959" spans="1:19" ht="15.75" customHeight="1">
      <c r="A1959" s="8">
        <v>248743974</v>
      </c>
      <c r="B1959" s="8" t="s">
        <v>11560</v>
      </c>
      <c r="C1959" s="8" t="s">
        <v>11561</v>
      </c>
      <c r="D1959" s="8" t="s">
        <v>7249</v>
      </c>
      <c r="E1959" s="9" t="s">
        <v>7250</v>
      </c>
      <c r="F1959" s="8"/>
      <c r="G1959" s="9"/>
      <c r="H1959" s="8" t="s">
        <v>8164</v>
      </c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</row>
    <row r="1960" spans="1:19" ht="15.75" customHeight="1">
      <c r="A1960" s="8">
        <v>248743987</v>
      </c>
      <c r="B1960" s="8" t="s">
        <v>8365</v>
      </c>
      <c r="C1960" s="8" t="s">
        <v>11562</v>
      </c>
      <c r="D1960" s="8" t="s">
        <v>7253</v>
      </c>
      <c r="E1960" s="9" t="s">
        <v>7254</v>
      </c>
      <c r="F1960" s="8"/>
      <c r="G1960" s="9"/>
      <c r="H1960" s="8" t="s">
        <v>8164</v>
      </c>
      <c r="I1960" s="8" t="s">
        <v>8165</v>
      </c>
      <c r="J1960" s="8"/>
      <c r="K1960" s="8"/>
      <c r="L1960" s="8"/>
      <c r="M1960" s="8"/>
      <c r="N1960" s="8"/>
      <c r="O1960" s="8"/>
      <c r="P1960" s="8"/>
      <c r="Q1960" s="8"/>
      <c r="R1960" s="8"/>
      <c r="S1960" s="8"/>
    </row>
    <row r="1961" spans="1:19" ht="15.75" customHeight="1">
      <c r="A1961" s="8">
        <v>248760060</v>
      </c>
      <c r="B1961" s="8"/>
      <c r="C1961" s="8"/>
      <c r="D1961" s="8" t="s">
        <v>7259</v>
      </c>
      <c r="E1961" s="9"/>
      <c r="F1961" s="8"/>
      <c r="G1961" s="9"/>
      <c r="H1961" s="8" t="s">
        <v>9265</v>
      </c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</row>
    <row r="1962" spans="1:19" ht="15.75" customHeight="1">
      <c r="A1962" s="8">
        <v>248766607</v>
      </c>
      <c r="B1962" s="8" t="s">
        <v>9564</v>
      </c>
      <c r="C1962" s="8" t="s">
        <v>11563</v>
      </c>
      <c r="D1962" s="8" t="s">
        <v>7262</v>
      </c>
      <c r="E1962" s="9" t="s">
        <v>7263</v>
      </c>
      <c r="F1962" s="8" t="s">
        <v>11564</v>
      </c>
      <c r="G1962" s="9">
        <v>57</v>
      </c>
      <c r="H1962" s="8" t="s">
        <v>8164</v>
      </c>
      <c r="I1962" s="8" t="s">
        <v>11565</v>
      </c>
      <c r="J1962" s="8"/>
      <c r="K1962" s="8"/>
      <c r="L1962" s="8"/>
      <c r="M1962" s="8"/>
      <c r="N1962" s="8"/>
      <c r="O1962" s="8"/>
      <c r="P1962" s="8"/>
      <c r="Q1962" s="8"/>
      <c r="R1962" s="8"/>
      <c r="S1962" s="8"/>
    </row>
    <row r="1963" spans="1:19" ht="15.75" customHeight="1">
      <c r="A1963" s="8">
        <v>248767733</v>
      </c>
      <c r="B1963" s="8" t="s">
        <v>8942</v>
      </c>
      <c r="C1963" s="8" t="s">
        <v>11566</v>
      </c>
      <c r="D1963" s="8" t="s">
        <v>7266</v>
      </c>
      <c r="E1963" s="9">
        <v>998977245588</v>
      </c>
      <c r="F1963" s="8"/>
      <c r="G1963" s="9"/>
      <c r="H1963" s="8" t="s">
        <v>8463</v>
      </c>
      <c r="I1963" s="8" t="s">
        <v>8464</v>
      </c>
      <c r="J1963" s="8"/>
      <c r="K1963" s="8"/>
      <c r="L1963" s="8"/>
      <c r="M1963" s="8"/>
      <c r="N1963" s="8"/>
      <c r="O1963" s="8"/>
      <c r="P1963" s="8"/>
      <c r="Q1963" s="8"/>
      <c r="R1963" s="8"/>
      <c r="S1963" s="8"/>
    </row>
    <row r="1964" spans="1:19" ht="15.75" customHeight="1">
      <c r="A1964" s="8">
        <v>248778283</v>
      </c>
      <c r="B1964" s="8" t="s">
        <v>7399</v>
      </c>
      <c r="C1964" s="8" t="s">
        <v>8413</v>
      </c>
      <c r="D1964" s="8" t="s">
        <v>7268</v>
      </c>
      <c r="E1964" s="9" t="s">
        <v>7269</v>
      </c>
      <c r="F1964" s="8"/>
      <c r="G1964" s="9"/>
      <c r="H1964" s="8" t="s">
        <v>8164</v>
      </c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</row>
    <row r="1965" spans="1:19" ht="15.75" customHeight="1">
      <c r="A1965" s="8">
        <v>248819029</v>
      </c>
      <c r="B1965" s="8" t="s">
        <v>8619</v>
      </c>
      <c r="C1965" s="8" t="s">
        <v>11567</v>
      </c>
      <c r="D1965" s="8" t="s">
        <v>7273</v>
      </c>
      <c r="E1965" s="9"/>
      <c r="F1965" s="8" t="s">
        <v>11568</v>
      </c>
      <c r="G1965" s="9">
        <v>27</v>
      </c>
      <c r="H1965" s="8" t="s">
        <v>8164</v>
      </c>
      <c r="I1965" s="8" t="s">
        <v>8324</v>
      </c>
      <c r="J1965" s="8"/>
      <c r="K1965" s="8"/>
      <c r="L1965" s="8"/>
      <c r="M1965" s="8"/>
      <c r="N1965" s="8"/>
      <c r="O1965" s="8"/>
      <c r="P1965" s="8"/>
      <c r="Q1965" s="8"/>
      <c r="R1965" s="8"/>
      <c r="S1965" s="8"/>
    </row>
    <row r="1966" spans="1:19" ht="15.75" customHeight="1">
      <c r="A1966" s="8">
        <v>248819564</v>
      </c>
      <c r="B1966" s="8" t="s">
        <v>9145</v>
      </c>
      <c r="C1966" s="8" t="s">
        <v>11569</v>
      </c>
      <c r="D1966" s="8" t="s">
        <v>7276</v>
      </c>
      <c r="E1966" s="9" t="s">
        <v>7277</v>
      </c>
      <c r="F1966" s="8"/>
      <c r="G1966" s="9"/>
      <c r="H1966" s="8" t="s">
        <v>8164</v>
      </c>
      <c r="I1966" s="8" t="s">
        <v>8165</v>
      </c>
      <c r="J1966" s="8"/>
      <c r="K1966" s="8"/>
      <c r="L1966" s="8"/>
      <c r="M1966" s="8"/>
      <c r="N1966" s="8"/>
      <c r="O1966" s="8"/>
      <c r="P1966" s="8"/>
      <c r="Q1966" s="8"/>
      <c r="R1966" s="8"/>
      <c r="S1966" s="8"/>
    </row>
    <row r="1967" spans="1:19" ht="15.75" customHeight="1">
      <c r="A1967" s="8">
        <v>248822185</v>
      </c>
      <c r="B1967" s="8" t="s">
        <v>9309</v>
      </c>
      <c r="C1967" s="8" t="s">
        <v>11570</v>
      </c>
      <c r="D1967" s="8" t="s">
        <v>7343</v>
      </c>
      <c r="E1967" s="9" t="s">
        <v>7344</v>
      </c>
      <c r="F1967" s="8"/>
      <c r="G1967" s="9"/>
      <c r="H1967" s="8" t="s">
        <v>8471</v>
      </c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</row>
    <row r="1968" spans="1:19" ht="15.75" customHeight="1">
      <c r="A1968" s="8">
        <v>248834027</v>
      </c>
      <c r="B1968" s="8" t="s">
        <v>8197</v>
      </c>
      <c r="C1968" s="8" t="s">
        <v>11571</v>
      </c>
      <c r="D1968" s="8" t="s">
        <v>7280</v>
      </c>
      <c r="E1968" s="9"/>
      <c r="F1968" s="8"/>
      <c r="G1968" s="9"/>
      <c r="H1968" s="8" t="s">
        <v>8222</v>
      </c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</row>
    <row r="1969" spans="1:19" ht="15.75" customHeight="1">
      <c r="A1969" s="8">
        <v>248848409</v>
      </c>
      <c r="B1969" s="8" t="s">
        <v>8857</v>
      </c>
      <c r="C1969" s="8" t="s">
        <v>8909</v>
      </c>
      <c r="D1969" s="8" t="s">
        <v>7283</v>
      </c>
      <c r="E1969" s="9" t="s">
        <v>7284</v>
      </c>
      <c r="F1969" s="8" t="s">
        <v>11572</v>
      </c>
      <c r="G1969" s="9">
        <v>56</v>
      </c>
      <c r="H1969" s="8" t="s">
        <v>8164</v>
      </c>
      <c r="I1969" s="8" t="s">
        <v>11573</v>
      </c>
      <c r="J1969" s="8"/>
      <c r="K1969" s="8"/>
      <c r="L1969" s="8"/>
      <c r="M1969" s="8"/>
      <c r="N1969" s="8"/>
      <c r="O1969" s="8"/>
      <c r="P1969" s="8"/>
      <c r="Q1969" s="8"/>
      <c r="R1969" s="8"/>
      <c r="S1969" s="8"/>
    </row>
    <row r="1970" spans="1:19" ht="15.75" customHeight="1">
      <c r="A1970" s="8">
        <v>248849655</v>
      </c>
      <c r="B1970" s="8" t="s">
        <v>8694</v>
      </c>
      <c r="C1970" s="8" t="s">
        <v>11574</v>
      </c>
      <c r="D1970" s="8" t="s">
        <v>11575</v>
      </c>
      <c r="E1970" s="9"/>
      <c r="F1970" s="8"/>
      <c r="G1970" s="9"/>
      <c r="H1970" s="8" t="s">
        <v>8164</v>
      </c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</row>
    <row r="1971" spans="1:19" ht="15.75" customHeight="1">
      <c r="A1971" s="8">
        <v>248849672</v>
      </c>
      <c r="B1971" s="10"/>
      <c r="C1971" s="10"/>
      <c r="D1971" s="8" t="s">
        <v>11576</v>
      </c>
      <c r="E1971" s="9"/>
      <c r="F1971" s="8"/>
      <c r="G1971" s="9"/>
      <c r="H1971" s="8" t="s">
        <v>8164</v>
      </c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</row>
    <row r="1972" spans="1:19" ht="15.75" customHeight="1">
      <c r="A1972" s="8">
        <v>248852816</v>
      </c>
      <c r="B1972" s="8"/>
      <c r="C1972" s="8"/>
      <c r="D1972" s="8" t="s">
        <v>7287</v>
      </c>
      <c r="E1972" s="9"/>
      <c r="F1972" s="8"/>
      <c r="G1972" s="9"/>
      <c r="H1972" s="8" t="s">
        <v>8164</v>
      </c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</row>
    <row r="1973" spans="1:19" ht="15.75" customHeight="1">
      <c r="A1973" s="8">
        <v>248858817</v>
      </c>
      <c r="B1973" s="8"/>
      <c r="C1973" s="8"/>
      <c r="D1973" s="8" t="s">
        <v>7290</v>
      </c>
      <c r="E1973" s="9"/>
      <c r="F1973" s="8"/>
      <c r="G1973" s="9"/>
      <c r="H1973" s="8" t="s">
        <v>8164</v>
      </c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</row>
    <row r="1974" spans="1:19" ht="15.75" customHeight="1">
      <c r="A1974" s="8">
        <v>248868932</v>
      </c>
      <c r="B1974" s="8" t="s">
        <v>8393</v>
      </c>
      <c r="C1974" s="8" t="s">
        <v>11014</v>
      </c>
      <c r="D1974" s="8" t="s">
        <v>7293</v>
      </c>
      <c r="E1974" s="9"/>
      <c r="F1974" s="8"/>
      <c r="G1974" s="9"/>
      <c r="H1974" s="8" t="s">
        <v>8164</v>
      </c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</row>
    <row r="1975" spans="1:19" ht="15.75" customHeight="1">
      <c r="A1975" s="8">
        <v>248869299</v>
      </c>
      <c r="B1975" s="8" t="s">
        <v>11577</v>
      </c>
      <c r="C1975" s="8" t="s">
        <v>11578</v>
      </c>
      <c r="D1975" s="8" t="s">
        <v>7296</v>
      </c>
      <c r="E1975" s="9"/>
      <c r="F1975" s="8"/>
      <c r="G1975" s="9"/>
      <c r="H1975" s="8" t="s">
        <v>8547</v>
      </c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</row>
    <row r="1976" spans="1:19" ht="15.75" customHeight="1">
      <c r="A1976" s="8">
        <v>248881065</v>
      </c>
      <c r="B1976" s="8" t="s">
        <v>7875</v>
      </c>
      <c r="C1976" s="8" t="s">
        <v>11579</v>
      </c>
      <c r="D1976" s="8" t="s">
        <v>7299</v>
      </c>
      <c r="E1976" s="9" t="s">
        <v>7300</v>
      </c>
      <c r="F1976" s="8"/>
      <c r="G1976" s="9"/>
      <c r="H1976" s="8" t="s">
        <v>8222</v>
      </c>
      <c r="I1976" s="8" t="s">
        <v>8412</v>
      </c>
      <c r="J1976" s="8"/>
      <c r="K1976" s="8"/>
      <c r="L1976" s="8"/>
      <c r="M1976" s="8"/>
      <c r="N1976" s="8"/>
      <c r="O1976" s="8"/>
      <c r="P1976" s="8"/>
      <c r="Q1976" s="8"/>
      <c r="R1976" s="8"/>
      <c r="S1976" s="8"/>
    </row>
    <row r="1977" spans="1:19" ht="15.75" customHeight="1">
      <c r="A1977" s="8">
        <v>248905354</v>
      </c>
      <c r="B1977" s="8" t="s">
        <v>8283</v>
      </c>
      <c r="C1977" s="8" t="s">
        <v>11580</v>
      </c>
      <c r="D1977" s="8" t="s">
        <v>7303</v>
      </c>
      <c r="E1977" s="9" t="s">
        <v>7304</v>
      </c>
      <c r="F1977" s="8" t="s">
        <v>11581</v>
      </c>
      <c r="G1977" s="9">
        <v>43</v>
      </c>
      <c r="H1977" s="8" t="s">
        <v>8267</v>
      </c>
      <c r="I1977" s="8" t="s">
        <v>8286</v>
      </c>
      <c r="J1977" s="8"/>
      <c r="K1977" s="8"/>
      <c r="L1977" s="8"/>
      <c r="M1977" s="8"/>
      <c r="N1977" s="8"/>
      <c r="O1977" s="8"/>
      <c r="P1977" s="8"/>
      <c r="Q1977" s="8"/>
      <c r="R1977" s="8"/>
      <c r="S1977" s="8"/>
    </row>
    <row r="1978" spans="1:19" ht="15.75" customHeight="1">
      <c r="A1978" s="8">
        <v>248909874</v>
      </c>
      <c r="B1978" s="8" t="s">
        <v>8279</v>
      </c>
      <c r="C1978" s="8" t="s">
        <v>11582</v>
      </c>
      <c r="D1978" s="8" t="s">
        <v>7308</v>
      </c>
      <c r="E1978" s="9"/>
      <c r="F1978" s="8"/>
      <c r="G1978" s="9"/>
      <c r="H1978" s="8" t="s">
        <v>8164</v>
      </c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</row>
    <row r="1979" spans="1:19" ht="15.75" customHeight="1">
      <c r="A1979" s="8">
        <v>248950246</v>
      </c>
      <c r="B1979" s="8" t="s">
        <v>8434</v>
      </c>
      <c r="C1979" s="8" t="s">
        <v>11583</v>
      </c>
      <c r="D1979" s="8" t="s">
        <v>7312</v>
      </c>
      <c r="E1979" s="9" t="s">
        <v>7313</v>
      </c>
      <c r="F1979" s="8"/>
      <c r="G1979" s="9"/>
      <c r="H1979" s="8" t="s">
        <v>8222</v>
      </c>
      <c r="I1979" s="8" t="s">
        <v>8412</v>
      </c>
      <c r="J1979" s="8"/>
      <c r="K1979" s="8"/>
      <c r="L1979" s="8"/>
      <c r="M1979" s="8"/>
      <c r="N1979" s="8"/>
      <c r="O1979" s="8"/>
      <c r="P1979" s="8"/>
      <c r="Q1979" s="8"/>
      <c r="R1979" s="8"/>
      <c r="S1979" s="8"/>
    </row>
    <row r="1980" spans="1:19" ht="15.75" customHeight="1">
      <c r="A1980" s="8">
        <v>248952714</v>
      </c>
      <c r="B1980" s="8"/>
      <c r="C1980" s="8"/>
      <c r="D1980" s="8" t="s">
        <v>7316</v>
      </c>
      <c r="E1980" s="9"/>
      <c r="F1980" s="8"/>
      <c r="G1980" s="9"/>
      <c r="H1980" s="8" t="s">
        <v>8164</v>
      </c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</row>
    <row r="1981" spans="1:19" ht="15.75" customHeight="1">
      <c r="A1981" s="8">
        <v>248954034</v>
      </c>
      <c r="B1981" s="8" t="s">
        <v>8717</v>
      </c>
      <c r="C1981" s="8" t="s">
        <v>11584</v>
      </c>
      <c r="D1981" s="8" t="s">
        <v>11585</v>
      </c>
      <c r="E1981" s="9"/>
      <c r="F1981" s="8"/>
      <c r="G1981" s="9"/>
      <c r="H1981" s="8" t="s">
        <v>8241</v>
      </c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</row>
    <row r="1982" spans="1:19" ht="15.75" customHeight="1">
      <c r="A1982" s="8">
        <v>248989871</v>
      </c>
      <c r="B1982" s="8" t="s">
        <v>8304</v>
      </c>
      <c r="C1982" s="8" t="s">
        <v>11586</v>
      </c>
      <c r="D1982" s="8" t="s">
        <v>7320</v>
      </c>
      <c r="E1982" s="9" t="s">
        <v>7321</v>
      </c>
      <c r="F1982" s="8"/>
      <c r="G1982" s="9"/>
      <c r="H1982" s="8" t="s">
        <v>8241</v>
      </c>
      <c r="I1982" s="8" t="s">
        <v>8281</v>
      </c>
      <c r="J1982" s="8"/>
      <c r="K1982" s="8"/>
      <c r="L1982" s="8"/>
      <c r="M1982" s="8"/>
      <c r="N1982" s="8"/>
      <c r="O1982" s="8"/>
      <c r="P1982" s="8"/>
      <c r="Q1982" s="8"/>
      <c r="R1982" s="8"/>
      <c r="S1982" s="8"/>
    </row>
    <row r="1983" spans="1:19" ht="15.75" customHeight="1">
      <c r="A1983" s="8">
        <v>248998501</v>
      </c>
      <c r="B1983" s="8"/>
      <c r="C1983" s="8"/>
      <c r="D1983" s="8" t="s">
        <v>7326</v>
      </c>
      <c r="E1983" s="9"/>
      <c r="F1983" s="8"/>
      <c r="G1983" s="9"/>
      <c r="H1983" s="8" t="s">
        <v>8164</v>
      </c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</row>
    <row r="1984" spans="1:19" ht="15.75" customHeight="1">
      <c r="A1984" s="8">
        <v>248998517</v>
      </c>
      <c r="B1984" s="8" t="s">
        <v>8434</v>
      </c>
      <c r="C1984" s="8"/>
      <c r="D1984" s="8" t="s">
        <v>11587</v>
      </c>
      <c r="E1984" s="9">
        <v>98644789</v>
      </c>
      <c r="F1984" s="8"/>
      <c r="G1984" s="9"/>
      <c r="H1984" s="8" t="s">
        <v>8164</v>
      </c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</row>
    <row r="1985" spans="1:19" ht="15.75" customHeight="1">
      <c r="A1985" s="8">
        <v>249044199</v>
      </c>
      <c r="B1985" s="8" t="s">
        <v>8325</v>
      </c>
      <c r="C1985" s="8" t="s">
        <v>11588</v>
      </c>
      <c r="D1985" s="8" t="s">
        <v>7329</v>
      </c>
      <c r="E1985" s="9" t="s">
        <v>7330</v>
      </c>
      <c r="F1985" s="8"/>
      <c r="G1985" s="9"/>
      <c r="H1985" s="8" t="s">
        <v>8164</v>
      </c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</row>
    <row r="1986" spans="1:19" ht="15.75" customHeight="1">
      <c r="A1986" s="8">
        <v>249045761</v>
      </c>
      <c r="B1986" s="8" t="s">
        <v>8479</v>
      </c>
      <c r="C1986" s="8" t="s">
        <v>8479</v>
      </c>
      <c r="D1986" s="8" t="s">
        <v>7332</v>
      </c>
      <c r="E1986" s="9" t="s">
        <v>7333</v>
      </c>
      <c r="F1986" s="8"/>
      <c r="G1986" s="9"/>
      <c r="H1986" s="8" t="s">
        <v>8222</v>
      </c>
      <c r="I1986" s="8" t="s">
        <v>8412</v>
      </c>
      <c r="J1986" s="8"/>
      <c r="K1986" s="8"/>
      <c r="L1986" s="8"/>
      <c r="M1986" s="8"/>
      <c r="N1986" s="8"/>
      <c r="O1986" s="8"/>
      <c r="P1986" s="8"/>
      <c r="Q1986" s="8"/>
      <c r="R1986" s="8"/>
      <c r="S1986" s="8"/>
    </row>
    <row r="1987" spans="1:19" ht="15.75" customHeight="1">
      <c r="A1987" s="8">
        <v>249057796</v>
      </c>
      <c r="B1987" s="8" t="s">
        <v>8234</v>
      </c>
      <c r="C1987" s="8" t="s">
        <v>11589</v>
      </c>
      <c r="D1987" s="8" t="s">
        <v>7336</v>
      </c>
      <c r="E1987" s="9"/>
      <c r="F1987" s="8"/>
      <c r="G1987" s="9"/>
      <c r="H1987" s="8" t="s">
        <v>8600</v>
      </c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</row>
    <row r="1988" spans="1:19" ht="15.75" customHeight="1">
      <c r="A1988" s="8">
        <v>249058649</v>
      </c>
      <c r="B1988" s="8"/>
      <c r="C1988" s="8"/>
      <c r="D1988" s="8" t="s">
        <v>7368</v>
      </c>
      <c r="E1988" s="9"/>
      <c r="F1988" s="8"/>
      <c r="G1988" s="9"/>
      <c r="H1988" s="8" t="s">
        <v>8241</v>
      </c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</row>
    <row r="1989" spans="1:19" ht="15.75" customHeight="1">
      <c r="A1989" s="8">
        <v>249142551</v>
      </c>
      <c r="B1989" s="8" t="s">
        <v>8619</v>
      </c>
      <c r="C1989" s="8" t="s">
        <v>9303</v>
      </c>
      <c r="D1989" s="8" t="s">
        <v>7370</v>
      </c>
      <c r="E1989" s="9" t="s">
        <v>7371</v>
      </c>
      <c r="F1989" s="8" t="s">
        <v>11590</v>
      </c>
      <c r="G1989" s="9">
        <v>0</v>
      </c>
      <c r="H1989" s="8" t="s">
        <v>8164</v>
      </c>
      <c r="I1989" s="8" t="s">
        <v>9227</v>
      </c>
      <c r="J1989" s="8"/>
      <c r="K1989" s="8"/>
      <c r="L1989" s="8"/>
      <c r="M1989" s="8"/>
      <c r="N1989" s="8"/>
      <c r="O1989" s="8"/>
      <c r="P1989" s="8"/>
      <c r="Q1989" s="8"/>
      <c r="R1989" s="8"/>
      <c r="S1989" s="8"/>
    </row>
    <row r="1990" spans="1:19" ht="15.75" customHeight="1">
      <c r="A1990" s="8">
        <v>249153750</v>
      </c>
      <c r="B1990" s="8"/>
      <c r="C1990" s="8"/>
      <c r="D1990" s="8" t="s">
        <v>7374</v>
      </c>
      <c r="E1990" s="9"/>
      <c r="F1990" s="8"/>
      <c r="G1990" s="9"/>
      <c r="H1990" s="8" t="s">
        <v>8267</v>
      </c>
      <c r="I1990" s="8"/>
      <c r="J1990" s="8"/>
      <c r="K1990" s="8"/>
      <c r="L1990" s="8"/>
      <c r="M1990" s="8"/>
      <c r="N1990" s="8"/>
      <c r="O1990" s="8"/>
      <c r="P1990" s="8"/>
      <c r="Q1990" s="8"/>
      <c r="R1990" s="8"/>
      <c r="S1990" s="8"/>
    </row>
    <row r="1991" spans="1:19" ht="15.75" customHeight="1">
      <c r="A1991" s="8">
        <v>249154272</v>
      </c>
      <c r="B1991" s="8" t="s">
        <v>8206</v>
      </c>
      <c r="C1991" s="8" t="s">
        <v>11591</v>
      </c>
      <c r="D1991" s="8" t="s">
        <v>11592</v>
      </c>
      <c r="E1991" s="9" t="s">
        <v>11593</v>
      </c>
      <c r="F1991" s="8" t="s">
        <v>11594</v>
      </c>
      <c r="G1991" s="9">
        <v>53</v>
      </c>
      <c r="H1991" s="8" t="s">
        <v>8164</v>
      </c>
      <c r="I1991" s="8" t="s">
        <v>11595</v>
      </c>
      <c r="J1991" s="8"/>
      <c r="K1991" s="8"/>
      <c r="L1991" s="8"/>
      <c r="M1991" s="8"/>
      <c r="N1991" s="8"/>
      <c r="O1991" s="8"/>
      <c r="P1991" s="8"/>
      <c r="Q1991" s="8"/>
      <c r="R1991" s="8"/>
      <c r="S1991" s="8"/>
    </row>
    <row r="1992" spans="1:19" ht="15.75" customHeight="1">
      <c r="A1992" s="8">
        <v>249163652</v>
      </c>
      <c r="B1992" s="8" t="s">
        <v>8479</v>
      </c>
      <c r="C1992" s="8" t="s">
        <v>9609</v>
      </c>
      <c r="D1992" s="8" t="s">
        <v>7377</v>
      </c>
      <c r="E1992" s="9"/>
      <c r="F1992" s="8"/>
      <c r="G1992" s="9"/>
      <c r="H1992" s="8" t="s">
        <v>8241</v>
      </c>
      <c r="I1992" s="8" t="s">
        <v>11596</v>
      </c>
      <c r="J1992" s="8"/>
      <c r="K1992" s="8"/>
      <c r="L1992" s="8"/>
      <c r="M1992" s="8"/>
      <c r="N1992" s="8"/>
      <c r="O1992" s="8"/>
      <c r="P1992" s="8"/>
      <c r="Q1992" s="8"/>
      <c r="R1992" s="8"/>
      <c r="S1992" s="8"/>
    </row>
    <row r="1993" spans="1:19" ht="15.75" customHeight="1">
      <c r="A1993" s="8">
        <v>249191725</v>
      </c>
      <c r="B1993" s="8" t="s">
        <v>9157</v>
      </c>
      <c r="C1993" s="8" t="s">
        <v>11597</v>
      </c>
      <c r="D1993" s="8" t="s">
        <v>7380</v>
      </c>
      <c r="E1993" s="9" t="s">
        <v>7381</v>
      </c>
      <c r="F1993" s="8"/>
      <c r="G1993" s="9"/>
      <c r="H1993" s="8" t="s">
        <v>8222</v>
      </c>
      <c r="I1993" s="8"/>
      <c r="J1993" s="8"/>
      <c r="K1993" s="8"/>
      <c r="L1993" s="8"/>
      <c r="M1993" s="8"/>
      <c r="N1993" s="8"/>
      <c r="O1993" s="8"/>
      <c r="P1993" s="8"/>
      <c r="Q1993" s="8"/>
      <c r="R1993" s="8"/>
      <c r="S1993" s="8"/>
    </row>
    <row r="1994" spans="1:19" ht="15.75" customHeight="1">
      <c r="A1994" s="8">
        <v>249191744</v>
      </c>
      <c r="B1994" s="8" t="s">
        <v>11598</v>
      </c>
      <c r="C1994" s="8" t="s">
        <v>11599</v>
      </c>
      <c r="D1994" s="8" t="s">
        <v>7384</v>
      </c>
      <c r="E1994" s="9" t="s">
        <v>7385</v>
      </c>
      <c r="F1994" s="8"/>
      <c r="G1994" s="9"/>
      <c r="H1994" s="8" t="s">
        <v>8222</v>
      </c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</row>
    <row r="1995" spans="1:19" ht="15.75" customHeight="1">
      <c r="A1995" s="8">
        <v>249196830</v>
      </c>
      <c r="B1995" s="8" t="s">
        <v>7768</v>
      </c>
      <c r="C1995" s="8" t="s">
        <v>11600</v>
      </c>
      <c r="D1995" s="8" t="s">
        <v>7388</v>
      </c>
      <c r="E1995" s="9">
        <v>79025568381</v>
      </c>
      <c r="F1995" s="8" t="s">
        <v>11601</v>
      </c>
      <c r="G1995" s="9">
        <v>54</v>
      </c>
      <c r="H1995" s="8" t="s">
        <v>8600</v>
      </c>
      <c r="I1995" s="8" t="s">
        <v>8337</v>
      </c>
      <c r="J1995" s="8"/>
      <c r="K1995" s="8"/>
      <c r="L1995" s="8"/>
      <c r="M1995" s="8"/>
      <c r="N1995" s="8"/>
      <c r="O1995" s="8"/>
      <c r="P1995" s="8"/>
      <c r="Q1995" s="8"/>
      <c r="R1995" s="8"/>
      <c r="S1995" s="8"/>
    </row>
    <row r="1996" spans="1:19" ht="15.75" customHeight="1">
      <c r="A1996" s="8">
        <v>249205601</v>
      </c>
      <c r="B1996" s="8" t="s">
        <v>7818</v>
      </c>
      <c r="C1996" s="8" t="s">
        <v>11602</v>
      </c>
      <c r="D1996" s="8" t="s">
        <v>7390</v>
      </c>
      <c r="E1996" s="9"/>
      <c r="F1996" s="8"/>
      <c r="G1996" s="9"/>
      <c r="H1996" s="8" t="s">
        <v>8164</v>
      </c>
      <c r="I1996" s="8"/>
      <c r="J1996" s="8"/>
      <c r="K1996" s="8"/>
      <c r="L1996" s="8"/>
      <c r="M1996" s="8"/>
      <c r="N1996" s="8"/>
      <c r="O1996" s="8"/>
      <c r="P1996" s="8"/>
      <c r="Q1996" s="8"/>
      <c r="R1996" s="8"/>
      <c r="S1996" s="8"/>
    </row>
    <row r="1997" spans="1:19" ht="15.75" customHeight="1">
      <c r="A1997" s="8">
        <v>249207188</v>
      </c>
      <c r="B1997" s="8" t="s">
        <v>11603</v>
      </c>
      <c r="C1997" s="8" t="s">
        <v>11603</v>
      </c>
      <c r="D1997" s="8" t="s">
        <v>7393</v>
      </c>
      <c r="E1997" s="9"/>
      <c r="F1997" s="8"/>
      <c r="G1997" s="9"/>
      <c r="H1997" s="8" t="s">
        <v>8267</v>
      </c>
      <c r="I1997" s="8"/>
      <c r="J1997" s="8"/>
      <c r="K1997" s="8"/>
      <c r="L1997" s="8"/>
      <c r="M1997" s="8"/>
      <c r="N1997" s="8"/>
      <c r="O1997" s="8"/>
      <c r="P1997" s="8"/>
      <c r="Q1997" s="8"/>
      <c r="R1997" s="8"/>
      <c r="S1997" s="8"/>
    </row>
    <row r="1998" spans="1:19" ht="15.75" customHeight="1">
      <c r="A1998" s="8">
        <v>249247936</v>
      </c>
      <c r="B1998" s="8" t="s">
        <v>11604</v>
      </c>
      <c r="C1998" s="8" t="s">
        <v>11605</v>
      </c>
      <c r="D1998" s="8" t="s">
        <v>7396</v>
      </c>
      <c r="E1998" s="9" t="s">
        <v>7397</v>
      </c>
      <c r="F1998" s="8"/>
      <c r="G1998" s="9"/>
      <c r="H1998" s="8" t="s">
        <v>8241</v>
      </c>
      <c r="I1998" s="8" t="s">
        <v>10662</v>
      </c>
      <c r="J1998" s="8"/>
      <c r="K1998" s="8"/>
      <c r="L1998" s="8"/>
      <c r="M1998" s="8"/>
      <c r="N1998" s="8"/>
      <c r="O1998" s="8"/>
      <c r="P1998" s="8"/>
      <c r="Q1998" s="8"/>
      <c r="R1998" s="8"/>
      <c r="S1998" s="8"/>
    </row>
    <row r="1999" spans="1:19" ht="15.75" customHeight="1">
      <c r="A1999" s="8">
        <v>249265842</v>
      </c>
      <c r="B1999" s="8" t="s">
        <v>7399</v>
      </c>
      <c r="C1999" s="8"/>
      <c r="D1999" s="8" t="s">
        <v>7400</v>
      </c>
      <c r="E1999" s="9">
        <v>79636048668</v>
      </c>
      <c r="F1999" s="8"/>
      <c r="G1999" s="9"/>
      <c r="H1999" s="8" t="s">
        <v>8164</v>
      </c>
      <c r="I1999" s="8" t="s">
        <v>8921</v>
      </c>
      <c r="J1999" s="8"/>
      <c r="K1999" s="8"/>
      <c r="L1999" s="8"/>
      <c r="M1999" s="8"/>
      <c r="N1999" s="8"/>
      <c r="O1999" s="8"/>
      <c r="P1999" s="8"/>
      <c r="Q1999" s="8"/>
      <c r="R1999" s="8"/>
      <c r="S1999" s="8"/>
    </row>
    <row r="2000" spans="1:19" ht="15.75" customHeight="1">
      <c r="A2000" s="8">
        <v>249285015</v>
      </c>
      <c r="B2000" s="8" t="s">
        <v>11606</v>
      </c>
      <c r="C2000" s="8" t="s">
        <v>11607</v>
      </c>
      <c r="D2000" s="8" t="s">
        <v>7403</v>
      </c>
      <c r="E2000" s="9"/>
      <c r="F2000" s="8"/>
      <c r="G2000" s="9"/>
      <c r="H2000" s="8" t="s">
        <v>8164</v>
      </c>
      <c r="I2000" s="8"/>
      <c r="J2000" s="8"/>
      <c r="K2000" s="8"/>
      <c r="L2000" s="8"/>
      <c r="M2000" s="8"/>
      <c r="N2000" s="8"/>
      <c r="O2000" s="8"/>
      <c r="P2000" s="8"/>
      <c r="Q2000" s="8"/>
      <c r="R2000" s="8"/>
      <c r="S2000" s="8"/>
    </row>
    <row r="2001" spans="1:19" ht="15.75" customHeight="1">
      <c r="A2001" s="8">
        <v>249294534</v>
      </c>
      <c r="B2001" s="8" t="s">
        <v>8304</v>
      </c>
      <c r="C2001" s="8" t="s">
        <v>8863</v>
      </c>
      <c r="D2001" s="8" t="s">
        <v>7406</v>
      </c>
      <c r="E2001" s="9">
        <v>79625032228</v>
      </c>
      <c r="F2001" s="8"/>
      <c r="G2001" s="9"/>
      <c r="H2001" s="8" t="s">
        <v>8164</v>
      </c>
      <c r="I2001" s="8" t="s">
        <v>9222</v>
      </c>
      <c r="J2001" s="8"/>
      <c r="K2001" s="8"/>
      <c r="L2001" s="8"/>
      <c r="M2001" s="8"/>
      <c r="N2001" s="8"/>
      <c r="O2001" s="8"/>
      <c r="P2001" s="8"/>
      <c r="Q2001" s="8"/>
      <c r="R2001" s="8"/>
      <c r="S2001" s="8"/>
    </row>
    <row r="2002" spans="1:19" ht="15.75" customHeight="1">
      <c r="A2002" s="8">
        <v>249521928</v>
      </c>
      <c r="B2002" s="8" t="s">
        <v>7818</v>
      </c>
      <c r="C2002" s="8" t="s">
        <v>11608</v>
      </c>
      <c r="D2002" s="8" t="s">
        <v>7411</v>
      </c>
      <c r="E2002" s="9">
        <v>79122370099</v>
      </c>
      <c r="F2002" s="8"/>
      <c r="G2002" s="9"/>
      <c r="H2002" s="8" t="s">
        <v>8164</v>
      </c>
      <c r="I2002" s="8" t="s">
        <v>8165</v>
      </c>
      <c r="J2002" s="8"/>
      <c r="K2002" s="8"/>
      <c r="L2002" s="8"/>
      <c r="M2002" s="8"/>
      <c r="N2002" s="8"/>
      <c r="O2002" s="8"/>
      <c r="P2002" s="8"/>
      <c r="Q2002" s="8"/>
      <c r="R2002" s="8"/>
      <c r="S2002" s="8"/>
    </row>
    <row r="2003" spans="1:19" ht="15.75" customHeight="1">
      <c r="A2003" s="8">
        <v>249663030</v>
      </c>
      <c r="B2003" s="8"/>
      <c r="C2003" s="8" t="s">
        <v>7415</v>
      </c>
      <c r="D2003" s="8" t="s">
        <v>7416</v>
      </c>
      <c r="E2003" s="9">
        <v>79082354915</v>
      </c>
      <c r="F2003" s="8"/>
      <c r="G2003" s="9"/>
      <c r="H2003" s="8" t="s">
        <v>8164</v>
      </c>
      <c r="I2003" s="8"/>
      <c r="J2003" s="8"/>
      <c r="K2003" s="8"/>
      <c r="L2003" s="8"/>
      <c r="M2003" s="8"/>
      <c r="N2003" s="8"/>
      <c r="O2003" s="8"/>
      <c r="P2003" s="8"/>
      <c r="Q2003" s="8"/>
      <c r="R2003" s="8"/>
      <c r="S2003" s="8"/>
    </row>
    <row r="2004" spans="1:19" ht="15.75" customHeight="1">
      <c r="A2004" s="8">
        <v>249739556</v>
      </c>
      <c r="B2004" s="8" t="s">
        <v>7768</v>
      </c>
      <c r="C2004" s="8" t="s">
        <v>11609</v>
      </c>
      <c r="D2004" s="8" t="s">
        <v>7419</v>
      </c>
      <c r="E2004" s="9" t="s">
        <v>7420</v>
      </c>
      <c r="F2004" s="8" t="s">
        <v>11610</v>
      </c>
      <c r="G2004" s="9">
        <v>49</v>
      </c>
      <c r="H2004" s="8" t="s">
        <v>8222</v>
      </c>
      <c r="I2004" s="8" t="s">
        <v>8412</v>
      </c>
      <c r="J2004" s="8"/>
      <c r="K2004" s="8"/>
      <c r="L2004" s="8"/>
      <c r="M2004" s="8"/>
      <c r="N2004" s="8"/>
      <c r="O2004" s="8"/>
      <c r="P2004" s="8"/>
      <c r="Q2004" s="8"/>
      <c r="R2004" s="8"/>
      <c r="S2004" s="8"/>
    </row>
    <row r="2005" spans="1:19" ht="15.75" customHeight="1">
      <c r="A2005" s="8">
        <v>249776710</v>
      </c>
      <c r="B2005" s="8" t="s">
        <v>10386</v>
      </c>
      <c r="C2005" s="8" t="s">
        <v>11611</v>
      </c>
      <c r="D2005" s="8" t="s">
        <v>7423</v>
      </c>
      <c r="E2005" s="9"/>
      <c r="F2005" s="8"/>
      <c r="G2005" s="9"/>
      <c r="H2005" s="8" t="s">
        <v>8164</v>
      </c>
      <c r="I2005" s="8"/>
      <c r="J2005" s="8"/>
      <c r="K2005" s="8"/>
      <c r="L2005" s="8"/>
      <c r="M2005" s="8"/>
      <c r="N2005" s="8"/>
      <c r="O2005" s="8"/>
      <c r="P2005" s="8"/>
      <c r="Q2005" s="8"/>
      <c r="R2005" s="8"/>
      <c r="S2005" s="8"/>
    </row>
    <row r="2006" spans="1:19" ht="15.75" customHeight="1">
      <c r="A2006" s="8">
        <v>249794346</v>
      </c>
      <c r="B2006" s="8" t="s">
        <v>8206</v>
      </c>
      <c r="C2006" s="8" t="s">
        <v>11612</v>
      </c>
      <c r="D2006" s="8" t="s">
        <v>7427</v>
      </c>
      <c r="E2006" s="9"/>
      <c r="F2006" s="8"/>
      <c r="G2006" s="9"/>
      <c r="H2006" s="8" t="s">
        <v>8164</v>
      </c>
      <c r="I2006" s="8"/>
      <c r="J2006" s="8"/>
      <c r="K2006" s="8"/>
      <c r="L2006" s="8"/>
      <c r="M2006" s="8"/>
      <c r="N2006" s="8"/>
      <c r="O2006" s="8"/>
      <c r="P2006" s="8"/>
      <c r="Q2006" s="8"/>
      <c r="R2006" s="8"/>
      <c r="S2006" s="8"/>
    </row>
    <row r="2007" spans="1:19" ht="15.75" customHeight="1">
      <c r="A2007" s="8">
        <v>249943832</v>
      </c>
      <c r="B2007" s="8" t="s">
        <v>9157</v>
      </c>
      <c r="C2007" s="8" t="s">
        <v>11613</v>
      </c>
      <c r="D2007" s="8" t="s">
        <v>7431</v>
      </c>
      <c r="E2007" s="9"/>
      <c r="F2007" s="8"/>
      <c r="G2007" s="9"/>
      <c r="H2007" s="8" t="s">
        <v>8164</v>
      </c>
      <c r="I2007" s="8"/>
      <c r="J2007" s="8"/>
      <c r="K2007" s="8"/>
      <c r="L2007" s="8"/>
      <c r="M2007" s="8"/>
      <c r="N2007" s="8"/>
      <c r="O2007" s="8"/>
      <c r="P2007" s="8"/>
      <c r="Q2007" s="8"/>
      <c r="R2007" s="8"/>
      <c r="S2007" s="8"/>
    </row>
    <row r="2008" spans="1:19" ht="15.75" customHeight="1">
      <c r="A2008" s="8">
        <v>249947833</v>
      </c>
      <c r="B2008" s="8" t="s">
        <v>11614</v>
      </c>
      <c r="C2008" s="8" t="s">
        <v>11615</v>
      </c>
      <c r="D2008" s="8" t="s">
        <v>7434</v>
      </c>
      <c r="E2008" s="9"/>
      <c r="F2008" s="8"/>
      <c r="G2008" s="9"/>
      <c r="H2008" s="8" t="s">
        <v>8164</v>
      </c>
      <c r="I2008" s="8"/>
      <c r="J2008" s="8"/>
      <c r="K2008" s="8"/>
      <c r="L2008" s="8"/>
      <c r="M2008" s="8"/>
      <c r="N2008" s="8"/>
      <c r="O2008" s="8"/>
      <c r="P2008" s="8"/>
      <c r="Q2008" s="8"/>
      <c r="R2008" s="8"/>
      <c r="S2008" s="8"/>
    </row>
    <row r="2009" spans="1:19" ht="15.75" customHeight="1">
      <c r="A2009" s="8">
        <v>250024356</v>
      </c>
      <c r="B2009" s="8" t="s">
        <v>8365</v>
      </c>
      <c r="C2009" s="8" t="s">
        <v>9851</v>
      </c>
      <c r="D2009" s="8" t="s">
        <v>7436</v>
      </c>
      <c r="E2009" s="9" t="s">
        <v>7437</v>
      </c>
      <c r="F2009" s="8"/>
      <c r="G2009" s="9"/>
      <c r="H2009" s="8" t="s">
        <v>8164</v>
      </c>
      <c r="I2009" s="8" t="s">
        <v>8208</v>
      </c>
      <c r="J2009" s="8"/>
      <c r="K2009" s="8"/>
      <c r="L2009" s="8"/>
      <c r="M2009" s="8"/>
      <c r="N2009" s="8"/>
      <c r="O2009" s="8"/>
      <c r="P2009" s="8"/>
      <c r="Q2009" s="8"/>
      <c r="R2009" s="8"/>
      <c r="S2009" s="8"/>
    </row>
    <row r="2010" spans="1:19" ht="15.75" customHeight="1">
      <c r="A2010" s="8">
        <v>250043162</v>
      </c>
      <c r="B2010" s="8" t="s">
        <v>7399</v>
      </c>
      <c r="C2010" s="8" t="s">
        <v>11616</v>
      </c>
      <c r="D2010" s="8" t="s">
        <v>11617</v>
      </c>
      <c r="E2010" s="9" t="s">
        <v>11618</v>
      </c>
      <c r="F2010" s="8"/>
      <c r="G2010" s="9"/>
      <c r="H2010" s="8" t="s">
        <v>8386</v>
      </c>
      <c r="I2010" s="8"/>
      <c r="J2010" s="8"/>
      <c r="K2010" s="8"/>
      <c r="L2010" s="8"/>
      <c r="M2010" s="8"/>
      <c r="N2010" s="8"/>
      <c r="O2010" s="8"/>
      <c r="P2010" s="8"/>
      <c r="Q2010" s="8"/>
      <c r="R2010" s="8"/>
      <c r="S2010" s="8"/>
    </row>
    <row r="2011" spans="1:19" ht="15.75" customHeight="1">
      <c r="A2011" s="8">
        <v>250108438</v>
      </c>
      <c r="B2011" s="8" t="s">
        <v>8365</v>
      </c>
      <c r="C2011" s="8" t="s">
        <v>11619</v>
      </c>
      <c r="D2011" s="8" t="s">
        <v>11620</v>
      </c>
      <c r="E2011" s="9" t="s">
        <v>11621</v>
      </c>
      <c r="F2011" s="8"/>
      <c r="G2011" s="9"/>
      <c r="H2011" s="8" t="s">
        <v>8542</v>
      </c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</row>
    <row r="2012" spans="1:19" ht="15.75" customHeight="1">
      <c r="A2012" s="8">
        <v>250118195</v>
      </c>
      <c r="B2012" s="8" t="s">
        <v>11622</v>
      </c>
      <c r="C2012" s="8" t="s">
        <v>11623</v>
      </c>
      <c r="D2012" s="8" t="s">
        <v>7441</v>
      </c>
      <c r="E2012" s="9" t="s">
        <v>7442</v>
      </c>
      <c r="F2012" s="8"/>
      <c r="G2012" s="9"/>
      <c r="H2012" s="8" t="s">
        <v>8183</v>
      </c>
      <c r="I2012" s="8"/>
      <c r="J2012" s="8"/>
      <c r="K2012" s="8"/>
      <c r="L2012" s="8"/>
      <c r="M2012" s="8"/>
      <c r="N2012" s="8"/>
      <c r="O2012" s="8"/>
      <c r="P2012" s="8"/>
      <c r="Q2012" s="8"/>
      <c r="R2012" s="8"/>
      <c r="S2012" s="8"/>
    </row>
    <row r="2013" spans="1:19" ht="15.75" customHeight="1">
      <c r="A2013" s="8">
        <v>250146168</v>
      </c>
      <c r="B2013" s="8" t="s">
        <v>7399</v>
      </c>
      <c r="C2013" s="8" t="s">
        <v>11624</v>
      </c>
      <c r="D2013" s="8" t="s">
        <v>7445</v>
      </c>
      <c r="E2013" s="9" t="s">
        <v>7446</v>
      </c>
      <c r="F2013" s="8" t="s">
        <v>11625</v>
      </c>
      <c r="G2013" s="9">
        <v>37</v>
      </c>
      <c r="H2013" s="8" t="s">
        <v>8164</v>
      </c>
      <c r="I2013" s="8" t="s">
        <v>11626</v>
      </c>
      <c r="J2013" s="8"/>
      <c r="K2013" s="8"/>
      <c r="L2013" s="8"/>
      <c r="M2013" s="8"/>
      <c r="N2013" s="8"/>
      <c r="O2013" s="8"/>
      <c r="P2013" s="8"/>
      <c r="Q2013" s="8"/>
      <c r="R2013" s="8"/>
      <c r="S2013" s="8"/>
    </row>
    <row r="2014" spans="1:19" ht="15.75" customHeight="1">
      <c r="A2014" s="8">
        <v>250213715</v>
      </c>
      <c r="B2014" s="8" t="s">
        <v>7448</v>
      </c>
      <c r="C2014" s="8"/>
      <c r="D2014" s="8" t="s">
        <v>7449</v>
      </c>
      <c r="E2014" s="9" t="s">
        <v>7450</v>
      </c>
      <c r="F2014" s="8"/>
      <c r="G2014" s="9"/>
      <c r="H2014" s="8" t="s">
        <v>8164</v>
      </c>
      <c r="I2014" s="8"/>
      <c r="J2014" s="8"/>
      <c r="K2014" s="8"/>
      <c r="L2014" s="8"/>
      <c r="M2014" s="8"/>
      <c r="N2014" s="8"/>
      <c r="O2014" s="8"/>
      <c r="P2014" s="8"/>
      <c r="Q2014" s="8"/>
      <c r="R2014" s="8"/>
      <c r="S2014" s="8"/>
    </row>
    <row r="2015" spans="1:19" ht="15.75" customHeight="1">
      <c r="A2015" s="8">
        <v>250227893</v>
      </c>
      <c r="B2015" s="8" t="s">
        <v>11627</v>
      </c>
      <c r="C2015" s="8" t="s">
        <v>11628</v>
      </c>
      <c r="D2015" s="8" t="s">
        <v>7453</v>
      </c>
      <c r="E2015" s="9">
        <v>79035733220</v>
      </c>
      <c r="F2015" s="8"/>
      <c r="G2015" s="9"/>
      <c r="H2015" s="8" t="s">
        <v>9085</v>
      </c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</row>
    <row r="2016" spans="1:19" ht="15.75" customHeight="1">
      <c r="A2016" s="8">
        <v>250229675</v>
      </c>
      <c r="B2016" s="8" t="s">
        <v>8252</v>
      </c>
      <c r="C2016" s="8" t="s">
        <v>11629</v>
      </c>
      <c r="D2016" s="8" t="s">
        <v>7456</v>
      </c>
      <c r="E2016" s="9" t="s">
        <v>7457</v>
      </c>
      <c r="F2016" s="8"/>
      <c r="G2016" s="9"/>
      <c r="H2016" s="8" t="s">
        <v>8158</v>
      </c>
      <c r="I2016" s="8"/>
      <c r="J2016" s="8"/>
      <c r="K2016" s="8"/>
      <c r="L2016" s="8"/>
      <c r="M2016" s="8"/>
      <c r="N2016" s="8"/>
      <c r="O2016" s="8"/>
      <c r="P2016" s="8"/>
      <c r="Q2016" s="8"/>
      <c r="R2016" s="8"/>
      <c r="S2016" s="8"/>
    </row>
    <row r="2017" spans="1:19" ht="15.75" customHeight="1">
      <c r="A2017" s="8">
        <v>250248793</v>
      </c>
      <c r="B2017" s="8" t="s">
        <v>7768</v>
      </c>
      <c r="C2017" s="8" t="s">
        <v>11630</v>
      </c>
      <c r="D2017" s="8" t="s">
        <v>7460</v>
      </c>
      <c r="E2017" s="9" t="s">
        <v>7461</v>
      </c>
      <c r="F2017" s="8"/>
      <c r="G2017" s="9"/>
      <c r="H2017" s="8" t="s">
        <v>11631</v>
      </c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</row>
    <row r="2018" spans="1:19" ht="15.75" customHeight="1">
      <c r="A2018" s="8">
        <v>250268067</v>
      </c>
      <c r="B2018" s="8" t="s">
        <v>11632</v>
      </c>
      <c r="C2018" s="8" t="s">
        <v>11633</v>
      </c>
      <c r="D2018" s="8" t="s">
        <v>7464</v>
      </c>
      <c r="E2018" s="9" t="s">
        <v>7465</v>
      </c>
      <c r="F2018" s="8"/>
      <c r="G2018" s="9"/>
      <c r="H2018" s="8" t="s">
        <v>8558</v>
      </c>
      <c r="I2018" s="8"/>
      <c r="J2018" s="8"/>
      <c r="K2018" s="8"/>
      <c r="L2018" s="8"/>
      <c r="M2018" s="8"/>
      <c r="N2018" s="8"/>
      <c r="O2018" s="8"/>
      <c r="P2018" s="8"/>
      <c r="Q2018" s="8"/>
      <c r="R2018" s="8"/>
      <c r="S2018" s="8"/>
    </row>
    <row r="2019" spans="1:19" ht="15.75" customHeight="1">
      <c r="A2019" s="8">
        <v>250283510</v>
      </c>
      <c r="B2019" s="8" t="s">
        <v>11634</v>
      </c>
      <c r="C2019" s="8" t="s">
        <v>11635</v>
      </c>
      <c r="D2019" s="8" t="s">
        <v>7468</v>
      </c>
      <c r="E2019" s="9">
        <v>79094567800</v>
      </c>
      <c r="F2019" s="8"/>
      <c r="G2019" s="9"/>
      <c r="H2019" s="8" t="s">
        <v>8164</v>
      </c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</row>
    <row r="2020" spans="1:19" ht="15.75" customHeight="1">
      <c r="A2020" s="8">
        <v>250350579</v>
      </c>
      <c r="B2020" s="8" t="s">
        <v>8260</v>
      </c>
      <c r="C2020" s="8" t="s">
        <v>8261</v>
      </c>
      <c r="D2020" s="8" t="s">
        <v>7470</v>
      </c>
      <c r="E2020" s="9"/>
      <c r="F2020" s="8"/>
      <c r="G2020" s="9"/>
      <c r="H2020" s="8" t="s">
        <v>8262</v>
      </c>
      <c r="I2020" s="8"/>
      <c r="J2020" s="8"/>
      <c r="K2020" s="8"/>
      <c r="L2020" s="8"/>
      <c r="M2020" s="8"/>
      <c r="N2020" s="8"/>
      <c r="O2020" s="8"/>
      <c r="P2020" s="8"/>
      <c r="Q2020" s="8"/>
      <c r="R2020" s="8"/>
      <c r="S2020" s="8"/>
    </row>
    <row r="2021" spans="1:19" ht="15.75" customHeight="1">
      <c r="A2021" s="8">
        <v>250359492</v>
      </c>
      <c r="B2021" s="8" t="s">
        <v>8874</v>
      </c>
      <c r="C2021" s="8" t="s">
        <v>11636</v>
      </c>
      <c r="D2021" s="8" t="s">
        <v>11637</v>
      </c>
      <c r="E2021" s="9" t="s">
        <v>11638</v>
      </c>
      <c r="F2021" s="8"/>
      <c r="G2021" s="9"/>
      <c r="H2021" s="8" t="s">
        <v>8558</v>
      </c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</row>
    <row r="2022" spans="1:19" ht="15.75" customHeight="1">
      <c r="A2022" s="8">
        <v>250372416</v>
      </c>
      <c r="B2022" s="8" t="s">
        <v>8581</v>
      </c>
      <c r="C2022" s="8" t="s">
        <v>11639</v>
      </c>
      <c r="D2022" s="8" t="s">
        <v>11640</v>
      </c>
      <c r="E2022" s="9" t="s">
        <v>11641</v>
      </c>
      <c r="F2022" s="8"/>
      <c r="G2022" s="9"/>
      <c r="H2022" s="8" t="s">
        <v>8164</v>
      </c>
      <c r="I2022" s="8"/>
      <c r="J2022" s="8" t="s">
        <v>11642</v>
      </c>
      <c r="K2022" s="8"/>
      <c r="L2022" s="8" t="s">
        <v>8167</v>
      </c>
      <c r="M2022" s="8"/>
      <c r="N2022" s="8" t="s">
        <v>8169</v>
      </c>
      <c r="O2022" s="8" t="s">
        <v>8170</v>
      </c>
      <c r="P2022" s="8" t="s">
        <v>8171</v>
      </c>
      <c r="Q2022" s="8" t="s">
        <v>8161</v>
      </c>
      <c r="R2022" s="8"/>
      <c r="S2022" s="8"/>
    </row>
    <row r="2023" spans="1:19" ht="15.75" customHeight="1">
      <c r="A2023" s="8">
        <v>250375084</v>
      </c>
      <c r="B2023" s="8" t="s">
        <v>11643</v>
      </c>
      <c r="C2023" s="8" t="s">
        <v>11644</v>
      </c>
      <c r="D2023" s="8" t="s">
        <v>7473</v>
      </c>
      <c r="E2023" s="9"/>
      <c r="F2023" s="8"/>
      <c r="G2023" s="9"/>
      <c r="H2023" s="8" t="s">
        <v>8509</v>
      </c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</row>
    <row r="2024" spans="1:19" ht="15.75" customHeight="1">
      <c r="A2024" s="8">
        <v>250380333</v>
      </c>
      <c r="B2024" s="8" t="s">
        <v>8393</v>
      </c>
      <c r="C2024" s="8" t="s">
        <v>11645</v>
      </c>
      <c r="D2024" s="8" t="s">
        <v>7476</v>
      </c>
      <c r="E2024" s="9"/>
      <c r="F2024" s="8"/>
      <c r="G2024" s="9"/>
      <c r="H2024" s="8" t="s">
        <v>8509</v>
      </c>
      <c r="I2024" s="8"/>
      <c r="J2024" s="8"/>
      <c r="K2024" s="8"/>
      <c r="L2024" s="8"/>
      <c r="M2024" s="8"/>
      <c r="N2024" s="8"/>
      <c r="O2024" s="8"/>
      <c r="P2024" s="8"/>
      <c r="Q2024" s="8"/>
      <c r="R2024" s="8"/>
      <c r="S2024" s="8"/>
    </row>
    <row r="2025" spans="1:19" ht="15.75" customHeight="1">
      <c r="A2025" s="8">
        <v>250380852</v>
      </c>
      <c r="B2025" s="8" t="s">
        <v>10492</v>
      </c>
      <c r="C2025" s="8" t="s">
        <v>11646</v>
      </c>
      <c r="D2025" s="8" t="s">
        <v>7479</v>
      </c>
      <c r="E2025" s="9"/>
      <c r="F2025" s="8"/>
      <c r="G2025" s="9"/>
      <c r="H2025" s="8" t="s">
        <v>8509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</row>
    <row r="2026" spans="1:19" ht="15.75" customHeight="1">
      <c r="A2026" s="8">
        <v>250382248</v>
      </c>
      <c r="B2026" s="8" t="s">
        <v>11647</v>
      </c>
      <c r="C2026" s="8" t="s">
        <v>11648</v>
      </c>
      <c r="D2026" s="8" t="s">
        <v>7482</v>
      </c>
      <c r="E2026" s="9"/>
      <c r="F2026" s="8"/>
      <c r="G2026" s="9"/>
      <c r="H2026" s="8" t="s">
        <v>8509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</row>
    <row r="2027" spans="1:19" ht="15.75" customHeight="1">
      <c r="A2027" s="8">
        <v>250384738</v>
      </c>
      <c r="B2027" s="8" t="s">
        <v>11649</v>
      </c>
      <c r="C2027" s="8" t="s">
        <v>11650</v>
      </c>
      <c r="D2027" s="8" t="s">
        <v>7485</v>
      </c>
      <c r="E2027" s="9"/>
      <c r="F2027" s="8"/>
      <c r="G2027" s="9"/>
      <c r="H2027" s="8" t="s">
        <v>8241</v>
      </c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</row>
    <row r="2028" spans="1:19" ht="15.75" customHeight="1">
      <c r="A2028" s="8">
        <v>250386384</v>
      </c>
      <c r="B2028" s="8" t="s">
        <v>8866</v>
      </c>
      <c r="C2028" s="8" t="s">
        <v>11212</v>
      </c>
      <c r="D2028" s="8" t="s">
        <v>7488</v>
      </c>
      <c r="E2028" s="9"/>
      <c r="F2028" s="8"/>
      <c r="G2028" s="9"/>
      <c r="H2028" s="8" t="s">
        <v>8509</v>
      </c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</row>
    <row r="2029" spans="1:19" ht="15.75" customHeight="1">
      <c r="A2029" s="8">
        <v>250389709</v>
      </c>
      <c r="B2029" s="8" t="s">
        <v>8982</v>
      </c>
      <c r="C2029" s="8" t="s">
        <v>8982</v>
      </c>
      <c r="D2029" s="8" t="s">
        <v>7491</v>
      </c>
      <c r="E2029" s="9"/>
      <c r="F2029" s="8"/>
      <c r="G2029" s="9"/>
      <c r="H2029" s="8" t="s">
        <v>8509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</row>
    <row r="2030" spans="1:19" ht="15.75" customHeight="1">
      <c r="A2030" s="8">
        <v>250393042</v>
      </c>
      <c r="B2030" s="8" t="s">
        <v>10505</v>
      </c>
      <c r="C2030" s="8" t="s">
        <v>11651</v>
      </c>
      <c r="D2030" s="8" t="s">
        <v>7494</v>
      </c>
      <c r="E2030" s="9"/>
      <c r="F2030" s="8"/>
      <c r="G2030" s="9"/>
      <c r="H2030" s="8" t="s">
        <v>8164</v>
      </c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</row>
    <row r="2031" spans="1:19" ht="15.75" customHeight="1">
      <c r="A2031" s="8">
        <v>250393769</v>
      </c>
      <c r="B2031" s="8" t="s">
        <v>7399</v>
      </c>
      <c r="C2031" s="8" t="s">
        <v>9814</v>
      </c>
      <c r="D2031" s="8" t="s">
        <v>7497</v>
      </c>
      <c r="E2031" s="9"/>
      <c r="F2031" s="8"/>
      <c r="G2031" s="9"/>
      <c r="H2031" s="8" t="s">
        <v>8509</v>
      </c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</row>
    <row r="2032" spans="1:19" ht="15.75" customHeight="1">
      <c r="A2032" s="8">
        <v>250395240</v>
      </c>
      <c r="B2032" s="8" t="s">
        <v>8579</v>
      </c>
      <c r="C2032" s="8" t="s">
        <v>11652</v>
      </c>
      <c r="D2032" s="8" t="s">
        <v>7500</v>
      </c>
      <c r="E2032" s="9"/>
      <c r="F2032" s="8"/>
      <c r="G2032" s="9"/>
      <c r="H2032" s="8" t="s">
        <v>8164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</row>
    <row r="2033" spans="1:19" ht="15.75" customHeight="1">
      <c r="A2033" s="8">
        <v>250396481</v>
      </c>
      <c r="B2033" s="8" t="s">
        <v>11653</v>
      </c>
      <c r="C2033" s="8" t="s">
        <v>11654</v>
      </c>
      <c r="D2033" s="8" t="s">
        <v>7503</v>
      </c>
      <c r="E2033" s="9"/>
      <c r="F2033" s="8"/>
      <c r="G2033" s="9"/>
      <c r="H2033" s="8" t="s">
        <v>9212</v>
      </c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</row>
    <row r="2034" spans="1:19" ht="15.75" customHeight="1">
      <c r="A2034" s="8">
        <v>250398381</v>
      </c>
      <c r="B2034" s="8" t="s">
        <v>11655</v>
      </c>
      <c r="C2034" s="8" t="s">
        <v>11656</v>
      </c>
      <c r="D2034" s="8" t="s">
        <v>7506</v>
      </c>
      <c r="E2034" s="9"/>
      <c r="F2034" s="8"/>
      <c r="G2034" s="9"/>
      <c r="H2034" s="8" t="s">
        <v>8509</v>
      </c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</row>
    <row r="2035" spans="1:19" ht="15.75" customHeight="1">
      <c r="A2035" s="8">
        <v>250399764</v>
      </c>
      <c r="B2035" s="8" t="s">
        <v>11657</v>
      </c>
      <c r="C2035" s="8" t="s">
        <v>11658</v>
      </c>
      <c r="D2035" s="8" t="s">
        <v>7509</v>
      </c>
      <c r="E2035" s="9"/>
      <c r="F2035" s="8"/>
      <c r="G2035" s="9"/>
      <c r="H2035" s="8" t="s">
        <v>8509</v>
      </c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</row>
    <row r="2036" spans="1:19" ht="15.75" customHeight="1">
      <c r="A2036" s="8">
        <v>250400279</v>
      </c>
      <c r="B2036" s="8" t="s">
        <v>10531</v>
      </c>
      <c r="C2036" s="8" t="s">
        <v>11659</v>
      </c>
      <c r="D2036" s="8" t="s">
        <v>7512</v>
      </c>
      <c r="E2036" s="9">
        <v>7071311320</v>
      </c>
      <c r="F2036" s="8" t="s">
        <v>11660</v>
      </c>
      <c r="G2036" s="9">
        <v>31</v>
      </c>
      <c r="H2036" s="8" t="s">
        <v>8509</v>
      </c>
      <c r="I2036" s="8" t="s">
        <v>8281</v>
      </c>
      <c r="J2036" s="8"/>
      <c r="K2036" s="8"/>
      <c r="L2036" s="8"/>
      <c r="M2036" s="8"/>
      <c r="N2036" s="8"/>
      <c r="O2036" s="8"/>
      <c r="P2036" s="8"/>
      <c r="Q2036" s="8"/>
      <c r="R2036" s="8"/>
      <c r="S2036" s="8"/>
    </row>
    <row r="2037" spans="1:19" ht="15.75" customHeight="1">
      <c r="A2037" s="8">
        <v>250400576</v>
      </c>
      <c r="B2037" s="8" t="s">
        <v>11661</v>
      </c>
      <c r="C2037" s="8" t="s">
        <v>11662</v>
      </c>
      <c r="D2037" s="8" t="s">
        <v>7515</v>
      </c>
      <c r="E2037" s="9"/>
      <c r="F2037" s="8"/>
      <c r="G2037" s="9"/>
      <c r="H2037" s="8" t="s">
        <v>8183</v>
      </c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</row>
    <row r="2038" spans="1:19" ht="15.75" customHeight="1">
      <c r="A2038" s="8">
        <v>250400870</v>
      </c>
      <c r="B2038" s="8" t="s">
        <v>8431</v>
      </c>
      <c r="C2038" s="8" t="s">
        <v>11663</v>
      </c>
      <c r="D2038" s="8" t="s">
        <v>11664</v>
      </c>
      <c r="E2038" s="9"/>
      <c r="F2038" s="8"/>
      <c r="G2038" s="9"/>
      <c r="H2038" s="8" t="s">
        <v>8164</v>
      </c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</row>
    <row r="2039" spans="1:19" ht="15.75" customHeight="1">
      <c r="A2039" s="8">
        <v>250405163</v>
      </c>
      <c r="B2039" s="8" t="s">
        <v>11657</v>
      </c>
      <c r="C2039" s="8" t="s">
        <v>11665</v>
      </c>
      <c r="D2039" s="8" t="s">
        <v>11666</v>
      </c>
      <c r="E2039" s="9"/>
      <c r="F2039" s="8"/>
      <c r="G2039" s="9"/>
      <c r="H2039" s="8" t="s">
        <v>8164</v>
      </c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</row>
    <row r="2040" spans="1:19" ht="15.75" customHeight="1">
      <c r="A2040" s="8">
        <v>250406709</v>
      </c>
      <c r="B2040" s="8" t="s">
        <v>7818</v>
      </c>
      <c r="C2040" s="8" t="s">
        <v>11667</v>
      </c>
      <c r="D2040" s="8" t="s">
        <v>7518</v>
      </c>
      <c r="E2040" s="9"/>
      <c r="F2040" s="8"/>
      <c r="G2040" s="9"/>
      <c r="H2040" s="8" t="s">
        <v>8509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</row>
    <row r="2041" spans="1:19" ht="15.75" customHeight="1">
      <c r="A2041" s="8">
        <v>250408595</v>
      </c>
      <c r="B2041" s="8" t="s">
        <v>11668</v>
      </c>
      <c r="C2041" s="8" t="s">
        <v>11669</v>
      </c>
      <c r="D2041" s="8" t="s">
        <v>7521</v>
      </c>
      <c r="E2041" s="9"/>
      <c r="F2041" s="8"/>
      <c r="G2041" s="9"/>
      <c r="H2041" s="8" t="s">
        <v>8600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</row>
    <row r="2042" spans="1:19" ht="15.75" customHeight="1">
      <c r="A2042" s="8">
        <v>250409873</v>
      </c>
      <c r="B2042" s="8" t="s">
        <v>10505</v>
      </c>
      <c r="C2042" s="8" t="s">
        <v>11670</v>
      </c>
      <c r="D2042" s="8" t="s">
        <v>7524</v>
      </c>
      <c r="E2042" s="9"/>
      <c r="F2042" s="8"/>
      <c r="G2042" s="9"/>
      <c r="H2042" s="8" t="s">
        <v>8509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</row>
    <row r="2043" spans="1:19" ht="15.75" customHeight="1">
      <c r="A2043" s="8">
        <v>250415573</v>
      </c>
      <c r="B2043" s="8" t="s">
        <v>11671</v>
      </c>
      <c r="C2043" s="8" t="s">
        <v>11672</v>
      </c>
      <c r="D2043" s="8" t="s">
        <v>7527</v>
      </c>
      <c r="E2043" s="9"/>
      <c r="F2043" s="8"/>
      <c r="G2043" s="9"/>
      <c r="H2043" s="8" t="s">
        <v>8509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</row>
    <row r="2044" spans="1:19" ht="15.75" customHeight="1">
      <c r="A2044" s="8">
        <v>250419384</v>
      </c>
      <c r="B2044" s="8" t="s">
        <v>11673</v>
      </c>
      <c r="C2044" s="8" t="s">
        <v>11003</v>
      </c>
      <c r="D2044" s="8" t="s">
        <v>7530</v>
      </c>
      <c r="E2044" s="9" t="s">
        <v>7531</v>
      </c>
      <c r="F2044" s="8" t="s">
        <v>11674</v>
      </c>
      <c r="G2044" s="9">
        <v>0</v>
      </c>
      <c r="H2044" s="8" t="s">
        <v>11368</v>
      </c>
      <c r="I2044" s="8" t="s">
        <v>8281</v>
      </c>
      <c r="J2044" s="8"/>
      <c r="K2044" s="8"/>
      <c r="L2044" s="8"/>
      <c r="M2044" s="8"/>
      <c r="N2044" s="8"/>
      <c r="O2044" s="8"/>
      <c r="P2044" s="8"/>
      <c r="Q2044" s="8"/>
      <c r="R2044" s="8"/>
      <c r="S2044" s="8"/>
    </row>
    <row r="2045" spans="1:19" ht="15.75" customHeight="1">
      <c r="A2045" s="8">
        <v>250423525</v>
      </c>
      <c r="B2045" s="8" t="s">
        <v>10996</v>
      </c>
      <c r="C2045" s="8" t="s">
        <v>11675</v>
      </c>
      <c r="D2045" s="8" t="s">
        <v>7534</v>
      </c>
      <c r="E2045" s="9"/>
      <c r="F2045" s="8"/>
      <c r="G2045" s="9"/>
      <c r="H2045" s="8" t="s">
        <v>8509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</row>
    <row r="2046" spans="1:19" ht="15.75" customHeight="1">
      <c r="A2046" s="8">
        <v>250423819</v>
      </c>
      <c r="B2046" s="8" t="s">
        <v>11676</v>
      </c>
      <c r="C2046" s="8" t="s">
        <v>11677</v>
      </c>
      <c r="D2046" s="8" t="s">
        <v>7537</v>
      </c>
      <c r="E2046" s="9"/>
      <c r="F2046" s="8"/>
      <c r="G2046" s="9"/>
      <c r="H2046" s="8" t="s">
        <v>8164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</row>
    <row r="2047" spans="1:19" ht="15.75" customHeight="1">
      <c r="A2047" s="8">
        <v>250431270</v>
      </c>
      <c r="B2047" s="8" t="s">
        <v>11678</v>
      </c>
      <c r="C2047" s="8" t="s">
        <v>9655</v>
      </c>
      <c r="D2047" s="8" t="s">
        <v>7540</v>
      </c>
      <c r="E2047" s="9"/>
      <c r="F2047" s="8"/>
      <c r="G2047" s="9"/>
      <c r="H2047" s="8" t="s">
        <v>8509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</row>
    <row r="2048" spans="1:19" ht="15.75" customHeight="1">
      <c r="A2048" s="8">
        <v>250444749</v>
      </c>
      <c r="B2048" s="8" t="s">
        <v>11679</v>
      </c>
      <c r="C2048" s="8" t="s">
        <v>11680</v>
      </c>
      <c r="D2048" s="8" t="s">
        <v>7543</v>
      </c>
      <c r="E2048" s="9"/>
      <c r="F2048" s="8"/>
      <c r="G2048" s="9"/>
      <c r="H2048" s="8" t="s">
        <v>8509</v>
      </c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</row>
    <row r="2049" spans="1:19" ht="15.75" customHeight="1">
      <c r="A2049" s="8">
        <v>250503185</v>
      </c>
      <c r="B2049" s="8" t="s">
        <v>7768</v>
      </c>
      <c r="C2049" s="8" t="s">
        <v>11681</v>
      </c>
      <c r="D2049" s="8" t="s">
        <v>7546</v>
      </c>
      <c r="E2049" s="9"/>
      <c r="F2049" s="8"/>
      <c r="G2049" s="9"/>
      <c r="H2049" s="8" t="s">
        <v>8509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</row>
    <row r="2050" spans="1:19" ht="15.75" customHeight="1">
      <c r="A2050" s="8">
        <v>250504369</v>
      </c>
      <c r="B2050" s="8" t="s">
        <v>8866</v>
      </c>
      <c r="C2050" s="8" t="s">
        <v>9548</v>
      </c>
      <c r="D2050" s="8" t="s">
        <v>7549</v>
      </c>
      <c r="E2050" s="9"/>
      <c r="F2050" s="8"/>
      <c r="G2050" s="9"/>
      <c r="H2050" s="8" t="s">
        <v>8547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</row>
    <row r="2051" spans="1:19" ht="15.75" customHeight="1">
      <c r="A2051" s="8">
        <v>250508987</v>
      </c>
      <c r="B2051" s="8" t="s">
        <v>7768</v>
      </c>
      <c r="C2051" s="8" t="s">
        <v>11682</v>
      </c>
      <c r="D2051" s="8" t="s">
        <v>7552</v>
      </c>
      <c r="E2051" s="9">
        <v>79601579629</v>
      </c>
      <c r="F2051" s="8"/>
      <c r="G2051" s="9"/>
      <c r="H2051" s="8" t="s">
        <v>8164</v>
      </c>
      <c r="I2051" s="8" t="s">
        <v>11683</v>
      </c>
      <c r="J2051" s="8"/>
      <c r="K2051" s="8"/>
      <c r="L2051" s="8"/>
      <c r="M2051" s="8"/>
      <c r="N2051" s="8"/>
      <c r="O2051" s="8"/>
      <c r="P2051" s="8"/>
      <c r="Q2051" s="8"/>
      <c r="R2051" s="8"/>
      <c r="S2051" s="8"/>
    </row>
    <row r="2052" spans="1:19" ht="15.75" customHeight="1">
      <c r="A2052" s="8">
        <v>250509788</v>
      </c>
      <c r="B2052" s="8" t="s">
        <v>8234</v>
      </c>
      <c r="C2052" s="8" t="s">
        <v>9485</v>
      </c>
      <c r="D2052" s="8" t="s">
        <v>7554</v>
      </c>
      <c r="E2052" s="9"/>
      <c r="F2052" s="8"/>
      <c r="G2052" s="9"/>
      <c r="H2052" s="8" t="s">
        <v>8509</v>
      </c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</row>
    <row r="2053" spans="1:19" ht="15.75" customHeight="1">
      <c r="A2053" s="8">
        <v>250510444</v>
      </c>
      <c r="B2053" s="8" t="s">
        <v>11684</v>
      </c>
      <c r="C2053" s="8" t="s">
        <v>11685</v>
      </c>
      <c r="D2053" s="8" t="s">
        <v>7557</v>
      </c>
      <c r="E2053" s="9"/>
      <c r="F2053" s="8"/>
      <c r="G2053" s="9"/>
      <c r="H2053" s="8" t="s">
        <v>8509</v>
      </c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</row>
    <row r="2054" spans="1:19" ht="15.75" customHeight="1">
      <c r="A2054" s="8">
        <v>250512740</v>
      </c>
      <c r="B2054" s="8" t="s">
        <v>10540</v>
      </c>
      <c r="C2054" s="8" t="s">
        <v>11686</v>
      </c>
      <c r="D2054" s="8" t="s">
        <v>11687</v>
      </c>
      <c r="E2054" s="9"/>
      <c r="F2054" s="8" t="s">
        <v>11688</v>
      </c>
      <c r="G2054" s="9">
        <v>49</v>
      </c>
      <c r="H2054" s="8"/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</row>
    <row r="2055" spans="1:19" ht="15.75" customHeight="1">
      <c r="A2055" s="8">
        <v>250551468</v>
      </c>
      <c r="B2055" s="8" t="s">
        <v>7919</v>
      </c>
      <c r="C2055" s="8" t="s">
        <v>11689</v>
      </c>
      <c r="D2055" s="8" t="s">
        <v>7560</v>
      </c>
      <c r="E2055" s="9"/>
      <c r="F2055" s="8" t="s">
        <v>11690</v>
      </c>
      <c r="G2055" s="9">
        <v>0</v>
      </c>
      <c r="H2055" s="8" t="s">
        <v>8164</v>
      </c>
      <c r="I2055" s="8" t="s">
        <v>9311</v>
      </c>
      <c r="J2055" s="8"/>
      <c r="K2055" s="8"/>
      <c r="L2055" s="8"/>
      <c r="M2055" s="8"/>
      <c r="N2055" s="8"/>
      <c r="O2055" s="8"/>
      <c r="P2055" s="8"/>
      <c r="Q2055" s="8"/>
      <c r="R2055" s="8"/>
      <c r="S2055" s="8"/>
    </row>
    <row r="2056" spans="1:19" ht="15.75" customHeight="1">
      <c r="A2056" s="8">
        <v>250558674</v>
      </c>
      <c r="B2056" s="8" t="s">
        <v>8234</v>
      </c>
      <c r="C2056" s="8" t="s">
        <v>11691</v>
      </c>
      <c r="D2056" s="8" t="s">
        <v>7563</v>
      </c>
      <c r="E2056" s="9"/>
      <c r="F2056" s="8"/>
      <c r="G2056" s="9"/>
      <c r="H2056" s="8" t="s">
        <v>8222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</row>
    <row r="2057" spans="1:19" ht="15.75" customHeight="1">
      <c r="A2057" s="8">
        <v>250620480</v>
      </c>
      <c r="B2057" s="8" t="s">
        <v>11692</v>
      </c>
      <c r="C2057" s="8" t="s">
        <v>11693</v>
      </c>
      <c r="D2057" s="8" t="s">
        <v>7566</v>
      </c>
      <c r="E2057" s="9"/>
      <c r="F2057" s="8"/>
      <c r="G2057" s="9"/>
      <c r="H2057" s="8" t="s">
        <v>8509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</row>
    <row r="2058" spans="1:19" ht="15.75" customHeight="1">
      <c r="A2058" s="8">
        <v>250635258</v>
      </c>
      <c r="B2058" s="8" t="s">
        <v>7818</v>
      </c>
      <c r="C2058" s="8" t="s">
        <v>11694</v>
      </c>
      <c r="D2058" s="8" t="s">
        <v>7569</v>
      </c>
      <c r="E2058" s="9"/>
      <c r="F2058" s="8"/>
      <c r="G2058" s="9"/>
      <c r="H2058" s="8" t="s">
        <v>8509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</row>
    <row r="2059" spans="1:19" ht="15.75" customHeight="1">
      <c r="A2059" s="8">
        <v>250645978</v>
      </c>
      <c r="B2059" s="8" t="s">
        <v>9632</v>
      </c>
      <c r="C2059" s="8" t="s">
        <v>10310</v>
      </c>
      <c r="D2059" s="8" t="s">
        <v>7572</v>
      </c>
      <c r="E2059" s="9"/>
      <c r="F2059" s="8"/>
      <c r="G2059" s="9"/>
      <c r="H2059" s="8" t="s">
        <v>8509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</row>
    <row r="2060" spans="1:19" ht="15.75" customHeight="1">
      <c r="A2060" s="8">
        <v>250662092</v>
      </c>
      <c r="B2060" s="8" t="s">
        <v>10589</v>
      </c>
      <c r="C2060" s="8" t="s">
        <v>11079</v>
      </c>
      <c r="D2060" s="8" t="s">
        <v>7575</v>
      </c>
      <c r="E2060" s="9"/>
      <c r="F2060" s="8"/>
      <c r="G2060" s="9"/>
      <c r="H2060" s="8" t="s">
        <v>8509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</row>
    <row r="2061" spans="1:19" ht="15.75" customHeight="1">
      <c r="A2061" s="8">
        <v>250665285</v>
      </c>
      <c r="B2061" s="8" t="s">
        <v>10996</v>
      </c>
      <c r="C2061" s="8" t="s">
        <v>11695</v>
      </c>
      <c r="D2061" s="8" t="s">
        <v>7578</v>
      </c>
      <c r="E2061" s="9"/>
      <c r="F2061" s="8"/>
      <c r="G2061" s="9"/>
      <c r="H2061" s="8" t="s">
        <v>8509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</row>
    <row r="2062" spans="1:19" ht="15.75" customHeight="1">
      <c r="A2062" s="8">
        <v>250678128</v>
      </c>
      <c r="B2062" s="8" t="s">
        <v>11696</v>
      </c>
      <c r="C2062" s="8" t="s">
        <v>11697</v>
      </c>
      <c r="D2062" s="8" t="s">
        <v>7581</v>
      </c>
      <c r="E2062" s="9"/>
      <c r="F2062" s="8"/>
      <c r="G2062" s="9"/>
      <c r="H2062" s="8" t="s">
        <v>8164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</row>
    <row r="2063" spans="1:19" ht="15.75" customHeight="1">
      <c r="A2063" s="8">
        <v>250710991</v>
      </c>
      <c r="B2063" s="8" t="s">
        <v>10806</v>
      </c>
      <c r="C2063" s="8" t="s">
        <v>11698</v>
      </c>
      <c r="D2063" s="8" t="s">
        <v>7584</v>
      </c>
      <c r="E2063" s="9"/>
      <c r="F2063" s="8"/>
      <c r="G2063" s="9"/>
      <c r="H2063" s="8" t="s">
        <v>8509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</row>
    <row r="2064" spans="1:19" ht="15.75" customHeight="1">
      <c r="A2064" s="8">
        <v>250738315</v>
      </c>
      <c r="B2064" s="8" t="s">
        <v>8338</v>
      </c>
      <c r="C2064" s="8" t="s">
        <v>11699</v>
      </c>
      <c r="D2064" s="8" t="s">
        <v>7587</v>
      </c>
      <c r="E2064" s="9"/>
      <c r="F2064" s="8"/>
      <c r="G2064" s="9"/>
      <c r="H2064" s="8" t="s">
        <v>8164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</row>
    <row r="2065" spans="1:19" ht="15.75" customHeight="1">
      <c r="A2065" s="8">
        <v>250739051</v>
      </c>
      <c r="B2065" s="8" t="s">
        <v>11700</v>
      </c>
      <c r="C2065" s="8" t="s">
        <v>11701</v>
      </c>
      <c r="D2065" s="8" t="s">
        <v>7590</v>
      </c>
      <c r="E2065" s="9"/>
      <c r="F2065" s="8"/>
      <c r="G2065" s="9"/>
      <c r="H2065" s="8" t="s">
        <v>8542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</row>
    <row r="2066" spans="1:19" ht="15.75" customHeight="1">
      <c r="A2066" s="8">
        <v>250739574</v>
      </c>
      <c r="B2066" s="8" t="s">
        <v>10682</v>
      </c>
      <c r="C2066" s="8" t="s">
        <v>11702</v>
      </c>
      <c r="D2066" s="8" t="s">
        <v>7593</v>
      </c>
      <c r="E2066" s="9">
        <v>79998309733</v>
      </c>
      <c r="F2066" s="8" t="s">
        <v>11703</v>
      </c>
      <c r="G2066" s="9">
        <v>29</v>
      </c>
      <c r="H2066" s="8" t="s">
        <v>11368</v>
      </c>
      <c r="I2066" s="8" t="s">
        <v>8165</v>
      </c>
      <c r="J2066" s="8"/>
      <c r="K2066" s="8"/>
      <c r="L2066" s="8"/>
      <c r="M2066" s="8"/>
      <c r="N2066" s="8"/>
      <c r="O2066" s="8"/>
      <c r="P2066" s="8"/>
      <c r="Q2066" s="8"/>
      <c r="R2066" s="8"/>
      <c r="S2066" s="8"/>
    </row>
    <row r="2067" spans="1:19" ht="15.75" customHeight="1">
      <c r="A2067" s="8">
        <v>250742328</v>
      </c>
      <c r="B2067" s="8" t="s">
        <v>11704</v>
      </c>
      <c r="C2067" s="8" t="s">
        <v>11705</v>
      </c>
      <c r="D2067" s="8" t="s">
        <v>7596</v>
      </c>
      <c r="E2067" s="9"/>
      <c r="F2067" s="8"/>
      <c r="G2067" s="9"/>
      <c r="H2067" s="8" t="s">
        <v>8509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</row>
    <row r="2068" spans="1:19" ht="15.75" customHeight="1">
      <c r="A2068" s="8">
        <v>250751753</v>
      </c>
      <c r="B2068" s="8" t="s">
        <v>7787</v>
      </c>
      <c r="C2068" s="8" t="s">
        <v>11706</v>
      </c>
      <c r="D2068" s="8" t="s">
        <v>7599</v>
      </c>
      <c r="E2068" s="9"/>
      <c r="F2068" s="8"/>
      <c r="G2068" s="9"/>
      <c r="H2068" s="8" t="s">
        <v>8810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</row>
    <row r="2069" spans="1:19" ht="15.75" customHeight="1">
      <c r="A2069" s="8">
        <v>250752383</v>
      </c>
      <c r="B2069" s="8" t="s">
        <v>11661</v>
      </c>
      <c r="C2069" s="8" t="s">
        <v>11707</v>
      </c>
      <c r="D2069" s="8" t="s">
        <v>7602</v>
      </c>
      <c r="E2069" s="9"/>
      <c r="F2069" s="8"/>
      <c r="G2069" s="9"/>
      <c r="H2069" s="8" t="s">
        <v>8600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</row>
    <row r="2070" spans="1:19" ht="15.75" customHeight="1">
      <c r="A2070" s="8">
        <v>250754292</v>
      </c>
      <c r="B2070" s="8" t="s">
        <v>8341</v>
      </c>
      <c r="C2070" s="8" t="s">
        <v>11708</v>
      </c>
      <c r="D2070" s="8" t="s">
        <v>7605</v>
      </c>
      <c r="E2070" s="9" t="s">
        <v>7606</v>
      </c>
      <c r="F2070" s="8" t="s">
        <v>11709</v>
      </c>
      <c r="G2070" s="9">
        <v>28</v>
      </c>
      <c r="H2070" s="8" t="s">
        <v>8241</v>
      </c>
      <c r="I2070" s="8" t="s">
        <v>11710</v>
      </c>
      <c r="J2070" s="8"/>
      <c r="K2070" s="8"/>
      <c r="L2070" s="8"/>
      <c r="M2070" s="8"/>
      <c r="N2070" s="8"/>
      <c r="O2070" s="8"/>
      <c r="P2070" s="8"/>
      <c r="Q2070" s="8"/>
      <c r="R2070" s="8"/>
      <c r="S2070" s="8"/>
    </row>
    <row r="2071" spans="1:19" ht="15.75" customHeight="1">
      <c r="A2071" s="8">
        <v>250759098</v>
      </c>
      <c r="B2071" s="8" t="s">
        <v>8444</v>
      </c>
      <c r="C2071" s="8" t="s">
        <v>8230</v>
      </c>
      <c r="D2071" s="8" t="s">
        <v>7609</v>
      </c>
      <c r="E2071" s="9"/>
      <c r="F2071" s="8"/>
      <c r="G2071" s="9"/>
      <c r="H2071" s="8" t="s">
        <v>8509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</row>
    <row r="2072" spans="1:19" ht="15.75" customHeight="1">
      <c r="A2072" s="8">
        <v>250760181</v>
      </c>
      <c r="B2072" s="8" t="s">
        <v>11711</v>
      </c>
      <c r="C2072" s="8" t="s">
        <v>11712</v>
      </c>
      <c r="D2072" s="8" t="s">
        <v>7612</v>
      </c>
      <c r="E2072" s="9"/>
      <c r="F2072" s="8"/>
      <c r="G2072" s="9"/>
      <c r="H2072" s="8" t="s">
        <v>8509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</row>
    <row r="2073" spans="1:19" ht="15.75" customHeight="1">
      <c r="A2073" s="8">
        <v>250760545</v>
      </c>
      <c r="B2073" s="8" t="s">
        <v>11713</v>
      </c>
      <c r="C2073" s="8" t="s">
        <v>11714</v>
      </c>
      <c r="D2073" s="8" t="s">
        <v>7615</v>
      </c>
      <c r="E2073" s="9"/>
      <c r="F2073" s="8"/>
      <c r="G2073" s="9"/>
      <c r="H2073" s="8" t="s">
        <v>8509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</row>
    <row r="2074" spans="1:19" ht="15.75" customHeight="1">
      <c r="A2074" s="8">
        <v>250762541</v>
      </c>
      <c r="B2074" s="8" t="s">
        <v>10589</v>
      </c>
      <c r="C2074" s="8" t="s">
        <v>11715</v>
      </c>
      <c r="D2074" s="8" t="s">
        <v>7618</v>
      </c>
      <c r="E2074" s="9"/>
      <c r="F2074" s="8"/>
      <c r="G2074" s="9"/>
      <c r="H2074" s="8" t="s">
        <v>8509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</row>
    <row r="2075" spans="1:19" ht="15.75" customHeight="1">
      <c r="A2075" s="8">
        <v>250763105</v>
      </c>
      <c r="B2075" s="8" t="s">
        <v>8579</v>
      </c>
      <c r="C2075" s="8" t="s">
        <v>11716</v>
      </c>
      <c r="D2075" s="8" t="s">
        <v>7621</v>
      </c>
      <c r="E2075" s="9"/>
      <c r="F2075" s="8"/>
      <c r="G2075" s="9"/>
      <c r="H2075" s="8" t="s">
        <v>8158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</row>
    <row r="2076" spans="1:19" ht="15.75" customHeight="1">
      <c r="A2076" s="8">
        <v>250768999</v>
      </c>
      <c r="B2076" s="8" t="s">
        <v>11717</v>
      </c>
      <c r="C2076" s="8" t="s">
        <v>11718</v>
      </c>
      <c r="D2076" s="8" t="s">
        <v>7624</v>
      </c>
      <c r="E2076" s="9"/>
      <c r="F2076" s="8"/>
      <c r="G2076" s="9"/>
      <c r="H2076" s="8" t="s">
        <v>8158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</row>
    <row r="2077" spans="1:19" ht="15.75" customHeight="1">
      <c r="A2077" s="8">
        <v>250770630</v>
      </c>
      <c r="B2077" s="8" t="s">
        <v>11719</v>
      </c>
      <c r="C2077" s="8" t="s">
        <v>11720</v>
      </c>
      <c r="D2077" s="8" t="s">
        <v>7627</v>
      </c>
      <c r="E2077" s="9"/>
      <c r="F2077" s="8" t="s">
        <v>11721</v>
      </c>
      <c r="G2077" s="9">
        <v>48</v>
      </c>
      <c r="H2077" s="8" t="s">
        <v>8262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</row>
    <row r="2078" spans="1:19" ht="15.75" customHeight="1">
      <c r="A2078" s="8">
        <v>250772568</v>
      </c>
      <c r="B2078" s="8" t="s">
        <v>8304</v>
      </c>
      <c r="C2078" s="8" t="s">
        <v>11722</v>
      </c>
      <c r="D2078" s="8" t="s">
        <v>11723</v>
      </c>
      <c r="E2078" s="9"/>
      <c r="F2078" s="8"/>
      <c r="G2078" s="9"/>
      <c r="H2078" s="8" t="s">
        <v>8810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</row>
    <row r="2079" spans="1:19" ht="15.75" customHeight="1">
      <c r="A2079" s="8">
        <v>250773920</v>
      </c>
      <c r="B2079" s="8" t="s">
        <v>8773</v>
      </c>
      <c r="C2079" s="8" t="s">
        <v>11724</v>
      </c>
      <c r="D2079" s="8" t="s">
        <v>7630</v>
      </c>
      <c r="E2079" s="9" t="s">
        <v>7631</v>
      </c>
      <c r="F2079" s="8" t="s">
        <v>11725</v>
      </c>
      <c r="G2079" s="9">
        <v>35</v>
      </c>
      <c r="H2079" s="8" t="s">
        <v>9212</v>
      </c>
      <c r="I2079" s="8" t="s">
        <v>11726</v>
      </c>
      <c r="J2079" s="8"/>
      <c r="K2079" s="8"/>
      <c r="L2079" s="8"/>
      <c r="M2079" s="8"/>
      <c r="N2079" s="8"/>
      <c r="O2079" s="8"/>
      <c r="P2079" s="8"/>
      <c r="Q2079" s="8"/>
      <c r="R2079" s="8"/>
      <c r="S2079" s="8"/>
    </row>
    <row r="2080" spans="1:19" ht="15.75" customHeight="1">
      <c r="A2080" s="8">
        <v>250776993</v>
      </c>
      <c r="B2080" s="8" t="s">
        <v>8988</v>
      </c>
      <c r="C2080" s="8" t="s">
        <v>10499</v>
      </c>
      <c r="D2080" s="8" t="s">
        <v>7634</v>
      </c>
      <c r="E2080" s="9"/>
      <c r="F2080" s="8"/>
      <c r="G2080" s="9"/>
      <c r="H2080" s="8" t="s">
        <v>8600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</row>
    <row r="2081" spans="1:19" ht="15.75" customHeight="1">
      <c r="A2081" s="8">
        <v>250781544</v>
      </c>
      <c r="B2081" s="8" t="s">
        <v>11727</v>
      </c>
      <c r="C2081" s="8" t="s">
        <v>11728</v>
      </c>
      <c r="D2081" s="8" t="s">
        <v>7637</v>
      </c>
      <c r="E2081" s="9" t="s">
        <v>7638</v>
      </c>
      <c r="F2081" s="8"/>
      <c r="G2081" s="9"/>
      <c r="H2081" s="8" t="s">
        <v>8179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</row>
    <row r="2082" spans="1:19" ht="15.75" customHeight="1">
      <c r="A2082" s="8">
        <v>250788496</v>
      </c>
      <c r="B2082" s="8" t="s">
        <v>11729</v>
      </c>
      <c r="C2082" s="8" t="s">
        <v>11730</v>
      </c>
      <c r="D2082" s="8" t="s">
        <v>7643</v>
      </c>
      <c r="E2082" s="9">
        <v>87018086776</v>
      </c>
      <c r="F2082" s="8" t="s">
        <v>11731</v>
      </c>
      <c r="G2082" s="9">
        <v>43</v>
      </c>
      <c r="H2082" s="8" t="s">
        <v>8509</v>
      </c>
      <c r="I2082" s="8" t="s">
        <v>10739</v>
      </c>
      <c r="J2082" s="8"/>
      <c r="K2082" s="8"/>
      <c r="L2082" s="8"/>
      <c r="M2082" s="8"/>
      <c r="N2082" s="8"/>
      <c r="O2082" s="8"/>
      <c r="P2082" s="8"/>
      <c r="Q2082" s="8"/>
      <c r="R2082" s="8"/>
      <c r="S2082" s="8"/>
    </row>
    <row r="2083" spans="1:19" ht="15.75" customHeight="1">
      <c r="A2083" s="8">
        <v>250792743</v>
      </c>
      <c r="B2083" s="8" t="s">
        <v>11732</v>
      </c>
      <c r="C2083" s="8" t="s">
        <v>11733</v>
      </c>
      <c r="D2083" s="8" t="s">
        <v>7646</v>
      </c>
      <c r="E2083" s="9"/>
      <c r="F2083" s="8"/>
      <c r="G2083" s="9"/>
      <c r="H2083" s="8" t="s">
        <v>8509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</row>
    <row r="2084" spans="1:19" ht="15.75" customHeight="1">
      <c r="A2084" s="8">
        <v>250801313</v>
      </c>
      <c r="B2084" s="8" t="s">
        <v>8438</v>
      </c>
      <c r="C2084" s="8" t="s">
        <v>11734</v>
      </c>
      <c r="D2084" s="8" t="s">
        <v>7649</v>
      </c>
      <c r="E2084" s="9"/>
      <c r="F2084" s="8"/>
      <c r="G2084" s="9"/>
      <c r="H2084" s="8" t="s">
        <v>8164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</row>
    <row r="2085" spans="1:19" ht="15.75" customHeight="1">
      <c r="A2085" s="8">
        <v>250812096</v>
      </c>
      <c r="B2085" s="8" t="s">
        <v>11735</v>
      </c>
      <c r="C2085" s="8" t="s">
        <v>11736</v>
      </c>
      <c r="D2085" s="8" t="s">
        <v>7652</v>
      </c>
      <c r="E2085" s="9"/>
      <c r="F2085" s="8"/>
      <c r="G2085" s="9"/>
      <c r="H2085" s="8" t="s">
        <v>8463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</row>
    <row r="2086" spans="1:19" ht="15.75" customHeight="1">
      <c r="A2086" s="8">
        <v>250817319</v>
      </c>
      <c r="B2086" s="8" t="s">
        <v>11737</v>
      </c>
      <c r="C2086" s="8" t="s">
        <v>11738</v>
      </c>
      <c r="D2086" s="8" t="s">
        <v>7655</v>
      </c>
      <c r="E2086" s="9"/>
      <c r="F2086" s="8"/>
      <c r="G2086" s="9"/>
      <c r="H2086" s="8" t="s">
        <v>11368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</row>
    <row r="2087" spans="1:19" ht="15.75" customHeight="1">
      <c r="A2087" s="8">
        <v>250824935</v>
      </c>
      <c r="B2087" s="8" t="s">
        <v>11739</v>
      </c>
      <c r="C2087" s="8" t="s">
        <v>11740</v>
      </c>
      <c r="D2087" s="8" t="s">
        <v>7658</v>
      </c>
      <c r="E2087" s="9"/>
      <c r="F2087" s="8"/>
      <c r="G2087" s="9"/>
      <c r="H2087" s="8" t="s">
        <v>8509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</row>
    <row r="2088" spans="1:19" ht="15.75" customHeight="1">
      <c r="A2088" s="8">
        <v>250833437</v>
      </c>
      <c r="B2088" s="8" t="s">
        <v>11154</v>
      </c>
      <c r="C2088" s="8" t="s">
        <v>11741</v>
      </c>
      <c r="D2088" s="8" t="s">
        <v>7661</v>
      </c>
      <c r="E2088" s="9"/>
      <c r="F2088" s="8"/>
      <c r="G2088" s="9"/>
      <c r="H2088" s="8" t="s">
        <v>8463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</row>
    <row r="2089" spans="1:19" ht="15.75" customHeight="1">
      <c r="A2089" s="8">
        <v>250837231</v>
      </c>
      <c r="B2089" s="8" t="s">
        <v>8444</v>
      </c>
      <c r="C2089" s="8" t="s">
        <v>11742</v>
      </c>
      <c r="D2089" s="8" t="s">
        <v>7664</v>
      </c>
      <c r="E2089" s="9"/>
      <c r="F2089" s="8"/>
      <c r="G2089" s="9"/>
      <c r="H2089" s="8" t="s">
        <v>8164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</row>
    <row r="2090" spans="1:19" ht="15.75" customHeight="1">
      <c r="A2090" s="8">
        <v>250845749</v>
      </c>
      <c r="B2090" s="8" t="s">
        <v>8279</v>
      </c>
      <c r="C2090" s="8" t="s">
        <v>10342</v>
      </c>
      <c r="D2090" s="8" t="s">
        <v>7668</v>
      </c>
      <c r="E2090" s="9"/>
      <c r="F2090" s="8"/>
      <c r="G2090" s="9"/>
      <c r="H2090" s="8" t="s">
        <v>8164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</row>
    <row r="2091" spans="1:19" ht="15.75" customHeight="1">
      <c r="A2091" s="8">
        <v>250851957</v>
      </c>
      <c r="B2091" s="8" t="s">
        <v>10806</v>
      </c>
      <c r="C2091" s="8" t="s">
        <v>11743</v>
      </c>
      <c r="D2091" s="8" t="s">
        <v>7671</v>
      </c>
      <c r="E2091" s="9" t="s">
        <v>7672</v>
      </c>
      <c r="F2091" s="8"/>
      <c r="G2091" s="9"/>
      <c r="H2091" s="8" t="s">
        <v>8241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</row>
    <row r="2092" spans="1:19" ht="15.75" customHeight="1">
      <c r="A2092" s="8">
        <v>250856390</v>
      </c>
      <c r="B2092" s="8" t="s">
        <v>8304</v>
      </c>
      <c r="C2092" s="8" t="s">
        <v>11744</v>
      </c>
      <c r="D2092" s="8" t="s">
        <v>7675</v>
      </c>
      <c r="E2092" s="9"/>
      <c r="F2092" s="8"/>
      <c r="G2092" s="9"/>
      <c r="H2092" s="8" t="s">
        <v>8600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</row>
    <row r="2093" spans="1:19" ht="15.75" customHeight="1">
      <c r="A2093" s="8">
        <v>250859636</v>
      </c>
      <c r="B2093" s="8" t="s">
        <v>7399</v>
      </c>
      <c r="C2093" s="8" t="s">
        <v>11745</v>
      </c>
      <c r="D2093" s="8" t="s">
        <v>7678</v>
      </c>
      <c r="E2093" s="9"/>
      <c r="F2093" s="8"/>
      <c r="G2093" s="9"/>
      <c r="H2093" s="8" t="s">
        <v>8164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</row>
    <row r="2094" spans="1:19" ht="15.75" customHeight="1">
      <c r="A2094" s="8">
        <v>250876316</v>
      </c>
      <c r="B2094" s="8" t="s">
        <v>11066</v>
      </c>
      <c r="C2094" s="8" t="s">
        <v>11746</v>
      </c>
      <c r="D2094" s="8" t="s">
        <v>7681</v>
      </c>
      <c r="E2094" s="9"/>
      <c r="F2094" s="8"/>
      <c r="G2094" s="9"/>
      <c r="H2094" s="8" t="s">
        <v>8509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</row>
    <row r="2095" spans="1:19" ht="15.75" customHeight="1">
      <c r="A2095" s="8">
        <v>250894774</v>
      </c>
      <c r="B2095" s="8" t="s">
        <v>10907</v>
      </c>
      <c r="C2095" s="8" t="s">
        <v>11747</v>
      </c>
      <c r="D2095" s="8" t="s">
        <v>7684</v>
      </c>
      <c r="E2095" s="9">
        <v>77084235200</v>
      </c>
      <c r="F2095" s="8" t="s">
        <v>11748</v>
      </c>
      <c r="G2095" s="9">
        <v>22</v>
      </c>
      <c r="H2095" s="8" t="s">
        <v>8164</v>
      </c>
      <c r="I2095" s="8" t="s">
        <v>11749</v>
      </c>
      <c r="J2095" s="8"/>
      <c r="K2095" s="8"/>
      <c r="L2095" s="8"/>
      <c r="M2095" s="8"/>
      <c r="N2095" s="8"/>
      <c r="O2095" s="8"/>
      <c r="P2095" s="8"/>
      <c r="Q2095" s="8"/>
      <c r="R2095" s="8"/>
      <c r="S2095" s="8"/>
    </row>
    <row r="2096" spans="1:19" ht="15.75" customHeight="1">
      <c r="A2096" s="8">
        <v>250900156</v>
      </c>
      <c r="B2096" s="8" t="s">
        <v>7399</v>
      </c>
      <c r="C2096" s="8" t="s">
        <v>11750</v>
      </c>
      <c r="D2096" s="8" t="s">
        <v>7687</v>
      </c>
      <c r="E2096" s="9"/>
      <c r="F2096" s="8"/>
      <c r="G2096" s="9"/>
      <c r="H2096" s="8" t="s">
        <v>8509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</row>
    <row r="2097" spans="1:19" ht="15.75" customHeight="1">
      <c r="A2097" s="8">
        <v>250900292</v>
      </c>
      <c r="B2097" s="8" t="s">
        <v>11751</v>
      </c>
      <c r="C2097" s="8" t="s">
        <v>11752</v>
      </c>
      <c r="D2097" s="8" t="s">
        <v>7690</v>
      </c>
      <c r="E2097" s="9"/>
      <c r="F2097" s="8"/>
      <c r="G2097" s="9"/>
      <c r="H2097" s="8" t="s">
        <v>8509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</row>
    <row r="2098" spans="1:19" ht="15.75" customHeight="1">
      <c r="A2098" s="8">
        <v>250902072</v>
      </c>
      <c r="B2098" s="8" t="s">
        <v>11753</v>
      </c>
      <c r="C2098" s="8" t="s">
        <v>11754</v>
      </c>
      <c r="D2098" s="8" t="s">
        <v>7693</v>
      </c>
      <c r="E2098" s="9"/>
      <c r="F2098" s="8"/>
      <c r="G2098" s="9"/>
      <c r="H2098" s="8" t="s">
        <v>8509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</row>
    <row r="2099" spans="1:19" ht="15.75" customHeight="1">
      <c r="A2099" s="8">
        <v>250907071</v>
      </c>
      <c r="B2099" s="8" t="s">
        <v>11755</v>
      </c>
      <c r="C2099" s="8" t="s">
        <v>11756</v>
      </c>
      <c r="D2099" s="8" t="s">
        <v>7696</v>
      </c>
      <c r="E2099" s="9"/>
      <c r="F2099" s="8"/>
      <c r="G2099" s="9"/>
      <c r="H2099" s="8" t="s">
        <v>8509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</row>
    <row r="2100" spans="1:19" ht="15.75" customHeight="1">
      <c r="A2100" s="8">
        <v>250912724</v>
      </c>
      <c r="B2100" s="8" t="s">
        <v>8206</v>
      </c>
      <c r="C2100" s="8" t="s">
        <v>11757</v>
      </c>
      <c r="D2100" s="8" t="s">
        <v>7699</v>
      </c>
      <c r="E2100" s="9"/>
      <c r="F2100" s="8"/>
      <c r="G2100" s="9"/>
      <c r="H2100" s="8" t="s">
        <v>8158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</row>
    <row r="2101" spans="1:19" ht="15.75" customHeight="1">
      <c r="A2101" s="8">
        <v>250927852</v>
      </c>
      <c r="B2101" s="8" t="s">
        <v>11758</v>
      </c>
      <c r="C2101" s="8" t="s">
        <v>11759</v>
      </c>
      <c r="D2101" s="8" t="s">
        <v>7702</v>
      </c>
      <c r="E2101" s="9"/>
      <c r="F2101" s="8"/>
      <c r="G2101" s="9"/>
      <c r="H2101" s="8" t="s">
        <v>8509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</row>
    <row r="2102" spans="1:19" ht="15.75" customHeight="1">
      <c r="A2102" s="8">
        <v>250928937</v>
      </c>
      <c r="B2102" s="8" t="s">
        <v>11760</v>
      </c>
      <c r="C2102" s="8" t="s">
        <v>11445</v>
      </c>
      <c r="D2102" s="8" t="s">
        <v>7705</v>
      </c>
      <c r="E2102" s="9"/>
      <c r="F2102" s="8"/>
      <c r="G2102" s="9"/>
      <c r="H2102" s="8" t="s">
        <v>8183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</row>
    <row r="2103" spans="1:19" ht="15.75" customHeight="1">
      <c r="A2103" s="8">
        <v>250933573</v>
      </c>
      <c r="B2103" s="8" t="s">
        <v>11761</v>
      </c>
      <c r="C2103" s="8" t="s">
        <v>11762</v>
      </c>
      <c r="D2103" s="8" t="s">
        <v>7708</v>
      </c>
      <c r="E2103" s="9"/>
      <c r="F2103" s="8"/>
      <c r="G2103" s="9"/>
      <c r="H2103" s="8" t="s">
        <v>8509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</row>
    <row r="2104" spans="1:19" ht="15.75" customHeight="1">
      <c r="A2104" s="8">
        <v>250935511</v>
      </c>
      <c r="B2104" s="8" t="s">
        <v>8304</v>
      </c>
      <c r="C2104" s="8" t="s">
        <v>11763</v>
      </c>
      <c r="D2104" s="8" t="s">
        <v>7711</v>
      </c>
      <c r="E2104" s="9"/>
      <c r="F2104" s="8"/>
      <c r="G2104" s="9"/>
      <c r="H2104" s="8" t="s">
        <v>8267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</row>
    <row r="2105" spans="1:19" ht="15.75" customHeight="1">
      <c r="A2105" s="8">
        <v>250935811</v>
      </c>
      <c r="B2105" s="8" t="s">
        <v>11764</v>
      </c>
      <c r="C2105" s="8" t="s">
        <v>8267</v>
      </c>
      <c r="D2105" s="8" t="s">
        <v>7714</v>
      </c>
      <c r="E2105" s="9" t="s">
        <v>7715</v>
      </c>
      <c r="F2105" s="8"/>
      <c r="G2105" s="9"/>
      <c r="H2105" s="8" t="s">
        <v>8832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</row>
    <row r="2106" spans="1:19" ht="15.75" customHeight="1">
      <c r="A2106" s="8">
        <v>250938781</v>
      </c>
      <c r="B2106" s="8" t="s">
        <v>10380</v>
      </c>
      <c r="C2106" s="8" t="s">
        <v>11765</v>
      </c>
      <c r="D2106" s="8" t="s">
        <v>7718</v>
      </c>
      <c r="E2106" s="9"/>
      <c r="F2106" s="8"/>
      <c r="G2106" s="9"/>
      <c r="H2106" s="8" t="s">
        <v>8509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</row>
    <row r="2107" spans="1:19" ht="15.75" customHeight="1">
      <c r="A2107" s="8">
        <v>250972473</v>
      </c>
      <c r="B2107" s="8" t="s">
        <v>7399</v>
      </c>
      <c r="C2107" s="8" t="s">
        <v>11766</v>
      </c>
      <c r="D2107" s="8" t="s">
        <v>7721</v>
      </c>
      <c r="E2107" s="9" t="s">
        <v>7722</v>
      </c>
      <c r="F2107" s="8" t="s">
        <v>11767</v>
      </c>
      <c r="G2107" s="9">
        <v>40</v>
      </c>
      <c r="H2107" s="8" t="s">
        <v>8164</v>
      </c>
      <c r="I2107" s="8" t="s">
        <v>11768</v>
      </c>
      <c r="J2107" s="8"/>
      <c r="K2107" s="8"/>
      <c r="L2107" s="8"/>
      <c r="M2107" s="8"/>
      <c r="N2107" s="8"/>
      <c r="O2107" s="8"/>
      <c r="P2107" s="8"/>
      <c r="Q2107" s="8"/>
      <c r="R2107" s="8"/>
      <c r="S2107" s="8"/>
    </row>
    <row r="2108" spans="1:19" ht="15.75" customHeight="1">
      <c r="A2108" s="8">
        <v>250973634</v>
      </c>
      <c r="B2108" s="8" t="s">
        <v>11769</v>
      </c>
      <c r="C2108" s="8"/>
      <c r="D2108" s="8" t="s">
        <v>11770</v>
      </c>
      <c r="E2108" s="9">
        <v>79042703173</v>
      </c>
      <c r="F2108" s="8"/>
      <c r="G2108" s="9"/>
      <c r="H2108" s="8" t="s">
        <v>8164</v>
      </c>
      <c r="I2108" s="8" t="s">
        <v>11219</v>
      </c>
      <c r="J2108" s="8"/>
      <c r="K2108" s="8"/>
      <c r="L2108" s="8"/>
      <c r="M2108" s="8"/>
      <c r="N2108" s="8"/>
      <c r="O2108" s="8"/>
      <c r="P2108" s="8"/>
      <c r="Q2108" s="8"/>
      <c r="R2108" s="8"/>
      <c r="S2108" s="8"/>
    </row>
    <row r="2109" spans="1:19" ht="15.75" customHeight="1">
      <c r="A2109" s="8">
        <v>250976059</v>
      </c>
      <c r="B2109" s="8" t="s">
        <v>8619</v>
      </c>
      <c r="C2109" s="8" t="s">
        <v>11771</v>
      </c>
      <c r="D2109" s="8" t="s">
        <v>7725</v>
      </c>
      <c r="E2109" s="9"/>
      <c r="F2109" s="8"/>
      <c r="G2109" s="9"/>
      <c r="H2109" s="8" t="s">
        <v>8509</v>
      </c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</row>
    <row r="2110" spans="1:19" ht="15.75" customHeight="1">
      <c r="A2110" s="8">
        <v>250982758</v>
      </c>
      <c r="B2110" s="8" t="s">
        <v>8643</v>
      </c>
      <c r="C2110" s="8" t="s">
        <v>11772</v>
      </c>
      <c r="D2110" s="8" t="s">
        <v>7728</v>
      </c>
      <c r="E2110" s="9"/>
      <c r="F2110" s="8"/>
      <c r="G2110" s="9"/>
      <c r="H2110" s="8" t="s">
        <v>8509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</row>
    <row r="2111" spans="1:19" ht="15.75" customHeight="1">
      <c r="A2111" s="8">
        <v>250987954</v>
      </c>
      <c r="B2111" s="8" t="s">
        <v>8479</v>
      </c>
      <c r="C2111" s="8" t="s">
        <v>11773</v>
      </c>
      <c r="D2111" s="8" t="s">
        <v>7731</v>
      </c>
      <c r="E2111" s="9"/>
      <c r="F2111" s="8"/>
      <c r="G2111" s="9"/>
      <c r="H2111" s="8" t="s">
        <v>8164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</row>
    <row r="2112" spans="1:19" ht="15.75" customHeight="1">
      <c r="A2112" s="8">
        <v>250995427</v>
      </c>
      <c r="B2112" s="8" t="s">
        <v>10806</v>
      </c>
      <c r="C2112" s="8" t="s">
        <v>11774</v>
      </c>
      <c r="D2112" s="8" t="s">
        <v>7734</v>
      </c>
      <c r="E2112" s="9"/>
      <c r="F2112" s="8"/>
      <c r="G2112" s="9"/>
      <c r="H2112" s="8" t="s">
        <v>8241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</row>
    <row r="2113" spans="1:19" ht="15.75" customHeight="1">
      <c r="A2113" s="8">
        <v>251000600</v>
      </c>
      <c r="B2113" s="8" t="s">
        <v>11769</v>
      </c>
      <c r="C2113" s="8" t="s">
        <v>11775</v>
      </c>
      <c r="D2113" s="8" t="s">
        <v>7737</v>
      </c>
      <c r="E2113" s="9">
        <v>79042703173</v>
      </c>
      <c r="F2113" s="8" t="s">
        <v>11776</v>
      </c>
      <c r="G2113" s="9">
        <v>37</v>
      </c>
      <c r="H2113" s="8" t="s">
        <v>8164</v>
      </c>
      <c r="I2113" s="8" t="s">
        <v>11219</v>
      </c>
      <c r="J2113" s="8"/>
      <c r="K2113" s="8"/>
      <c r="L2113" s="8"/>
      <c r="M2113" s="8"/>
      <c r="N2113" s="8"/>
      <c r="O2113" s="8"/>
      <c r="P2113" s="8"/>
      <c r="Q2113" s="8"/>
      <c r="R2113" s="8"/>
      <c r="S2113" s="8"/>
    </row>
    <row r="2114" spans="1:19" ht="15.75" customHeight="1">
      <c r="A2114" s="8">
        <v>251003452</v>
      </c>
      <c r="B2114" s="8" t="s">
        <v>8579</v>
      </c>
      <c r="C2114" s="8" t="s">
        <v>8863</v>
      </c>
      <c r="D2114" s="8" t="s">
        <v>7740</v>
      </c>
      <c r="E2114" s="9"/>
      <c r="F2114" s="8"/>
      <c r="G2114" s="9"/>
      <c r="H2114" s="8" t="s">
        <v>8509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</row>
    <row r="2115" spans="1:19" ht="15.75" customHeight="1">
      <c r="A2115" s="8">
        <v>251009485</v>
      </c>
      <c r="B2115" s="8" t="s">
        <v>8760</v>
      </c>
      <c r="C2115" s="8" t="s">
        <v>11777</v>
      </c>
      <c r="D2115" s="8" t="s">
        <v>7743</v>
      </c>
      <c r="E2115" s="9" t="s">
        <v>7744</v>
      </c>
      <c r="F2115" s="8" t="s">
        <v>11778</v>
      </c>
      <c r="G2115" s="9">
        <v>61</v>
      </c>
      <c r="H2115" s="8" t="s">
        <v>8164</v>
      </c>
      <c r="I2115" s="8" t="s">
        <v>8165</v>
      </c>
      <c r="J2115" s="8"/>
      <c r="K2115" s="8"/>
      <c r="L2115" s="8"/>
      <c r="M2115" s="8"/>
      <c r="N2115" s="8"/>
      <c r="O2115" s="8"/>
      <c r="P2115" s="8"/>
      <c r="Q2115" s="8"/>
      <c r="R2115" s="8"/>
      <c r="S2115" s="8"/>
    </row>
    <row r="2116" spans="1:19" ht="15.75" customHeight="1">
      <c r="A2116" s="8">
        <v>251012659</v>
      </c>
      <c r="B2116" s="8" t="s">
        <v>11779</v>
      </c>
      <c r="C2116" s="8" t="s">
        <v>11780</v>
      </c>
      <c r="D2116" s="8" t="s">
        <v>11781</v>
      </c>
      <c r="E2116" s="9"/>
      <c r="F2116" s="8"/>
      <c r="G2116" s="9"/>
      <c r="H2116" s="8"/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</row>
    <row r="2117" spans="1:19" ht="15.75" customHeight="1">
      <c r="A2117" s="8">
        <v>251013739</v>
      </c>
      <c r="B2117" s="8" t="s">
        <v>8581</v>
      </c>
      <c r="C2117" s="8" t="s">
        <v>11782</v>
      </c>
      <c r="D2117" s="8" t="s">
        <v>7747</v>
      </c>
      <c r="E2117" s="9">
        <v>79377179339</v>
      </c>
      <c r="F2117" s="8" t="s">
        <v>11783</v>
      </c>
      <c r="G2117" s="9">
        <v>33</v>
      </c>
      <c r="H2117" s="8" t="s">
        <v>8600</v>
      </c>
      <c r="I2117" s="8" t="s">
        <v>11784</v>
      </c>
      <c r="J2117" s="8"/>
      <c r="K2117" s="8"/>
      <c r="L2117" s="8"/>
      <c r="M2117" s="8"/>
      <c r="N2117" s="8"/>
      <c r="O2117" s="8"/>
      <c r="P2117" s="8"/>
      <c r="Q2117" s="8"/>
      <c r="R2117" s="8"/>
      <c r="S2117" s="8"/>
    </row>
    <row r="2118" spans="1:19" ht="15.75" customHeight="1">
      <c r="A2118" s="8">
        <v>251014052</v>
      </c>
      <c r="B2118" s="8" t="s">
        <v>11785</v>
      </c>
      <c r="C2118" s="8" t="s">
        <v>8581</v>
      </c>
      <c r="D2118" s="8" t="s">
        <v>7750</v>
      </c>
      <c r="E2118" s="9">
        <v>79053620940</v>
      </c>
      <c r="F2118" s="8" t="s">
        <v>11786</v>
      </c>
      <c r="G2118" s="9">
        <v>41</v>
      </c>
      <c r="H2118" s="8" t="s">
        <v>8164</v>
      </c>
      <c r="I2118" s="8" t="s">
        <v>10250</v>
      </c>
      <c r="J2118" s="8"/>
      <c r="K2118" s="8"/>
      <c r="L2118" s="8"/>
      <c r="M2118" s="8"/>
      <c r="N2118" s="8"/>
      <c r="O2118" s="8"/>
      <c r="P2118" s="8"/>
      <c r="Q2118" s="8"/>
      <c r="R2118" s="8"/>
      <c r="S2118" s="8"/>
    </row>
    <row r="2119" spans="1:19" ht="15.75" customHeight="1">
      <c r="A2119" s="8">
        <v>251014098</v>
      </c>
      <c r="B2119" s="8" t="s">
        <v>11002</v>
      </c>
      <c r="C2119" s="8" t="s">
        <v>11787</v>
      </c>
      <c r="D2119" s="8" t="s">
        <v>7753</v>
      </c>
      <c r="E2119" s="9"/>
      <c r="F2119" s="8"/>
      <c r="G2119" s="9"/>
      <c r="H2119" s="8" t="s">
        <v>8509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</row>
    <row r="2120" spans="1:19" ht="15.75" customHeight="1">
      <c r="A2120" s="8">
        <v>251032835</v>
      </c>
      <c r="B2120" s="8" t="s">
        <v>8682</v>
      </c>
      <c r="C2120" s="8" t="s">
        <v>11788</v>
      </c>
      <c r="D2120" s="8" t="s">
        <v>7756</v>
      </c>
      <c r="E2120" s="9"/>
      <c r="F2120" s="8"/>
      <c r="G2120" s="9"/>
      <c r="H2120" s="8" t="s">
        <v>8164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</row>
    <row r="2121" spans="1:19" ht="15.75" customHeight="1">
      <c r="A2121" s="8">
        <v>251040128</v>
      </c>
      <c r="B2121" s="8" t="s">
        <v>8579</v>
      </c>
      <c r="C2121" s="8" t="s">
        <v>8579</v>
      </c>
      <c r="D2121" s="8" t="s">
        <v>7759</v>
      </c>
      <c r="E2121" s="9"/>
      <c r="F2121" s="8"/>
      <c r="G2121" s="9"/>
      <c r="H2121" s="8" t="s">
        <v>8509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</row>
    <row r="2122" spans="1:19" ht="15.75" customHeight="1">
      <c r="A2122" s="8">
        <v>251040386</v>
      </c>
      <c r="B2122" s="8" t="s">
        <v>11789</v>
      </c>
      <c r="C2122" s="8" t="s">
        <v>11790</v>
      </c>
      <c r="D2122" s="8" t="s">
        <v>7762</v>
      </c>
      <c r="E2122" s="9"/>
      <c r="F2122" s="8"/>
      <c r="G2122" s="9"/>
      <c r="H2122" s="8" t="s">
        <v>8509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</row>
    <row r="2123" spans="1:19" ht="15.75" customHeight="1">
      <c r="A2123" s="8">
        <v>251055971</v>
      </c>
      <c r="B2123" s="8" t="s">
        <v>8748</v>
      </c>
      <c r="C2123" s="8" t="s">
        <v>11791</v>
      </c>
      <c r="D2123" s="8" t="s">
        <v>7765</v>
      </c>
      <c r="E2123" s="9" t="s">
        <v>7766</v>
      </c>
      <c r="F2123" s="8" t="s">
        <v>11792</v>
      </c>
      <c r="G2123" s="9">
        <v>39</v>
      </c>
      <c r="H2123" s="8" t="s">
        <v>8164</v>
      </c>
      <c r="I2123" s="8" t="s">
        <v>11793</v>
      </c>
      <c r="J2123" s="8"/>
      <c r="K2123" s="8"/>
      <c r="L2123" s="8"/>
      <c r="M2123" s="8"/>
      <c r="N2123" s="8"/>
      <c r="O2123" s="8"/>
      <c r="P2123" s="8"/>
      <c r="Q2123" s="8"/>
      <c r="R2123" s="8"/>
      <c r="S2123" s="8"/>
    </row>
    <row r="2124" spans="1:19" ht="15.75" customHeight="1">
      <c r="A2124" s="8">
        <v>251066136</v>
      </c>
      <c r="B2124" s="8" t="s">
        <v>10446</v>
      </c>
      <c r="C2124" s="8" t="s">
        <v>11794</v>
      </c>
      <c r="D2124" s="8" t="s">
        <v>11795</v>
      </c>
      <c r="E2124" s="9"/>
      <c r="F2124" s="8"/>
      <c r="G2124" s="9"/>
      <c r="H2124" s="8" t="s">
        <v>8509</v>
      </c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</row>
    <row r="2125" spans="1:19" ht="15.75" customHeight="1">
      <c r="A2125" s="8">
        <v>251068796</v>
      </c>
      <c r="B2125" s="8" t="s">
        <v>7768</v>
      </c>
      <c r="C2125" s="8"/>
      <c r="D2125" s="8" t="s">
        <v>7769</v>
      </c>
      <c r="E2125" s="9">
        <v>420773013880</v>
      </c>
      <c r="F2125" s="8"/>
      <c r="G2125" s="9"/>
      <c r="H2125" s="8" t="s">
        <v>10616</v>
      </c>
      <c r="I2125" s="8" t="s">
        <v>11796</v>
      </c>
      <c r="J2125" s="8"/>
      <c r="K2125" s="8"/>
      <c r="L2125" s="8"/>
      <c r="M2125" s="8"/>
      <c r="N2125" s="8"/>
      <c r="O2125" s="8"/>
      <c r="P2125" s="8"/>
      <c r="Q2125" s="8"/>
      <c r="R2125" s="8"/>
      <c r="S2125" s="8"/>
    </row>
    <row r="2126" spans="1:19" ht="15.75" customHeight="1">
      <c r="A2126" s="8">
        <v>251076471</v>
      </c>
      <c r="B2126" s="8" t="s">
        <v>9522</v>
      </c>
      <c r="C2126" s="8" t="s">
        <v>11797</v>
      </c>
      <c r="D2126" s="8" t="s">
        <v>7772</v>
      </c>
      <c r="E2126" s="9" t="s">
        <v>7773</v>
      </c>
      <c r="F2126" s="8"/>
      <c r="G2126" s="9"/>
      <c r="H2126" s="8" t="s">
        <v>8558</v>
      </c>
      <c r="I2126" s="8" t="s">
        <v>8559</v>
      </c>
      <c r="J2126" s="8" t="s">
        <v>11798</v>
      </c>
      <c r="K2126" s="8"/>
      <c r="L2126" s="8"/>
      <c r="M2126" s="8"/>
      <c r="N2126" s="8"/>
      <c r="O2126" s="8"/>
      <c r="P2126" s="8"/>
      <c r="Q2126" s="8"/>
      <c r="R2126" s="8"/>
      <c r="S2126" s="8"/>
    </row>
    <row r="2127" spans="1:19" ht="15.75" customHeight="1">
      <c r="A2127" s="8">
        <v>251090854</v>
      </c>
      <c r="B2127" s="8" t="s">
        <v>11799</v>
      </c>
      <c r="C2127" s="8" t="s">
        <v>11800</v>
      </c>
      <c r="D2127" s="8" t="s">
        <v>7776</v>
      </c>
      <c r="E2127" s="9"/>
      <c r="F2127" s="8"/>
      <c r="G2127" s="9"/>
      <c r="H2127" s="8" t="s">
        <v>11801</v>
      </c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</row>
    <row r="2128" spans="1:19" ht="15.75" customHeight="1">
      <c r="A2128" s="8">
        <v>251091657</v>
      </c>
      <c r="B2128" s="8" t="s">
        <v>11802</v>
      </c>
      <c r="C2128" s="8" t="s">
        <v>11803</v>
      </c>
      <c r="D2128" s="8" t="s">
        <v>7779</v>
      </c>
      <c r="E2128" s="9"/>
      <c r="F2128" s="8"/>
      <c r="G2128" s="9"/>
      <c r="H2128" s="8" t="s">
        <v>8164</v>
      </c>
      <c r="I2128" s="8"/>
      <c r="J2128" s="8"/>
      <c r="K2128" s="8"/>
      <c r="L2128" s="8"/>
      <c r="M2128" s="8"/>
      <c r="N2128" s="8"/>
      <c r="O2128" s="8"/>
      <c r="P2128" s="8"/>
      <c r="Q2128" s="8"/>
      <c r="R2128" s="8"/>
      <c r="S2128" s="8"/>
    </row>
    <row r="2129" spans="1:19" ht="15.75" customHeight="1">
      <c r="A2129" s="8">
        <v>251092278</v>
      </c>
      <c r="B2129" s="8" t="s">
        <v>8410</v>
      </c>
      <c r="C2129" s="8" t="s">
        <v>11804</v>
      </c>
      <c r="D2129" s="8" t="s">
        <v>7782</v>
      </c>
      <c r="E2129" s="9"/>
      <c r="F2129" s="8"/>
      <c r="G2129" s="9"/>
      <c r="H2129" s="8" t="s">
        <v>8164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</row>
    <row r="2130" spans="1:19" ht="15.75" customHeight="1">
      <c r="A2130" s="8">
        <v>251093009</v>
      </c>
      <c r="B2130" s="8" t="s">
        <v>8479</v>
      </c>
      <c r="C2130" s="8" t="s">
        <v>11805</v>
      </c>
      <c r="D2130" s="8" t="s">
        <v>7785</v>
      </c>
      <c r="E2130" s="9"/>
      <c r="F2130" s="8"/>
      <c r="G2130" s="9"/>
      <c r="H2130" s="8" t="s">
        <v>8164</v>
      </c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</row>
    <row r="2131" spans="1:19" ht="15.75" customHeight="1">
      <c r="A2131" s="8">
        <v>251094671</v>
      </c>
      <c r="B2131" s="8" t="s">
        <v>7787</v>
      </c>
      <c r="C2131" s="8"/>
      <c r="D2131" s="8" t="s">
        <v>7788</v>
      </c>
      <c r="E2131" s="9" t="s">
        <v>7789</v>
      </c>
      <c r="F2131" s="8"/>
      <c r="G2131" s="9"/>
      <c r="H2131" s="8" t="s">
        <v>8164</v>
      </c>
      <c r="I2131" s="8" t="s">
        <v>9551</v>
      </c>
      <c r="J2131" s="8"/>
      <c r="K2131" s="8"/>
      <c r="L2131" s="8"/>
      <c r="M2131" s="8"/>
      <c r="N2131" s="8"/>
      <c r="O2131" s="8"/>
      <c r="P2131" s="8"/>
      <c r="Q2131" s="8"/>
      <c r="R2131" s="8"/>
      <c r="S2131" s="8"/>
    </row>
    <row r="2132" spans="1:19" ht="15.75" customHeight="1">
      <c r="A2132" s="8">
        <v>251094739</v>
      </c>
      <c r="B2132" s="8"/>
      <c r="C2132" s="8"/>
      <c r="D2132" s="8" t="s">
        <v>11806</v>
      </c>
      <c r="E2132" s="9"/>
      <c r="F2132" s="8"/>
      <c r="G2132" s="9"/>
      <c r="H2132" s="8" t="s">
        <v>8164</v>
      </c>
      <c r="I2132" s="8" t="s">
        <v>8165</v>
      </c>
      <c r="J2132" s="8"/>
      <c r="K2132" s="8"/>
      <c r="L2132" s="8"/>
      <c r="M2132" s="8"/>
      <c r="N2132" s="8"/>
      <c r="O2132" s="8"/>
      <c r="P2132" s="8"/>
      <c r="Q2132" s="8"/>
      <c r="R2132" s="8"/>
      <c r="S2132" s="8"/>
    </row>
    <row r="2133" spans="1:19" ht="15.75" customHeight="1">
      <c r="A2133" s="8">
        <v>251101476</v>
      </c>
      <c r="B2133" s="8"/>
      <c r="C2133" s="8"/>
      <c r="D2133" s="8" t="s">
        <v>11807</v>
      </c>
      <c r="E2133" s="9"/>
      <c r="F2133" s="8"/>
      <c r="G2133" s="9"/>
      <c r="H2133" s="8" t="s">
        <v>8164</v>
      </c>
      <c r="I2133" s="8" t="s">
        <v>8165</v>
      </c>
      <c r="J2133" s="8"/>
      <c r="K2133" s="8"/>
      <c r="L2133" s="8"/>
      <c r="M2133" s="8"/>
      <c r="N2133" s="8"/>
      <c r="O2133" s="8"/>
      <c r="P2133" s="8"/>
      <c r="Q2133" s="8"/>
      <c r="R2133" s="8"/>
      <c r="S2133" s="8"/>
    </row>
    <row r="2134" spans="1:19" ht="15.75" customHeight="1">
      <c r="A2134" s="8">
        <v>251103120</v>
      </c>
      <c r="B2134" s="8"/>
      <c r="C2134" s="8"/>
      <c r="D2134" s="8" t="s">
        <v>11808</v>
      </c>
      <c r="E2134" s="9"/>
      <c r="F2134" s="8"/>
      <c r="G2134" s="9"/>
      <c r="H2134" s="8" t="s">
        <v>8164</v>
      </c>
      <c r="I2134" s="8" t="s">
        <v>8165</v>
      </c>
      <c r="J2134" s="8"/>
      <c r="K2134" s="8"/>
      <c r="L2134" s="8"/>
      <c r="M2134" s="8"/>
      <c r="N2134" s="8"/>
      <c r="O2134" s="8"/>
      <c r="P2134" s="8"/>
      <c r="Q2134" s="8"/>
      <c r="R2134" s="8"/>
      <c r="S2134" s="8"/>
    </row>
    <row r="2135" spans="1:19" ht="15.75" customHeight="1">
      <c r="A2135" s="8">
        <v>251104903</v>
      </c>
      <c r="B2135" s="8"/>
      <c r="C2135" s="8"/>
      <c r="D2135" s="8" t="s">
        <v>11809</v>
      </c>
      <c r="E2135" s="9"/>
      <c r="F2135" s="8"/>
      <c r="G2135" s="9"/>
      <c r="H2135" s="8" t="s">
        <v>8164</v>
      </c>
      <c r="I2135" s="8" t="s">
        <v>8165</v>
      </c>
      <c r="J2135" s="8"/>
      <c r="K2135" s="8"/>
      <c r="L2135" s="8"/>
      <c r="M2135" s="8"/>
      <c r="N2135" s="8"/>
      <c r="O2135" s="8"/>
      <c r="P2135" s="8"/>
      <c r="Q2135" s="8"/>
      <c r="R2135" s="8"/>
      <c r="S2135" s="8"/>
    </row>
    <row r="2136" spans="1:19" ht="15.75" customHeight="1">
      <c r="A2136" s="8">
        <v>251111832</v>
      </c>
      <c r="B2136" s="8" t="s">
        <v>11810</v>
      </c>
      <c r="C2136" s="8" t="s">
        <v>11811</v>
      </c>
      <c r="D2136" s="8" t="s">
        <v>7792</v>
      </c>
      <c r="E2136" s="9"/>
      <c r="F2136" s="8"/>
      <c r="G2136" s="9"/>
      <c r="H2136" s="8" t="s">
        <v>8509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</row>
    <row r="2137" spans="1:19" ht="15.75" customHeight="1">
      <c r="A2137" s="8">
        <v>251112966</v>
      </c>
      <c r="B2137" s="8" t="s">
        <v>11812</v>
      </c>
      <c r="C2137" s="8" t="s">
        <v>11813</v>
      </c>
      <c r="D2137" s="8" t="s">
        <v>7795</v>
      </c>
      <c r="E2137" s="9"/>
      <c r="F2137" s="8"/>
      <c r="G2137" s="9"/>
      <c r="H2137" s="8" t="s">
        <v>8164</v>
      </c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</row>
    <row r="2138" spans="1:19" ht="15.75" customHeight="1">
      <c r="A2138" s="8">
        <v>251116088</v>
      </c>
      <c r="B2138" s="8" t="s">
        <v>8234</v>
      </c>
      <c r="C2138" s="8" t="s">
        <v>11544</v>
      </c>
      <c r="D2138" s="8" t="s">
        <v>7798</v>
      </c>
      <c r="E2138" s="9"/>
      <c r="F2138" s="8"/>
      <c r="G2138" s="9"/>
      <c r="H2138" s="8" t="s">
        <v>8164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</row>
    <row r="2139" spans="1:19" ht="15.75" customHeight="1">
      <c r="A2139" s="8">
        <v>251118749</v>
      </c>
      <c r="B2139" s="8" t="s">
        <v>11814</v>
      </c>
      <c r="C2139" s="8" t="s">
        <v>11815</v>
      </c>
      <c r="D2139" s="8" t="s">
        <v>7801</v>
      </c>
      <c r="E2139" s="9"/>
      <c r="F2139" s="8"/>
      <c r="G2139" s="9"/>
      <c r="H2139" s="8" t="s">
        <v>8509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</row>
    <row r="2140" spans="1:19" ht="15.75" customHeight="1">
      <c r="A2140" s="8">
        <v>251120093</v>
      </c>
      <c r="B2140" s="8" t="s">
        <v>11816</v>
      </c>
      <c r="C2140" s="8" t="s">
        <v>11817</v>
      </c>
      <c r="D2140" s="8" t="s">
        <v>7804</v>
      </c>
      <c r="E2140" s="9"/>
      <c r="F2140" s="8"/>
      <c r="G2140" s="9"/>
      <c r="H2140" s="8" t="s">
        <v>8509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</row>
    <row r="2141" spans="1:19" ht="15.75" customHeight="1">
      <c r="A2141" s="8">
        <v>251125284</v>
      </c>
      <c r="B2141" s="8" t="s">
        <v>8434</v>
      </c>
      <c r="C2141" s="8" t="s">
        <v>11818</v>
      </c>
      <c r="D2141" s="8" t="s">
        <v>7807</v>
      </c>
      <c r="E2141" s="9"/>
      <c r="F2141" s="8"/>
      <c r="G2141" s="9"/>
      <c r="H2141" s="8" t="s">
        <v>10028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</row>
    <row r="2142" spans="1:19" ht="15.75" customHeight="1">
      <c r="A2142" s="8">
        <v>251130343</v>
      </c>
      <c r="B2142" s="8" t="s">
        <v>11156</v>
      </c>
      <c r="C2142" s="8" t="s">
        <v>11819</v>
      </c>
      <c r="D2142" s="8" t="s">
        <v>7810</v>
      </c>
      <c r="E2142" s="9"/>
      <c r="F2142" s="8"/>
      <c r="G2142" s="9"/>
      <c r="H2142" s="8" t="s">
        <v>8164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</row>
    <row r="2143" spans="1:19" ht="15.75" customHeight="1">
      <c r="A2143" s="8">
        <v>251140137</v>
      </c>
      <c r="B2143" s="8" t="s">
        <v>10975</v>
      </c>
      <c r="C2143" s="8" t="s">
        <v>11820</v>
      </c>
      <c r="D2143" s="8" t="s">
        <v>7813</v>
      </c>
      <c r="E2143" s="9"/>
      <c r="F2143" s="8"/>
      <c r="G2143" s="9"/>
      <c r="H2143" s="8" t="s">
        <v>8509</v>
      </c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</row>
    <row r="2144" spans="1:19" ht="15.75" customHeight="1">
      <c r="A2144" s="8">
        <v>251140535</v>
      </c>
      <c r="B2144" s="8" t="s">
        <v>8883</v>
      </c>
      <c r="C2144" s="8" t="s">
        <v>11821</v>
      </c>
      <c r="D2144" s="8" t="s">
        <v>7816</v>
      </c>
      <c r="E2144" s="9"/>
      <c r="F2144" s="8"/>
      <c r="G2144" s="9"/>
      <c r="H2144" s="8" t="s">
        <v>8509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</row>
    <row r="2145" spans="1:19" ht="15.75" customHeight="1">
      <c r="A2145" s="8">
        <v>251149222</v>
      </c>
      <c r="B2145" s="8" t="s">
        <v>7818</v>
      </c>
      <c r="C2145" s="8"/>
      <c r="D2145" s="8" t="s">
        <v>7819</v>
      </c>
      <c r="E2145" s="9" t="s">
        <v>7820</v>
      </c>
      <c r="F2145" s="8"/>
      <c r="G2145" s="9"/>
      <c r="H2145" s="8" t="s">
        <v>8164</v>
      </c>
      <c r="I2145" s="8" t="s">
        <v>8165</v>
      </c>
      <c r="J2145" s="8"/>
      <c r="K2145" s="8"/>
      <c r="L2145" s="8"/>
      <c r="M2145" s="8"/>
      <c r="N2145" s="8"/>
      <c r="O2145" s="8"/>
      <c r="P2145" s="8"/>
      <c r="Q2145" s="8"/>
      <c r="R2145" s="8"/>
      <c r="S2145" s="8"/>
    </row>
    <row r="2146" spans="1:19" ht="15.75" customHeight="1">
      <c r="A2146" s="8">
        <v>251149274</v>
      </c>
      <c r="B2146" s="8" t="s">
        <v>10540</v>
      </c>
      <c r="C2146" s="8" t="s">
        <v>11822</v>
      </c>
      <c r="D2146" s="8" t="s">
        <v>7823</v>
      </c>
      <c r="E2146" s="9"/>
      <c r="F2146" s="8"/>
      <c r="G2146" s="9"/>
      <c r="H2146" s="8" t="s">
        <v>8509</v>
      </c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</row>
    <row r="2147" spans="1:19" ht="15.75" customHeight="1">
      <c r="A2147" s="8">
        <v>251154344</v>
      </c>
      <c r="B2147" s="8" t="s">
        <v>10994</v>
      </c>
      <c r="C2147" s="8" t="s">
        <v>11823</v>
      </c>
      <c r="D2147" s="8" t="s">
        <v>7826</v>
      </c>
      <c r="E2147" s="9" t="s">
        <v>7827</v>
      </c>
      <c r="F2147" s="8" t="s">
        <v>11824</v>
      </c>
      <c r="G2147" s="9">
        <v>38</v>
      </c>
      <c r="H2147" s="8" t="s">
        <v>8509</v>
      </c>
      <c r="I2147" s="8" t="s">
        <v>8281</v>
      </c>
      <c r="J2147" s="8"/>
      <c r="K2147" s="8"/>
      <c r="L2147" s="8"/>
      <c r="M2147" s="8"/>
      <c r="N2147" s="8"/>
      <c r="O2147" s="8"/>
      <c r="P2147" s="8"/>
      <c r="Q2147" s="8"/>
      <c r="R2147" s="8"/>
      <c r="S2147" s="8"/>
    </row>
    <row r="2148" spans="1:19" ht="15.75" customHeight="1">
      <c r="A2148" s="8">
        <v>251163699</v>
      </c>
      <c r="B2148" s="8" t="s">
        <v>11825</v>
      </c>
      <c r="C2148" s="8" t="s">
        <v>11826</v>
      </c>
      <c r="D2148" s="8" t="s">
        <v>7830</v>
      </c>
      <c r="E2148" s="9"/>
      <c r="F2148" s="8"/>
      <c r="G2148" s="9"/>
      <c r="H2148" s="8" t="s">
        <v>8509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</row>
    <row r="2149" spans="1:19" ht="15.75" customHeight="1">
      <c r="A2149" s="8">
        <v>251166802</v>
      </c>
      <c r="B2149" s="8" t="s">
        <v>10608</v>
      </c>
      <c r="C2149" s="8" t="s">
        <v>11827</v>
      </c>
      <c r="D2149" s="8" t="s">
        <v>7833</v>
      </c>
      <c r="E2149" s="9"/>
      <c r="F2149" s="8"/>
      <c r="G2149" s="9"/>
      <c r="H2149" s="8" t="s">
        <v>8652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</row>
    <row r="2150" spans="1:19" ht="15.75" customHeight="1">
      <c r="A2150" s="8">
        <v>251169430</v>
      </c>
      <c r="B2150" s="8" t="s">
        <v>11828</v>
      </c>
      <c r="C2150" s="8" t="s">
        <v>11829</v>
      </c>
      <c r="D2150" s="8" t="s">
        <v>7836</v>
      </c>
      <c r="E2150" s="9"/>
      <c r="F2150" s="8"/>
      <c r="G2150" s="9"/>
      <c r="H2150" s="8" t="s">
        <v>8463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</row>
    <row r="2151" spans="1:19" ht="15.75" customHeight="1">
      <c r="A2151" s="8">
        <v>251178317</v>
      </c>
      <c r="B2151" s="8" t="s">
        <v>11830</v>
      </c>
      <c r="C2151" s="8" t="s">
        <v>11831</v>
      </c>
      <c r="D2151" s="8" t="s">
        <v>7839</v>
      </c>
      <c r="E2151" s="9"/>
      <c r="F2151" s="8"/>
      <c r="G2151" s="9"/>
      <c r="H2151" s="8" t="s">
        <v>8509</v>
      </c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</row>
    <row r="2152" spans="1:19" ht="15.75" customHeight="1">
      <c r="A2152" s="8">
        <v>251180623</v>
      </c>
      <c r="B2152" s="8" t="s">
        <v>7399</v>
      </c>
      <c r="C2152" s="8" t="s">
        <v>10946</v>
      </c>
      <c r="D2152" s="8" t="s">
        <v>7842</v>
      </c>
      <c r="E2152" s="9"/>
      <c r="F2152" s="8"/>
      <c r="G2152" s="9"/>
      <c r="H2152" s="8" t="s">
        <v>8509</v>
      </c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</row>
    <row r="2153" spans="1:19" ht="15.75" customHeight="1">
      <c r="A2153" s="8">
        <v>251181154</v>
      </c>
      <c r="B2153" s="8" t="s">
        <v>11832</v>
      </c>
      <c r="C2153" s="8" t="s">
        <v>11833</v>
      </c>
      <c r="D2153" s="8" t="s">
        <v>7845</v>
      </c>
      <c r="E2153" s="9"/>
      <c r="F2153" s="8"/>
      <c r="G2153" s="9"/>
      <c r="H2153" s="8" t="s">
        <v>8509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</row>
    <row r="2154" spans="1:19" ht="15.75" customHeight="1">
      <c r="A2154" s="8">
        <v>251181281</v>
      </c>
      <c r="B2154" s="8" t="s">
        <v>8479</v>
      </c>
      <c r="C2154" s="8" t="s">
        <v>11834</v>
      </c>
      <c r="D2154" s="8" t="s">
        <v>7848</v>
      </c>
      <c r="E2154" s="9"/>
      <c r="F2154" s="8"/>
      <c r="G2154" s="9"/>
      <c r="H2154" s="8" t="s">
        <v>8509</v>
      </c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</row>
    <row r="2155" spans="1:19" ht="15.75" customHeight="1">
      <c r="A2155" s="8">
        <v>251183053</v>
      </c>
      <c r="B2155" s="8" t="s">
        <v>11835</v>
      </c>
      <c r="C2155" s="8" t="s">
        <v>11836</v>
      </c>
      <c r="D2155" s="8" t="s">
        <v>7851</v>
      </c>
      <c r="E2155" s="9"/>
      <c r="F2155" s="8"/>
      <c r="G2155" s="9"/>
      <c r="H2155" s="8" t="s">
        <v>8509</v>
      </c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</row>
    <row r="2156" spans="1:19" ht="15.75" customHeight="1">
      <c r="A2156" s="8">
        <v>251183162</v>
      </c>
      <c r="B2156" s="8" t="s">
        <v>8581</v>
      </c>
      <c r="C2156" s="8" t="s">
        <v>11837</v>
      </c>
      <c r="D2156" s="8" t="s">
        <v>7854</v>
      </c>
      <c r="E2156" s="9"/>
      <c r="F2156" s="8"/>
      <c r="G2156" s="9"/>
      <c r="H2156" s="8" t="s">
        <v>8164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</row>
    <row r="2157" spans="1:19" ht="15.75" customHeight="1">
      <c r="A2157" s="8">
        <v>251186830</v>
      </c>
      <c r="B2157" s="8" t="s">
        <v>11838</v>
      </c>
      <c r="C2157" s="8" t="s">
        <v>11839</v>
      </c>
      <c r="D2157" s="8" t="s">
        <v>7857</v>
      </c>
      <c r="E2157" s="9"/>
      <c r="F2157" s="8"/>
      <c r="G2157" s="9"/>
      <c r="H2157" s="8" t="s">
        <v>8164</v>
      </c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</row>
    <row r="2158" spans="1:19" ht="15.75" customHeight="1">
      <c r="A2158" s="8">
        <v>251188841</v>
      </c>
      <c r="B2158" s="8" t="s">
        <v>10531</v>
      </c>
      <c r="C2158" s="8" t="s">
        <v>11840</v>
      </c>
      <c r="D2158" s="8" t="s">
        <v>7860</v>
      </c>
      <c r="E2158" s="9"/>
      <c r="F2158" s="8"/>
      <c r="G2158" s="9"/>
      <c r="H2158" s="8" t="s">
        <v>8509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</row>
    <row r="2159" spans="1:19" ht="15.75" customHeight="1">
      <c r="A2159" s="8">
        <v>251193914</v>
      </c>
      <c r="B2159" s="8" t="s">
        <v>8479</v>
      </c>
      <c r="C2159" s="8" t="s">
        <v>11841</v>
      </c>
      <c r="D2159" s="8" t="s">
        <v>7863</v>
      </c>
      <c r="E2159" s="9"/>
      <c r="F2159" s="8"/>
      <c r="G2159" s="9"/>
      <c r="H2159" s="8" t="s">
        <v>8832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</row>
    <row r="2160" spans="1:19" ht="15.75" customHeight="1">
      <c r="A2160" s="8">
        <v>251240220</v>
      </c>
      <c r="B2160" s="8" t="s">
        <v>11842</v>
      </c>
      <c r="C2160" s="8" t="s">
        <v>11843</v>
      </c>
      <c r="D2160" s="8" t="s">
        <v>7867</v>
      </c>
      <c r="E2160" s="9"/>
      <c r="F2160" s="8"/>
      <c r="G2160" s="9"/>
      <c r="H2160" s="8" t="s">
        <v>8164</v>
      </c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</row>
    <row r="2161" spans="1:19" ht="15.75" customHeight="1">
      <c r="A2161" s="8">
        <v>251242396</v>
      </c>
      <c r="B2161" s="8" t="s">
        <v>7399</v>
      </c>
      <c r="C2161" s="8" t="s">
        <v>11844</v>
      </c>
      <c r="D2161" s="8" t="s">
        <v>7870</v>
      </c>
      <c r="E2161" s="9">
        <v>79509995598</v>
      </c>
      <c r="F2161" s="8" t="s">
        <v>11845</v>
      </c>
      <c r="G2161" s="9">
        <v>63</v>
      </c>
      <c r="H2161" s="8" t="s">
        <v>8832</v>
      </c>
      <c r="I2161" s="8" t="s">
        <v>11846</v>
      </c>
      <c r="J2161" s="8"/>
      <c r="K2161" s="8"/>
      <c r="L2161" s="8"/>
      <c r="M2161" s="8"/>
      <c r="N2161" s="8"/>
      <c r="O2161" s="8"/>
      <c r="P2161" s="8"/>
      <c r="Q2161" s="8"/>
      <c r="R2161" s="8"/>
      <c r="S2161" s="8"/>
    </row>
    <row r="2162" spans="1:19" ht="15.75" customHeight="1">
      <c r="A2162" s="8">
        <v>251243866</v>
      </c>
      <c r="B2162" s="8" t="s">
        <v>11847</v>
      </c>
      <c r="C2162" s="8" t="s">
        <v>11848</v>
      </c>
      <c r="D2162" s="8" t="s">
        <v>7873</v>
      </c>
      <c r="E2162" s="9"/>
      <c r="F2162" s="8"/>
      <c r="G2162" s="9"/>
      <c r="H2162" s="8" t="s">
        <v>8509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</row>
    <row r="2163" spans="1:19" ht="15.75" customHeight="1">
      <c r="A2163" s="8">
        <v>251246529</v>
      </c>
      <c r="B2163" s="8" t="s">
        <v>7875</v>
      </c>
      <c r="C2163" s="8"/>
      <c r="D2163" s="8" t="s">
        <v>7876</v>
      </c>
      <c r="E2163" s="9" t="s">
        <v>7877</v>
      </c>
      <c r="F2163" s="8"/>
      <c r="G2163" s="9"/>
      <c r="H2163" s="8" t="s">
        <v>8164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</row>
    <row r="2164" spans="1:19" ht="15.75" customHeight="1">
      <c r="A2164" s="8">
        <v>251248096</v>
      </c>
      <c r="B2164" s="8" t="s">
        <v>10246</v>
      </c>
      <c r="C2164" s="8" t="s">
        <v>11849</v>
      </c>
      <c r="D2164" s="8" t="s">
        <v>7880</v>
      </c>
      <c r="E2164" s="9"/>
      <c r="F2164" s="8"/>
      <c r="G2164" s="9"/>
      <c r="H2164" s="8" t="s">
        <v>8509</v>
      </c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</row>
    <row r="2165" spans="1:19" ht="15.75" customHeight="1">
      <c r="A2165" s="8">
        <v>251259586</v>
      </c>
      <c r="B2165" s="8" t="s">
        <v>11850</v>
      </c>
      <c r="C2165" s="8" t="s">
        <v>11851</v>
      </c>
      <c r="D2165" s="8" t="s">
        <v>7883</v>
      </c>
      <c r="E2165" s="9"/>
      <c r="F2165" s="8"/>
      <c r="G2165" s="9"/>
      <c r="H2165" s="8" t="s">
        <v>8509</v>
      </c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</row>
    <row r="2166" spans="1:19" ht="15.75" customHeight="1">
      <c r="A2166" s="8">
        <v>251263279</v>
      </c>
      <c r="B2166" s="8" t="s">
        <v>11852</v>
      </c>
      <c r="C2166" s="8" t="s">
        <v>11853</v>
      </c>
      <c r="D2166" s="8" t="s">
        <v>7886</v>
      </c>
      <c r="E2166" s="9"/>
      <c r="F2166" s="8"/>
      <c r="G2166" s="9"/>
      <c r="H2166" s="8" t="s">
        <v>8509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</row>
    <row r="2167" spans="1:19" ht="15.75" customHeight="1">
      <c r="A2167" s="8">
        <v>251266625</v>
      </c>
      <c r="B2167" s="8" t="s">
        <v>8773</v>
      </c>
      <c r="C2167" s="8" t="s">
        <v>11854</v>
      </c>
      <c r="D2167" s="8" t="s">
        <v>7890</v>
      </c>
      <c r="E2167" s="9"/>
      <c r="F2167" s="8"/>
      <c r="G2167" s="9"/>
      <c r="H2167" s="8" t="s">
        <v>8509</v>
      </c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</row>
    <row r="2168" spans="1:19" ht="15.75" customHeight="1">
      <c r="A2168" s="8">
        <v>251278289</v>
      </c>
      <c r="B2168" s="8" t="s">
        <v>7768</v>
      </c>
      <c r="C2168" s="8" t="s">
        <v>9440</v>
      </c>
      <c r="D2168" s="8" t="s">
        <v>7892</v>
      </c>
      <c r="E2168" s="9" t="s">
        <v>7893</v>
      </c>
      <c r="F2168" s="8"/>
      <c r="G2168" s="9"/>
      <c r="H2168" s="8" t="s">
        <v>8164</v>
      </c>
      <c r="I2168" s="8"/>
      <c r="J2168" s="8"/>
      <c r="K2168" s="8"/>
      <c r="L2168" s="8"/>
      <c r="M2168" s="8"/>
      <c r="N2168" s="8"/>
      <c r="O2168" s="8"/>
      <c r="P2168" s="8"/>
      <c r="Q2168" s="8"/>
      <c r="R2168" s="8"/>
      <c r="S2168" s="8"/>
    </row>
    <row r="2169" spans="1:19" ht="15.75" customHeight="1">
      <c r="A2169" s="8">
        <v>251284880</v>
      </c>
      <c r="B2169" s="8" t="s">
        <v>7399</v>
      </c>
      <c r="C2169" s="8" t="s">
        <v>11855</v>
      </c>
      <c r="D2169" s="8" t="s">
        <v>7896</v>
      </c>
      <c r="E2169" s="9"/>
      <c r="F2169" s="8"/>
      <c r="G2169" s="9"/>
      <c r="H2169" s="8" t="s">
        <v>8542</v>
      </c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</row>
    <row r="2170" spans="1:19" ht="15.75" customHeight="1">
      <c r="A2170" s="8">
        <v>251284927</v>
      </c>
      <c r="B2170" s="8" t="s">
        <v>8206</v>
      </c>
      <c r="C2170" s="8" t="s">
        <v>10317</v>
      </c>
      <c r="D2170" s="8" t="s">
        <v>7898</v>
      </c>
      <c r="E2170" s="9"/>
      <c r="F2170" s="8"/>
      <c r="G2170" s="9"/>
      <c r="H2170" s="8" t="s">
        <v>8164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</row>
    <row r="2171" spans="1:19" ht="15.75" customHeight="1">
      <c r="A2171" s="8">
        <v>251285130</v>
      </c>
      <c r="B2171" s="8" t="s">
        <v>8365</v>
      </c>
      <c r="C2171" s="8" t="s">
        <v>11856</v>
      </c>
      <c r="D2171" s="8" t="s">
        <v>7901</v>
      </c>
      <c r="E2171" s="9"/>
      <c r="F2171" s="8"/>
      <c r="G2171" s="9"/>
      <c r="H2171" s="8" t="s">
        <v>8222</v>
      </c>
      <c r="I2171" s="8"/>
      <c r="J2171" s="8"/>
      <c r="K2171" s="8"/>
      <c r="L2171" s="8"/>
      <c r="M2171" s="8"/>
      <c r="N2171" s="8"/>
      <c r="O2171" s="8"/>
      <c r="P2171" s="8"/>
      <c r="Q2171" s="8"/>
      <c r="R2171" s="8"/>
      <c r="S2171" s="8"/>
    </row>
    <row r="2172" spans="1:19" ht="15.75" customHeight="1">
      <c r="A2172" s="8">
        <v>251285581</v>
      </c>
      <c r="B2172" s="8" t="s">
        <v>8206</v>
      </c>
      <c r="C2172" s="8" t="s">
        <v>11857</v>
      </c>
      <c r="D2172" s="8" t="s">
        <v>7904</v>
      </c>
      <c r="E2172" s="9" t="s">
        <v>7905</v>
      </c>
      <c r="F2172" s="8"/>
      <c r="G2172" s="9"/>
      <c r="H2172" s="8" t="s">
        <v>8267</v>
      </c>
      <c r="I2172" s="8" t="s">
        <v>11858</v>
      </c>
      <c r="J2172" s="8"/>
      <c r="K2172" s="8"/>
      <c r="L2172" s="8"/>
      <c r="M2172" s="8"/>
      <c r="N2172" s="8"/>
      <c r="O2172" s="8"/>
      <c r="P2172" s="8"/>
      <c r="Q2172" s="8"/>
      <c r="R2172" s="8"/>
      <c r="S2172" s="8"/>
    </row>
    <row r="2173" spans="1:19" ht="15.75" customHeight="1">
      <c r="A2173" s="8">
        <v>251286716</v>
      </c>
      <c r="B2173" s="8" t="s">
        <v>8862</v>
      </c>
      <c r="C2173" s="8" t="s">
        <v>11859</v>
      </c>
      <c r="D2173" s="8" t="s">
        <v>7908</v>
      </c>
      <c r="E2173" s="9"/>
      <c r="F2173" s="8"/>
      <c r="G2173" s="9"/>
      <c r="H2173" s="8" t="s">
        <v>8164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</row>
    <row r="2174" spans="1:19" ht="15.75" customHeight="1">
      <c r="A2174" s="8">
        <v>251287119</v>
      </c>
      <c r="B2174" s="8" t="s">
        <v>10498</v>
      </c>
      <c r="C2174" s="8" t="s">
        <v>11860</v>
      </c>
      <c r="D2174" s="8" t="s">
        <v>7911</v>
      </c>
      <c r="E2174" s="9"/>
      <c r="F2174" s="8"/>
      <c r="G2174" s="9"/>
      <c r="H2174" s="8" t="s">
        <v>8164</v>
      </c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</row>
    <row r="2175" spans="1:19" ht="15.75" customHeight="1">
      <c r="A2175" s="8">
        <v>251287816</v>
      </c>
      <c r="B2175" s="8" t="s">
        <v>9246</v>
      </c>
      <c r="C2175" s="8" t="s">
        <v>11861</v>
      </c>
      <c r="D2175" s="8" t="s">
        <v>7914</v>
      </c>
      <c r="E2175" s="9"/>
      <c r="F2175" s="8"/>
      <c r="G2175" s="9"/>
      <c r="H2175" s="8" t="s">
        <v>8164</v>
      </c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</row>
    <row r="2176" spans="1:19" ht="15.75" customHeight="1">
      <c r="A2176" s="8">
        <v>251289911</v>
      </c>
      <c r="B2176" s="8" t="s">
        <v>11862</v>
      </c>
      <c r="C2176" s="8" t="s">
        <v>11863</v>
      </c>
      <c r="D2176" s="8" t="s">
        <v>7917</v>
      </c>
      <c r="E2176" s="9"/>
      <c r="F2176" s="8"/>
      <c r="G2176" s="9"/>
      <c r="H2176" s="8" t="s">
        <v>10028</v>
      </c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</row>
    <row r="2177" spans="1:19" ht="15.75" customHeight="1">
      <c r="A2177" s="8">
        <v>251290150</v>
      </c>
      <c r="B2177" s="8" t="s">
        <v>7919</v>
      </c>
      <c r="C2177" s="8"/>
      <c r="D2177" s="8" t="s">
        <v>7920</v>
      </c>
      <c r="E2177" s="9">
        <v>79122468203</v>
      </c>
      <c r="F2177" s="8"/>
      <c r="G2177" s="9"/>
      <c r="H2177" s="8" t="s">
        <v>8164</v>
      </c>
      <c r="I2177" s="8" t="s">
        <v>8414</v>
      </c>
      <c r="J2177" s="8"/>
      <c r="K2177" s="8"/>
      <c r="L2177" s="8"/>
      <c r="M2177" s="8"/>
      <c r="N2177" s="8"/>
      <c r="O2177" s="8"/>
      <c r="P2177" s="8"/>
      <c r="Q2177" s="8"/>
      <c r="R2177" s="8"/>
      <c r="S2177" s="8"/>
    </row>
    <row r="2178" spans="1:19" ht="15.75" customHeight="1">
      <c r="A2178" s="8">
        <v>251290399</v>
      </c>
      <c r="B2178" s="8" t="s">
        <v>11864</v>
      </c>
      <c r="C2178" s="8" t="s">
        <v>11865</v>
      </c>
      <c r="D2178" s="8" t="s">
        <v>7923</v>
      </c>
      <c r="E2178" s="9">
        <v>79295110604</v>
      </c>
      <c r="F2178" s="8"/>
      <c r="G2178" s="9"/>
      <c r="H2178" s="8" t="s">
        <v>8164</v>
      </c>
      <c r="I2178" s="8" t="s">
        <v>8165</v>
      </c>
      <c r="J2178" s="8"/>
      <c r="K2178" s="8"/>
      <c r="L2178" s="8"/>
      <c r="M2178" s="8"/>
      <c r="N2178" s="8"/>
      <c r="O2178" s="8"/>
      <c r="P2178" s="8"/>
      <c r="Q2178" s="8"/>
      <c r="R2178" s="8"/>
      <c r="S2178" s="8"/>
    </row>
    <row r="2179" spans="1:19" ht="15.75" customHeight="1">
      <c r="A2179" s="8">
        <v>251296994</v>
      </c>
      <c r="B2179" s="8" t="s">
        <v>8895</v>
      </c>
      <c r="C2179" s="8" t="s">
        <v>9142</v>
      </c>
      <c r="D2179" s="8" t="s">
        <v>7927</v>
      </c>
      <c r="E2179" s="9"/>
      <c r="F2179" s="8"/>
      <c r="G2179" s="9"/>
      <c r="H2179" s="8" t="s">
        <v>8164</v>
      </c>
      <c r="I2179" s="8"/>
      <c r="J2179" s="8"/>
      <c r="K2179" s="8"/>
      <c r="L2179" s="8"/>
      <c r="M2179" s="8"/>
      <c r="N2179" s="8"/>
      <c r="O2179" s="8"/>
      <c r="P2179" s="8"/>
      <c r="Q2179" s="8"/>
      <c r="R2179" s="8"/>
      <c r="S2179" s="8"/>
    </row>
    <row r="2180" spans="1:19" ht="15.75" customHeight="1">
      <c r="A2180" s="8">
        <v>251297504</v>
      </c>
      <c r="B2180" s="8" t="s">
        <v>8684</v>
      </c>
      <c r="C2180" s="8" t="s">
        <v>11866</v>
      </c>
      <c r="D2180" s="8" t="s">
        <v>7930</v>
      </c>
      <c r="E2180" s="9">
        <v>79623711366</v>
      </c>
      <c r="F2180" s="8" t="s">
        <v>11867</v>
      </c>
      <c r="G2180" s="9">
        <v>40</v>
      </c>
      <c r="H2180" s="8" t="s">
        <v>8164</v>
      </c>
      <c r="I2180" s="8" t="s">
        <v>11683</v>
      </c>
      <c r="J2180" s="8"/>
      <c r="K2180" s="8"/>
      <c r="L2180" s="8"/>
      <c r="M2180" s="8"/>
      <c r="N2180" s="8"/>
      <c r="O2180" s="8"/>
      <c r="P2180" s="8"/>
      <c r="Q2180" s="8"/>
      <c r="R2180" s="8"/>
      <c r="S2180" s="8"/>
    </row>
    <row r="2181" spans="1:19" ht="15.75" customHeight="1">
      <c r="A2181" s="8">
        <v>251297705</v>
      </c>
      <c r="B2181" s="8" t="s">
        <v>8717</v>
      </c>
      <c r="C2181" s="8" t="s">
        <v>11868</v>
      </c>
      <c r="D2181" s="8" t="s">
        <v>7934</v>
      </c>
      <c r="E2181" s="9"/>
      <c r="F2181" s="8"/>
      <c r="G2181" s="9"/>
      <c r="H2181" s="8" t="s">
        <v>8164</v>
      </c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</row>
    <row r="2182" spans="1:19" ht="15.75" customHeight="1">
      <c r="A2182" s="8">
        <v>251297947</v>
      </c>
      <c r="B2182" s="8" t="s">
        <v>8206</v>
      </c>
      <c r="C2182" s="8" t="s">
        <v>8206</v>
      </c>
      <c r="D2182" s="8" t="s">
        <v>7936</v>
      </c>
      <c r="E2182" s="9">
        <v>79588255219</v>
      </c>
      <c r="F2182" s="8" t="s">
        <v>11869</v>
      </c>
      <c r="G2182" s="9">
        <v>61</v>
      </c>
      <c r="H2182" s="8" t="s">
        <v>8164</v>
      </c>
      <c r="I2182" s="8" t="s">
        <v>8165</v>
      </c>
      <c r="J2182" s="8"/>
      <c r="K2182" s="8"/>
      <c r="L2182" s="8"/>
      <c r="M2182" s="8"/>
      <c r="N2182" s="8"/>
      <c r="O2182" s="8"/>
      <c r="P2182" s="8"/>
      <c r="Q2182" s="8"/>
      <c r="R2182" s="8"/>
      <c r="S2182" s="8"/>
    </row>
    <row r="2183" spans="1:19" ht="15.75" customHeight="1">
      <c r="A2183" s="8">
        <v>251298214</v>
      </c>
      <c r="B2183" s="8" t="s">
        <v>8581</v>
      </c>
      <c r="C2183" s="8" t="s">
        <v>11870</v>
      </c>
      <c r="D2183" s="8" t="s">
        <v>7939</v>
      </c>
      <c r="E2183" s="9"/>
      <c r="F2183" s="8"/>
      <c r="G2183" s="9"/>
      <c r="H2183" s="8" t="s">
        <v>8158</v>
      </c>
      <c r="I2183" s="8"/>
      <c r="J2183" s="8"/>
      <c r="K2183" s="8"/>
      <c r="L2183" s="8"/>
      <c r="M2183" s="8"/>
      <c r="N2183" s="8"/>
      <c r="O2183" s="8"/>
      <c r="P2183" s="8"/>
      <c r="Q2183" s="8"/>
      <c r="R2183" s="8"/>
      <c r="S2183" s="8"/>
    </row>
    <row r="2184" spans="1:19" ht="15.75" customHeight="1">
      <c r="A2184" s="8">
        <v>251301243</v>
      </c>
      <c r="B2184" s="8" t="s">
        <v>10682</v>
      </c>
      <c r="C2184" s="8" t="s">
        <v>11871</v>
      </c>
      <c r="D2184" s="8" t="s">
        <v>7942</v>
      </c>
      <c r="E2184" s="9"/>
      <c r="F2184" s="8"/>
      <c r="G2184" s="9"/>
      <c r="H2184" s="8" t="s">
        <v>8164</v>
      </c>
      <c r="I2184" s="8"/>
      <c r="J2184" s="8"/>
      <c r="K2184" s="8"/>
      <c r="L2184" s="8"/>
      <c r="M2184" s="8"/>
      <c r="N2184" s="8"/>
      <c r="O2184" s="8"/>
      <c r="P2184" s="8"/>
      <c r="Q2184" s="8"/>
      <c r="R2184" s="8"/>
      <c r="S2184" s="8"/>
    </row>
    <row r="2185" spans="1:19" ht="15.75" customHeight="1">
      <c r="A2185" s="8">
        <v>251303348</v>
      </c>
      <c r="B2185" s="8" t="s">
        <v>8982</v>
      </c>
      <c r="C2185" s="8" t="s">
        <v>11872</v>
      </c>
      <c r="D2185" s="8" t="s">
        <v>7945</v>
      </c>
      <c r="E2185" s="9"/>
      <c r="F2185" s="8"/>
      <c r="G2185" s="9"/>
      <c r="H2185" s="8" t="s">
        <v>8164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</row>
    <row r="2186" spans="1:19" ht="15.75" customHeight="1">
      <c r="A2186" s="8">
        <v>251305042</v>
      </c>
      <c r="B2186" s="8" t="s">
        <v>9157</v>
      </c>
      <c r="C2186" s="8" t="s">
        <v>11873</v>
      </c>
      <c r="D2186" s="8" t="s">
        <v>7948</v>
      </c>
      <c r="E2186" s="9"/>
      <c r="F2186" s="8"/>
      <c r="G2186" s="9"/>
      <c r="H2186" s="8" t="s">
        <v>8164</v>
      </c>
      <c r="I2186" s="8" t="s">
        <v>8165</v>
      </c>
      <c r="J2186" s="8"/>
      <c r="K2186" s="8"/>
      <c r="L2186" s="8"/>
      <c r="M2186" s="8"/>
      <c r="N2186" s="8"/>
      <c r="O2186" s="8"/>
      <c r="P2186" s="8"/>
      <c r="Q2186" s="8"/>
      <c r="R2186" s="8"/>
      <c r="S2186" s="8"/>
    </row>
    <row r="2187" spans="1:19" ht="15.75" customHeight="1">
      <c r="A2187" s="8">
        <v>251305245</v>
      </c>
      <c r="B2187" s="8" t="s">
        <v>8341</v>
      </c>
      <c r="C2187" s="8" t="s">
        <v>11874</v>
      </c>
      <c r="D2187" s="8" t="s">
        <v>7951</v>
      </c>
      <c r="E2187" s="9"/>
      <c r="F2187" s="8"/>
      <c r="G2187" s="9"/>
      <c r="H2187" s="8" t="s">
        <v>8164</v>
      </c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</row>
    <row r="2188" spans="1:19" ht="15.75" customHeight="1">
      <c r="A2188" s="8">
        <v>251306314</v>
      </c>
      <c r="B2188" s="8" t="s">
        <v>11875</v>
      </c>
      <c r="C2188" s="8" t="s">
        <v>11876</v>
      </c>
      <c r="D2188" s="8" t="s">
        <v>7954</v>
      </c>
      <c r="E2188" s="9"/>
      <c r="F2188" s="8"/>
      <c r="G2188" s="9"/>
      <c r="H2188" s="8" t="s">
        <v>8267</v>
      </c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</row>
    <row r="2189" spans="1:19" ht="15.75" customHeight="1">
      <c r="A2189" s="8">
        <v>251306933</v>
      </c>
      <c r="B2189" s="8" t="s">
        <v>8206</v>
      </c>
      <c r="C2189" s="8" t="s">
        <v>11877</v>
      </c>
      <c r="D2189" s="8" t="s">
        <v>7957</v>
      </c>
      <c r="E2189" s="9"/>
      <c r="F2189" s="8"/>
      <c r="G2189" s="9"/>
      <c r="H2189" s="8" t="s">
        <v>8164</v>
      </c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</row>
    <row r="2190" spans="1:19" ht="15.75" customHeight="1">
      <c r="A2190" s="8">
        <v>251307328</v>
      </c>
      <c r="B2190" s="8" t="s">
        <v>8479</v>
      </c>
      <c r="C2190" s="8" t="s">
        <v>11877</v>
      </c>
      <c r="D2190" s="8" t="s">
        <v>7960</v>
      </c>
      <c r="E2190" s="9"/>
      <c r="F2190" s="8"/>
      <c r="G2190" s="9"/>
      <c r="H2190" s="8" t="s">
        <v>8164</v>
      </c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</row>
    <row r="2191" spans="1:19" ht="15.75" customHeight="1">
      <c r="A2191" s="8">
        <v>251310383</v>
      </c>
      <c r="B2191" s="8" t="s">
        <v>10115</v>
      </c>
      <c r="C2191" s="8" t="s">
        <v>11878</v>
      </c>
      <c r="D2191" s="8" t="s">
        <v>7963</v>
      </c>
      <c r="E2191" s="9"/>
      <c r="F2191" s="8"/>
      <c r="G2191" s="9"/>
      <c r="H2191" s="8" t="s">
        <v>8179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</row>
    <row r="2192" spans="1:19" ht="15.75" customHeight="1">
      <c r="A2192" s="8">
        <v>251311557</v>
      </c>
      <c r="B2192" s="8" t="s">
        <v>11879</v>
      </c>
      <c r="C2192" s="8" t="s">
        <v>11880</v>
      </c>
      <c r="D2192" s="8" t="s">
        <v>7966</v>
      </c>
      <c r="E2192" s="9"/>
      <c r="F2192" s="8"/>
      <c r="G2192" s="9"/>
      <c r="H2192" s="8" t="s">
        <v>8158</v>
      </c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</row>
    <row r="2193" spans="1:19" ht="15.75" customHeight="1">
      <c r="A2193" s="8">
        <v>251314479</v>
      </c>
      <c r="B2193" s="8" t="s">
        <v>8581</v>
      </c>
      <c r="C2193" s="8" t="s">
        <v>11881</v>
      </c>
      <c r="D2193" s="8" t="s">
        <v>7969</v>
      </c>
      <c r="E2193" s="9"/>
      <c r="F2193" s="8"/>
      <c r="G2193" s="9"/>
      <c r="H2193" s="8" t="s">
        <v>8164</v>
      </c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</row>
    <row r="2194" spans="1:19" ht="15.75" customHeight="1">
      <c r="A2194" s="8">
        <v>251317511</v>
      </c>
      <c r="B2194" s="8" t="s">
        <v>8311</v>
      </c>
      <c r="C2194" s="8" t="s">
        <v>11882</v>
      </c>
      <c r="D2194" s="8" t="s">
        <v>7972</v>
      </c>
      <c r="E2194" s="9"/>
      <c r="F2194" s="8"/>
      <c r="G2194" s="9"/>
      <c r="H2194" s="8" t="s">
        <v>8164</v>
      </c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</row>
    <row r="2195" spans="1:19" ht="15.75" customHeight="1">
      <c r="A2195" s="8">
        <v>251318033</v>
      </c>
      <c r="B2195" s="8" t="s">
        <v>8479</v>
      </c>
      <c r="C2195" s="8" t="s">
        <v>11883</v>
      </c>
      <c r="D2195" s="8" t="s">
        <v>7975</v>
      </c>
      <c r="E2195" s="9"/>
      <c r="F2195" s="8"/>
      <c r="G2195" s="9"/>
      <c r="H2195" s="8" t="s">
        <v>8164</v>
      </c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</row>
    <row r="2196" spans="1:19" ht="15.75" customHeight="1">
      <c r="A2196" s="8">
        <v>251318225</v>
      </c>
      <c r="B2196" s="8" t="s">
        <v>7768</v>
      </c>
      <c r="C2196" s="8" t="s">
        <v>10072</v>
      </c>
      <c r="D2196" s="8" t="s">
        <v>7978</v>
      </c>
      <c r="E2196" s="9"/>
      <c r="F2196" s="8"/>
      <c r="G2196" s="9"/>
      <c r="H2196" s="8" t="s">
        <v>8164</v>
      </c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</row>
    <row r="2197" spans="1:19" ht="15.75" customHeight="1">
      <c r="A2197" s="8">
        <v>251319700</v>
      </c>
      <c r="B2197" s="8" t="s">
        <v>7399</v>
      </c>
      <c r="C2197" s="8" t="s">
        <v>11884</v>
      </c>
      <c r="D2197" s="8" t="s">
        <v>7981</v>
      </c>
      <c r="E2197" s="9"/>
      <c r="F2197" s="8"/>
      <c r="G2197" s="9"/>
      <c r="H2197" s="8" t="s">
        <v>8164</v>
      </c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</row>
    <row r="2198" spans="1:19" ht="15.75" customHeight="1">
      <c r="A2198" s="8">
        <v>251319747</v>
      </c>
      <c r="B2198" s="8" t="s">
        <v>10806</v>
      </c>
      <c r="C2198" s="8" t="s">
        <v>11885</v>
      </c>
      <c r="D2198" s="8" t="s">
        <v>7984</v>
      </c>
      <c r="E2198" s="9"/>
      <c r="F2198" s="8"/>
      <c r="G2198" s="9"/>
      <c r="H2198" s="8" t="s">
        <v>8509</v>
      </c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</row>
    <row r="2199" spans="1:19" ht="15.75" customHeight="1">
      <c r="A2199" s="8">
        <v>251320389</v>
      </c>
      <c r="B2199" s="8" t="s">
        <v>8410</v>
      </c>
      <c r="C2199" s="8" t="s">
        <v>11886</v>
      </c>
      <c r="D2199" s="8" t="s">
        <v>7987</v>
      </c>
      <c r="E2199" s="9"/>
      <c r="F2199" s="8"/>
      <c r="G2199" s="9"/>
      <c r="H2199" s="8" t="s">
        <v>8158</v>
      </c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</row>
    <row r="2200" spans="1:19" ht="15.75" customHeight="1">
      <c r="A2200" s="8">
        <v>251325177</v>
      </c>
      <c r="B2200" s="8" t="s">
        <v>8760</v>
      </c>
      <c r="C2200" s="8" t="s">
        <v>9504</v>
      </c>
      <c r="D2200" s="8" t="s">
        <v>11887</v>
      </c>
      <c r="E2200" s="9"/>
      <c r="F2200" s="8"/>
      <c r="G2200" s="9"/>
      <c r="H2200" s="8" t="s">
        <v>8164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</row>
    <row r="2201" spans="1:19" ht="15.75" customHeight="1">
      <c r="A2201" s="8">
        <v>251325981</v>
      </c>
      <c r="B2201" s="8" t="s">
        <v>10583</v>
      </c>
      <c r="C2201" s="8" t="s">
        <v>10583</v>
      </c>
      <c r="D2201" s="8" t="s">
        <v>7990</v>
      </c>
      <c r="E2201" s="9"/>
      <c r="F2201" s="8"/>
      <c r="G2201" s="9"/>
      <c r="H2201" s="8" t="s">
        <v>8183</v>
      </c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</row>
    <row r="2202" spans="1:19" ht="15.75" customHeight="1">
      <c r="A2202" s="8">
        <v>251326439</v>
      </c>
      <c r="B2202" s="8" t="s">
        <v>8197</v>
      </c>
      <c r="C2202" s="8" t="s">
        <v>11888</v>
      </c>
      <c r="D2202" s="8" t="s">
        <v>7993</v>
      </c>
      <c r="E2202" s="9"/>
      <c r="F2202" s="8"/>
      <c r="G2202" s="9"/>
      <c r="H2202" s="8" t="s">
        <v>8164</v>
      </c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</row>
    <row r="2203" spans="1:19" ht="15.75" customHeight="1">
      <c r="A2203" s="8">
        <v>251326488</v>
      </c>
      <c r="B2203" s="8" t="s">
        <v>7768</v>
      </c>
      <c r="C2203" s="8" t="s">
        <v>11889</v>
      </c>
      <c r="D2203" s="8" t="s">
        <v>7996</v>
      </c>
      <c r="E2203" s="9" t="s">
        <v>7997</v>
      </c>
      <c r="F2203" s="8" t="s">
        <v>11890</v>
      </c>
      <c r="G2203" s="9">
        <v>44</v>
      </c>
      <c r="H2203" s="8" t="s">
        <v>8164</v>
      </c>
      <c r="I2203" s="8" t="s">
        <v>8276</v>
      </c>
      <c r="J2203" s="8"/>
      <c r="K2203" s="8"/>
      <c r="L2203" s="8"/>
      <c r="M2203" s="8"/>
      <c r="N2203" s="8"/>
      <c r="O2203" s="8"/>
      <c r="P2203" s="8"/>
      <c r="Q2203" s="8"/>
      <c r="R2203" s="8"/>
      <c r="S2203" s="8"/>
    </row>
    <row r="2204" spans="1:19" ht="15.75" customHeight="1">
      <c r="A2204" s="8">
        <v>251330184</v>
      </c>
      <c r="B2204" s="8" t="s">
        <v>8682</v>
      </c>
      <c r="C2204" s="8" t="s">
        <v>11891</v>
      </c>
      <c r="D2204" s="8" t="s">
        <v>8000</v>
      </c>
      <c r="E2204" s="9"/>
      <c r="F2204" s="8"/>
      <c r="G2204" s="9"/>
      <c r="H2204" s="8" t="s">
        <v>8164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</row>
    <row r="2205" spans="1:19" ht="15.75" customHeight="1">
      <c r="A2205" s="8">
        <v>251333341</v>
      </c>
      <c r="B2205" s="8" t="s">
        <v>11892</v>
      </c>
      <c r="C2205" s="8" t="s">
        <v>11893</v>
      </c>
      <c r="D2205" s="8" t="s">
        <v>8003</v>
      </c>
      <c r="E2205" s="9"/>
      <c r="F2205" s="8"/>
      <c r="G2205" s="9"/>
      <c r="H2205" s="8" t="s">
        <v>8509</v>
      </c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</row>
    <row r="2206" spans="1:19" ht="15.75" customHeight="1">
      <c r="A2206" s="8">
        <v>251333434</v>
      </c>
      <c r="B2206" s="8" t="s">
        <v>8373</v>
      </c>
      <c r="C2206" s="8" t="s">
        <v>11894</v>
      </c>
      <c r="D2206" s="8" t="s">
        <v>8006</v>
      </c>
      <c r="E2206" s="9"/>
      <c r="F2206" s="8"/>
      <c r="G2206" s="9"/>
      <c r="H2206" s="8" t="s">
        <v>8164</v>
      </c>
      <c r="I2206" s="8"/>
      <c r="J2206" s="8"/>
      <c r="K2206" s="8"/>
      <c r="L2206" s="8"/>
      <c r="M2206" s="8"/>
      <c r="N2206" s="8"/>
      <c r="O2206" s="8"/>
      <c r="P2206" s="8"/>
      <c r="Q2206" s="8"/>
      <c r="R2206" s="8"/>
      <c r="S2206" s="8"/>
    </row>
    <row r="2207" spans="1:19" ht="15.75" customHeight="1">
      <c r="A2207" s="8">
        <v>251333716</v>
      </c>
      <c r="B2207" s="8" t="s">
        <v>10776</v>
      </c>
      <c r="C2207" s="8" t="s">
        <v>11895</v>
      </c>
      <c r="D2207" s="8" t="s">
        <v>8009</v>
      </c>
      <c r="E2207" s="9"/>
      <c r="F2207" s="8"/>
      <c r="G2207" s="9"/>
      <c r="H2207" s="8" t="s">
        <v>8164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</row>
    <row r="2208" spans="1:19" ht="15.75" customHeight="1">
      <c r="A2208" s="8">
        <v>251343663</v>
      </c>
      <c r="B2208" s="8" t="s">
        <v>8721</v>
      </c>
      <c r="C2208" s="8" t="s">
        <v>10820</v>
      </c>
      <c r="D2208" s="8" t="s">
        <v>8012</v>
      </c>
      <c r="E2208" s="9"/>
      <c r="F2208" s="8"/>
      <c r="G2208" s="9"/>
      <c r="H2208" s="8" t="s">
        <v>8164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</row>
    <row r="2209" spans="1:19" ht="15.75" customHeight="1">
      <c r="A2209" s="8">
        <v>251353011</v>
      </c>
      <c r="B2209" s="8" t="s">
        <v>8206</v>
      </c>
      <c r="C2209" s="8" t="s">
        <v>9973</v>
      </c>
      <c r="D2209" s="8" t="s">
        <v>8015</v>
      </c>
      <c r="E2209" s="9"/>
      <c r="F2209" s="8"/>
      <c r="G2209" s="9"/>
      <c r="H2209" s="8" t="s">
        <v>8222</v>
      </c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</row>
    <row r="2210" spans="1:19" ht="15.75" customHeight="1">
      <c r="A2210" s="8">
        <v>251356077</v>
      </c>
      <c r="B2210" s="8" t="s">
        <v>11896</v>
      </c>
      <c r="C2210" s="8" t="s">
        <v>9547</v>
      </c>
      <c r="D2210" s="8" t="s">
        <v>8018</v>
      </c>
      <c r="E2210" s="9" t="s">
        <v>8019</v>
      </c>
      <c r="F2210" s="8" t="s">
        <v>11897</v>
      </c>
      <c r="G2210" s="9">
        <v>53</v>
      </c>
      <c r="H2210" s="8" t="s">
        <v>8164</v>
      </c>
      <c r="I2210" s="8" t="s">
        <v>11898</v>
      </c>
      <c r="J2210" s="8"/>
      <c r="K2210" s="8"/>
      <c r="L2210" s="8"/>
      <c r="M2210" s="8"/>
      <c r="N2210" s="8"/>
      <c r="O2210" s="8"/>
      <c r="P2210" s="8"/>
      <c r="Q2210" s="8"/>
      <c r="R2210" s="8"/>
      <c r="S2210" s="8"/>
    </row>
    <row r="2211" spans="1:19" ht="15.75" customHeight="1">
      <c r="A2211" s="8">
        <v>251361791</v>
      </c>
      <c r="B2211" s="8" t="s">
        <v>8717</v>
      </c>
      <c r="C2211" s="8" t="s">
        <v>11899</v>
      </c>
      <c r="D2211" s="8" t="s">
        <v>8022</v>
      </c>
      <c r="E2211" s="9"/>
      <c r="F2211" s="8"/>
      <c r="G2211" s="9"/>
      <c r="H2211" s="8" t="s">
        <v>8164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</row>
    <row r="2212" spans="1:19" ht="15.75" customHeight="1">
      <c r="A2212" s="8">
        <v>251372924</v>
      </c>
      <c r="B2212" s="8" t="s">
        <v>11900</v>
      </c>
      <c r="C2212" s="8" t="s">
        <v>11901</v>
      </c>
      <c r="D2212" s="8" t="s">
        <v>8025</v>
      </c>
      <c r="E2212" s="9"/>
      <c r="F2212" s="8"/>
      <c r="G2212" s="9"/>
      <c r="H2212" s="8" t="s">
        <v>10028</v>
      </c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</row>
    <row r="2213" spans="1:19" ht="15.75" customHeight="1">
      <c r="A2213" s="8">
        <v>251377363</v>
      </c>
      <c r="B2213" s="8" t="s">
        <v>11902</v>
      </c>
      <c r="C2213" s="8" t="s">
        <v>11903</v>
      </c>
      <c r="D2213" s="8" t="s">
        <v>8028</v>
      </c>
      <c r="E2213" s="9"/>
      <c r="F2213" s="8"/>
      <c r="G2213" s="9"/>
      <c r="H2213" s="8" t="s">
        <v>8463</v>
      </c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</row>
    <row r="2214" spans="1:19" ht="15.75" customHeight="1">
      <c r="A2214" s="8">
        <v>251395099</v>
      </c>
      <c r="B2214" s="8"/>
      <c r="C2214" s="8"/>
      <c r="D2214" s="8" t="s">
        <v>11904</v>
      </c>
      <c r="E2214" s="9"/>
      <c r="F2214" s="8"/>
      <c r="G2214" s="9"/>
      <c r="H2214" s="8" t="s">
        <v>8164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</row>
    <row r="2215" spans="1:19" ht="15.75" customHeight="1">
      <c r="A2215" s="8">
        <v>251400266</v>
      </c>
      <c r="B2215" s="8" t="s">
        <v>8579</v>
      </c>
      <c r="C2215" s="8" t="s">
        <v>11905</v>
      </c>
      <c r="D2215" s="8" t="s">
        <v>11906</v>
      </c>
      <c r="E2215" s="9"/>
      <c r="F2215" s="8"/>
      <c r="G2215" s="9"/>
      <c r="H2215" s="8" t="s">
        <v>8509</v>
      </c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</row>
    <row r="2216" spans="1:19" ht="15.75" customHeight="1">
      <c r="A2216" s="8">
        <v>251403198</v>
      </c>
      <c r="B2216" s="8" t="s">
        <v>11907</v>
      </c>
      <c r="C2216" s="8" t="s">
        <v>11908</v>
      </c>
      <c r="D2216" s="8" t="s">
        <v>8031</v>
      </c>
      <c r="E2216" s="9"/>
      <c r="F2216" s="8"/>
      <c r="G2216" s="9"/>
      <c r="H2216" s="8" t="s">
        <v>8509</v>
      </c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</row>
    <row r="2217" spans="1:19" ht="15.75" customHeight="1">
      <c r="A2217" s="8">
        <v>251404080</v>
      </c>
      <c r="B2217" s="8" t="s">
        <v>8206</v>
      </c>
      <c r="C2217" s="8" t="s">
        <v>11909</v>
      </c>
      <c r="D2217" s="8" t="s">
        <v>8034</v>
      </c>
      <c r="E2217" s="9"/>
      <c r="F2217" s="8"/>
      <c r="G2217" s="9"/>
      <c r="H2217" s="8" t="s">
        <v>8164</v>
      </c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</row>
    <row r="2218" spans="1:19" ht="15.75" customHeight="1">
      <c r="A2218" s="8">
        <v>251406040</v>
      </c>
      <c r="B2218" s="8" t="s">
        <v>11910</v>
      </c>
      <c r="C2218" s="8" t="s">
        <v>11911</v>
      </c>
      <c r="D2218" s="8" t="s">
        <v>8037</v>
      </c>
      <c r="E2218" s="9"/>
      <c r="F2218" s="8"/>
      <c r="G2218" s="9"/>
      <c r="H2218" s="8" t="s">
        <v>8509</v>
      </c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</row>
    <row r="2219" spans="1:19" ht="15.75" customHeight="1">
      <c r="A2219" s="8">
        <v>251407435</v>
      </c>
      <c r="B2219" s="8" t="s">
        <v>10540</v>
      </c>
      <c r="C2219" s="8" t="s">
        <v>11912</v>
      </c>
      <c r="D2219" s="8" t="s">
        <v>8040</v>
      </c>
      <c r="E2219" s="9"/>
      <c r="F2219" s="8"/>
      <c r="G2219" s="9"/>
      <c r="H2219" s="8" t="s">
        <v>8164</v>
      </c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</row>
    <row r="2220" spans="1:19" ht="15.75" customHeight="1">
      <c r="A2220" s="8">
        <v>251409145</v>
      </c>
      <c r="B2220" s="8" t="s">
        <v>11913</v>
      </c>
      <c r="C2220" s="8" t="s">
        <v>11914</v>
      </c>
      <c r="D2220" s="8" t="s">
        <v>8043</v>
      </c>
      <c r="E2220" s="9"/>
      <c r="F2220" s="8"/>
      <c r="G2220" s="9"/>
      <c r="H2220" s="8" t="s">
        <v>8164</v>
      </c>
      <c r="I2220" s="8"/>
      <c r="J2220" s="8"/>
      <c r="K2220" s="8"/>
      <c r="L2220" s="8"/>
      <c r="M2220" s="8"/>
      <c r="N2220" s="8"/>
      <c r="O2220" s="8"/>
      <c r="P2220" s="8"/>
      <c r="Q2220" s="8"/>
      <c r="R2220" s="8"/>
      <c r="S2220" s="8"/>
    </row>
    <row r="2221" spans="1:19" ht="15.75" customHeight="1">
      <c r="A2221" s="8">
        <v>251411368</v>
      </c>
      <c r="B2221" s="8" t="s">
        <v>8206</v>
      </c>
      <c r="C2221" s="8" t="s">
        <v>11915</v>
      </c>
      <c r="D2221" s="8" t="s">
        <v>8046</v>
      </c>
      <c r="E2221" s="9"/>
      <c r="F2221" s="8"/>
      <c r="G2221" s="9"/>
      <c r="H2221" s="8" t="s">
        <v>8164</v>
      </c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</row>
    <row r="2222" spans="1:19" ht="15.75" customHeight="1">
      <c r="A2222" s="8">
        <v>251412869</v>
      </c>
      <c r="B2222" s="8" t="s">
        <v>11154</v>
      </c>
      <c r="C2222" s="8" t="s">
        <v>11916</v>
      </c>
      <c r="D2222" s="8" t="s">
        <v>8049</v>
      </c>
      <c r="E2222" s="9"/>
      <c r="F2222" s="8"/>
      <c r="G2222" s="9"/>
      <c r="H2222" s="8" t="s">
        <v>8164</v>
      </c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</row>
    <row r="2223" spans="1:19" ht="15.75" customHeight="1">
      <c r="A2223" s="8">
        <v>251436762</v>
      </c>
      <c r="B2223" s="8" t="s">
        <v>8373</v>
      </c>
      <c r="C2223" s="8" t="s">
        <v>11917</v>
      </c>
      <c r="D2223" s="8" t="s">
        <v>8052</v>
      </c>
      <c r="E2223" s="9"/>
      <c r="F2223" s="8"/>
      <c r="G2223" s="9"/>
      <c r="H2223" s="8" t="s">
        <v>8164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</row>
    <row r="2224" spans="1:19" ht="15.75" customHeight="1">
      <c r="A2224" s="8">
        <v>251450350</v>
      </c>
      <c r="B2224" s="8" t="s">
        <v>11918</v>
      </c>
      <c r="C2224" s="8" t="s">
        <v>11919</v>
      </c>
      <c r="D2224" s="8" t="s">
        <v>8056</v>
      </c>
      <c r="E2224" s="9"/>
      <c r="F2224" s="8"/>
      <c r="G2224" s="9"/>
      <c r="H2224" s="8" t="s">
        <v>8164</v>
      </c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</row>
    <row r="2225" spans="1:19" ht="15.75" customHeight="1">
      <c r="A2225" s="8">
        <v>251451058</v>
      </c>
      <c r="B2225" s="8" t="s">
        <v>8206</v>
      </c>
      <c r="C2225" s="8" t="s">
        <v>9200</v>
      </c>
      <c r="D2225" s="8" t="s">
        <v>8059</v>
      </c>
      <c r="E2225" s="9"/>
      <c r="F2225" s="8"/>
      <c r="G2225" s="9"/>
      <c r="H2225" s="8" t="s">
        <v>8600</v>
      </c>
      <c r="I2225" s="8"/>
      <c r="J2225" s="8"/>
      <c r="K2225" s="8"/>
      <c r="L2225" s="8"/>
      <c r="M2225" s="8"/>
      <c r="N2225" s="8"/>
      <c r="O2225" s="8"/>
      <c r="P2225" s="8"/>
      <c r="Q2225" s="8"/>
      <c r="R2225" s="8"/>
      <c r="S2225" s="8"/>
    </row>
    <row r="2226" spans="1:19" ht="15.75" customHeight="1">
      <c r="A2226" s="8">
        <v>251451606</v>
      </c>
      <c r="B2226" s="8" t="s">
        <v>11920</v>
      </c>
      <c r="C2226" s="8" t="s">
        <v>11921</v>
      </c>
      <c r="D2226" s="8" t="s">
        <v>11922</v>
      </c>
      <c r="E2226" s="9"/>
      <c r="F2226" s="8"/>
      <c r="G2226" s="9"/>
      <c r="H2226" s="8" t="s">
        <v>8463</v>
      </c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</row>
    <row r="2227" spans="1:19" ht="15.75" customHeight="1">
      <c r="A2227" s="8">
        <v>251451651</v>
      </c>
      <c r="B2227" s="8" t="s">
        <v>11923</v>
      </c>
      <c r="C2227" s="8" t="s">
        <v>11924</v>
      </c>
      <c r="D2227" s="8" t="s">
        <v>8062</v>
      </c>
      <c r="E2227" s="9" t="s">
        <v>8063</v>
      </c>
      <c r="F2227" s="8" t="s">
        <v>11925</v>
      </c>
      <c r="G2227" s="9">
        <v>36</v>
      </c>
      <c r="H2227" s="8" t="s">
        <v>8158</v>
      </c>
      <c r="I2227" s="8" t="s">
        <v>11926</v>
      </c>
      <c r="J2227" s="8"/>
      <c r="K2227" s="8"/>
      <c r="L2227" s="8"/>
      <c r="M2227" s="8"/>
      <c r="N2227" s="8"/>
      <c r="O2227" s="8"/>
      <c r="P2227" s="8"/>
      <c r="Q2227" s="8"/>
      <c r="R2227" s="8"/>
      <c r="S2227" s="8"/>
    </row>
    <row r="2228" spans="1:19" ht="15.75" customHeight="1">
      <c r="A2228" s="8">
        <v>251451759</v>
      </c>
      <c r="B2228" s="8" t="s">
        <v>8234</v>
      </c>
      <c r="C2228" s="8" t="s">
        <v>11927</v>
      </c>
      <c r="D2228" s="8" t="s">
        <v>8066</v>
      </c>
      <c r="E2228" s="9"/>
      <c r="F2228" s="8"/>
      <c r="G2228" s="9"/>
      <c r="H2228" s="8" t="s">
        <v>8164</v>
      </c>
      <c r="I2228" s="8"/>
      <c r="J2228" s="8"/>
      <c r="K2228" s="8"/>
      <c r="L2228" s="8"/>
      <c r="M2228" s="8"/>
      <c r="N2228" s="8"/>
      <c r="O2228" s="8"/>
      <c r="P2228" s="8"/>
      <c r="Q2228" s="8"/>
      <c r="R2228" s="8"/>
      <c r="S2228" s="8"/>
    </row>
    <row r="2229" spans="1:19" ht="15.75" customHeight="1">
      <c r="A2229" s="8">
        <v>251462060</v>
      </c>
      <c r="B2229" s="8" t="s">
        <v>8862</v>
      </c>
      <c r="C2229" s="8" t="s">
        <v>10280</v>
      </c>
      <c r="D2229" s="8" t="s">
        <v>8069</v>
      </c>
      <c r="E2229" s="9"/>
      <c r="F2229" s="8"/>
      <c r="G2229" s="9"/>
      <c r="H2229" s="8" t="s">
        <v>8164</v>
      </c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</row>
    <row r="2230" spans="1:19" ht="15.75" customHeight="1">
      <c r="A2230" s="8">
        <v>251503644</v>
      </c>
      <c r="B2230" s="8" t="s">
        <v>8206</v>
      </c>
      <c r="C2230" s="8" t="s">
        <v>11928</v>
      </c>
      <c r="D2230" s="8" t="s">
        <v>8072</v>
      </c>
      <c r="E2230" s="9" t="s">
        <v>8073</v>
      </c>
      <c r="F2230" s="8"/>
      <c r="G2230" s="9"/>
      <c r="H2230" s="8" t="s">
        <v>8164</v>
      </c>
      <c r="I2230" s="8" t="s">
        <v>9222</v>
      </c>
      <c r="J2230" s="8"/>
      <c r="K2230" s="8"/>
      <c r="L2230" s="8"/>
      <c r="M2230" s="8"/>
      <c r="N2230" s="8"/>
      <c r="O2230" s="8"/>
      <c r="P2230" s="8"/>
      <c r="Q2230" s="8"/>
      <c r="R2230" s="8"/>
      <c r="S2230" s="8"/>
    </row>
    <row r="2231" spans="1:19" ht="15.75" customHeight="1">
      <c r="A2231" s="8">
        <v>251509891</v>
      </c>
      <c r="B2231" s="8" t="s">
        <v>8075</v>
      </c>
      <c r="C2231" s="8"/>
      <c r="D2231" s="8" t="s">
        <v>8076</v>
      </c>
      <c r="E2231" s="9" t="s">
        <v>8077</v>
      </c>
      <c r="F2231" s="8"/>
      <c r="G2231" s="9"/>
      <c r="H2231" s="8" t="s">
        <v>8164</v>
      </c>
      <c r="I2231" s="8" t="s">
        <v>8214</v>
      </c>
      <c r="J2231" s="8"/>
      <c r="K2231" s="8"/>
      <c r="L2231" s="8"/>
      <c r="M2231" s="8"/>
      <c r="N2231" s="8"/>
      <c r="O2231" s="8"/>
      <c r="P2231" s="8"/>
      <c r="Q2231" s="8"/>
      <c r="R2231" s="8"/>
      <c r="S2231" s="8"/>
    </row>
    <row r="2232" spans="1:19" ht="15.75" customHeight="1">
      <c r="A2232" s="8">
        <v>251531365</v>
      </c>
      <c r="B2232" s="8" t="s">
        <v>8760</v>
      </c>
      <c r="C2232" s="8" t="s">
        <v>11929</v>
      </c>
      <c r="D2232" s="8" t="s">
        <v>8080</v>
      </c>
      <c r="E2232" s="9"/>
      <c r="F2232" s="8"/>
      <c r="G2232" s="9"/>
      <c r="H2232" s="8" t="s">
        <v>8179</v>
      </c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</row>
    <row r="2233" spans="1:19" ht="15.75" customHeight="1">
      <c r="A2233" s="8">
        <v>251534743</v>
      </c>
      <c r="B2233" s="8" t="s">
        <v>8717</v>
      </c>
      <c r="C2233" s="8" t="s">
        <v>9310</v>
      </c>
      <c r="D2233" s="8" t="s">
        <v>8083</v>
      </c>
      <c r="E2233" s="9"/>
      <c r="F2233" s="8"/>
      <c r="G2233" s="9"/>
      <c r="H2233" s="8" t="s">
        <v>8810</v>
      </c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</row>
    <row r="2234" spans="1:19" ht="15.75" customHeight="1">
      <c r="A2234" s="8">
        <v>251535463</v>
      </c>
      <c r="B2234" s="8" t="s">
        <v>11930</v>
      </c>
      <c r="C2234" s="8" t="s">
        <v>11931</v>
      </c>
      <c r="D2234" s="8" t="s">
        <v>8086</v>
      </c>
      <c r="E2234" s="9"/>
      <c r="F2234" s="8"/>
      <c r="G2234" s="9"/>
      <c r="H2234" s="8" t="s">
        <v>8463</v>
      </c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</row>
    <row r="2235" spans="1:19" ht="15.75" customHeight="1">
      <c r="A2235" s="8">
        <v>251538695</v>
      </c>
      <c r="B2235" s="8" t="s">
        <v>8717</v>
      </c>
      <c r="C2235" s="8" t="s">
        <v>10287</v>
      </c>
      <c r="D2235" s="8" t="s">
        <v>8089</v>
      </c>
      <c r="E2235" s="9"/>
      <c r="F2235" s="8"/>
      <c r="G2235" s="9"/>
      <c r="H2235" s="8" t="s">
        <v>8164</v>
      </c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</row>
    <row r="2236" spans="1:19" ht="15.75" customHeight="1">
      <c r="A2236" s="8">
        <v>251552185</v>
      </c>
      <c r="B2236" s="8" t="s">
        <v>11932</v>
      </c>
      <c r="C2236" s="8" t="s">
        <v>11933</v>
      </c>
      <c r="D2236" s="8" t="s">
        <v>8093</v>
      </c>
      <c r="E2236" s="9"/>
      <c r="F2236" s="8"/>
      <c r="G2236" s="9"/>
      <c r="H2236" s="8" t="s">
        <v>8164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</row>
    <row r="2237" spans="1:19" ht="15.75" customHeight="1">
      <c r="A2237" s="8">
        <v>251576105</v>
      </c>
      <c r="B2237" s="8" t="s">
        <v>9157</v>
      </c>
      <c r="C2237" s="8" t="s">
        <v>8275</v>
      </c>
      <c r="D2237" s="8" t="s">
        <v>8100</v>
      </c>
      <c r="E2237" s="9">
        <v>79649243090</v>
      </c>
      <c r="F2237" s="8" t="s">
        <v>11934</v>
      </c>
      <c r="G2237" s="9">
        <v>21</v>
      </c>
      <c r="H2237" s="8" t="s">
        <v>8164</v>
      </c>
      <c r="I2237" s="8" t="s">
        <v>8928</v>
      </c>
      <c r="J2237" s="8"/>
      <c r="K2237" s="8"/>
      <c r="L2237" s="8"/>
      <c r="M2237" s="8"/>
      <c r="N2237" s="8"/>
      <c r="O2237" s="8"/>
      <c r="P2237" s="8"/>
      <c r="Q2237" s="8"/>
      <c r="R2237" s="8"/>
      <c r="S2237" s="8"/>
    </row>
    <row r="2238" spans="1:19" ht="15.75" customHeight="1">
      <c r="A2238" s="8">
        <v>251581894</v>
      </c>
      <c r="B2238" s="8" t="s">
        <v>8206</v>
      </c>
      <c r="C2238" s="8" t="s">
        <v>11935</v>
      </c>
      <c r="D2238" s="8" t="s">
        <v>8103</v>
      </c>
      <c r="E2238" s="9"/>
      <c r="F2238" s="8"/>
      <c r="G2238" s="9"/>
      <c r="H2238" s="8" t="s">
        <v>8164</v>
      </c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</row>
    <row r="2239" spans="1:19" ht="15.75" customHeight="1">
      <c r="A2239" s="8">
        <v>251588598</v>
      </c>
      <c r="B2239" s="8" t="s">
        <v>8304</v>
      </c>
      <c r="C2239" s="8" t="s">
        <v>11936</v>
      </c>
      <c r="D2239" s="8" t="s">
        <v>8106</v>
      </c>
      <c r="E2239" s="9"/>
      <c r="F2239" s="8"/>
      <c r="G2239" s="9"/>
      <c r="H2239" s="8" t="s">
        <v>8164</v>
      </c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</row>
    <row r="2240" spans="1:19" ht="15.75" customHeight="1">
      <c r="A2240" s="8">
        <v>251609175</v>
      </c>
      <c r="B2240" s="8" t="s">
        <v>9411</v>
      </c>
      <c r="C2240" s="8" t="s">
        <v>11937</v>
      </c>
      <c r="D2240" s="8" t="s">
        <v>8109</v>
      </c>
      <c r="E2240" s="9" t="s">
        <v>8110</v>
      </c>
      <c r="F2240" s="8"/>
      <c r="G2240" s="9"/>
      <c r="H2240" s="8" t="s">
        <v>8164</v>
      </c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</row>
    <row r="2241" spans="1:19" ht="15.75" customHeight="1">
      <c r="A2241" s="8">
        <v>251610246</v>
      </c>
      <c r="B2241" s="8" t="s">
        <v>8304</v>
      </c>
      <c r="C2241" s="8" t="s">
        <v>11938</v>
      </c>
      <c r="D2241" s="8" t="s">
        <v>11939</v>
      </c>
      <c r="E2241" s="9">
        <v>79141717062</v>
      </c>
      <c r="F2241" s="8"/>
      <c r="G2241" s="9"/>
      <c r="H2241" s="8" t="s">
        <v>8164</v>
      </c>
      <c r="I2241" s="8" t="s">
        <v>9222</v>
      </c>
      <c r="J2241" s="8"/>
      <c r="K2241" s="8"/>
      <c r="L2241" s="8"/>
      <c r="M2241" s="8"/>
      <c r="N2241" s="8"/>
      <c r="O2241" s="8"/>
      <c r="P2241" s="8"/>
      <c r="Q2241" s="8"/>
      <c r="R2241" s="8"/>
      <c r="S2241" s="8"/>
    </row>
    <row r="2242" spans="1:19" ht="15.75" customHeight="1">
      <c r="A2242" s="8">
        <v>251650761</v>
      </c>
      <c r="B2242" s="8" t="s">
        <v>8365</v>
      </c>
      <c r="C2242" s="8" t="s">
        <v>11940</v>
      </c>
      <c r="D2242" s="8" t="s">
        <v>8113</v>
      </c>
      <c r="E2242" s="9"/>
      <c r="F2242" s="8"/>
      <c r="G2242" s="9"/>
      <c r="H2242" s="8" t="s">
        <v>8183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</row>
    <row r="2243" spans="1:19" ht="15.75" customHeight="1">
      <c r="A2243" s="8">
        <v>251661104</v>
      </c>
      <c r="B2243" s="8" t="s">
        <v>11941</v>
      </c>
      <c r="C2243" s="8" t="s">
        <v>11942</v>
      </c>
      <c r="D2243" s="8" t="s">
        <v>8116</v>
      </c>
      <c r="E2243" s="9"/>
      <c r="F2243" s="8"/>
      <c r="G2243" s="9"/>
      <c r="H2243" s="8" t="s">
        <v>8164</v>
      </c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</row>
    <row r="2244" spans="1:19" ht="15.75" customHeight="1">
      <c r="A2244" s="8">
        <v>251669392</v>
      </c>
      <c r="B2244" s="8" t="s">
        <v>8479</v>
      </c>
      <c r="C2244" s="8" t="s">
        <v>11943</v>
      </c>
      <c r="D2244" s="8" t="s">
        <v>8120</v>
      </c>
      <c r="E2244" s="9"/>
      <c r="F2244" s="8"/>
      <c r="G2244" s="9"/>
      <c r="H2244" s="8" t="s">
        <v>8542</v>
      </c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</row>
    <row r="2245" spans="1:19" ht="15.75" customHeight="1">
      <c r="A2245" s="8">
        <v>251674326</v>
      </c>
      <c r="B2245" s="8" t="s">
        <v>11944</v>
      </c>
      <c r="C2245" s="8" t="s">
        <v>11945</v>
      </c>
      <c r="D2245" s="8" t="s">
        <v>8122</v>
      </c>
      <c r="E2245" s="9"/>
      <c r="F2245" s="8"/>
      <c r="G2245" s="9"/>
      <c r="H2245" s="8" t="s">
        <v>8158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</row>
    <row r="2246" spans="1:19" ht="15.75" customHeight="1">
      <c r="A2246" s="8">
        <v>251685048</v>
      </c>
      <c r="B2246" s="8" t="s">
        <v>8431</v>
      </c>
      <c r="C2246" s="8" t="s">
        <v>11946</v>
      </c>
      <c r="D2246" s="8" t="s">
        <v>8125</v>
      </c>
      <c r="E2246" s="9"/>
      <c r="F2246" s="8"/>
      <c r="G2246" s="9"/>
      <c r="H2246" s="8" t="s">
        <v>8164</v>
      </c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</row>
    <row r="2247" spans="1:19" ht="15.75" customHeight="1">
      <c r="A2247" s="8">
        <v>251700789</v>
      </c>
      <c r="B2247" s="8" t="s">
        <v>11947</v>
      </c>
      <c r="C2247" s="8" t="s">
        <v>11948</v>
      </c>
      <c r="D2247" s="8" t="s">
        <v>8128</v>
      </c>
      <c r="E2247" s="9"/>
      <c r="F2247" s="8"/>
      <c r="G2247" s="9"/>
      <c r="H2247" s="8" t="s">
        <v>8179</v>
      </c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</row>
    <row r="2248" spans="1:19" ht="15.75" customHeight="1">
      <c r="A2248" s="8">
        <v>251707465</v>
      </c>
      <c r="B2248" s="8" t="s">
        <v>10598</v>
      </c>
      <c r="C2248" s="8" t="s">
        <v>11949</v>
      </c>
      <c r="D2248" s="8" t="s">
        <v>11950</v>
      </c>
      <c r="E2248" s="9"/>
      <c r="F2248" s="8"/>
      <c r="G2248" s="9"/>
      <c r="H2248" s="8" t="s">
        <v>11951</v>
      </c>
      <c r="I2248" s="8" t="s">
        <v>11952</v>
      </c>
      <c r="J2248" s="8"/>
      <c r="K2248" s="8"/>
      <c r="L2248" s="8"/>
      <c r="M2248" s="8"/>
      <c r="N2248" s="8"/>
      <c r="O2248" s="8"/>
      <c r="P2248" s="8"/>
      <c r="Q2248" s="8"/>
      <c r="R2248" s="8"/>
      <c r="S2248" s="8"/>
    </row>
    <row r="2249" spans="1:19" ht="15.75" customHeight="1">
      <c r="A2249" s="8">
        <v>251710528</v>
      </c>
      <c r="B2249" s="8" t="s">
        <v>9155</v>
      </c>
      <c r="C2249" s="8" t="s">
        <v>11953</v>
      </c>
      <c r="D2249" s="8" t="s">
        <v>8131</v>
      </c>
      <c r="E2249" s="9"/>
      <c r="F2249" s="8"/>
      <c r="G2249" s="9"/>
      <c r="H2249" s="8" t="s">
        <v>8179</v>
      </c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</row>
    <row r="2250" spans="1:19" ht="15.75" customHeight="1">
      <c r="A2250" s="8">
        <v>251721380</v>
      </c>
      <c r="B2250" s="8" t="s">
        <v>11954</v>
      </c>
      <c r="C2250" s="8" t="s">
        <v>11955</v>
      </c>
      <c r="D2250" s="8" t="s">
        <v>8135</v>
      </c>
      <c r="E2250" s="9"/>
      <c r="F2250" s="8"/>
      <c r="G2250" s="9"/>
      <c r="H2250" s="8" t="s">
        <v>8164</v>
      </c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</row>
    <row r="2251" spans="1:19" ht="15.75" customHeight="1">
      <c r="A2251" s="8">
        <v>251751482</v>
      </c>
      <c r="B2251" s="8" t="s">
        <v>8390</v>
      </c>
      <c r="C2251" s="10" t="s">
        <v>11956</v>
      </c>
      <c r="D2251" s="8" t="s">
        <v>8138</v>
      </c>
      <c r="E2251" s="9"/>
      <c r="F2251" s="8"/>
      <c r="G2251" s="9"/>
      <c r="H2251" s="8" t="s">
        <v>8164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</row>
  </sheetData>
  <pageMargins left="0.5" right="0.5" top="1" bottom="1" header="0" footer="0"/>
  <pageSetup orientation="portrait"/>
  <headerFooter>
    <oddHeader>&amp;C&amp;A</oddHeader>
    <oddFooter>&amp;CPage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272"/>
  <sheetViews>
    <sheetView workbookViewId="0"/>
  </sheetViews>
  <sheetFormatPr defaultColWidth="12.625" defaultRowHeight="15" customHeight="1"/>
  <cols>
    <col min="1" max="1" width="22" customWidth="1"/>
    <col min="2" max="2" width="27.875" customWidth="1"/>
    <col min="3" max="3" width="18.5" customWidth="1"/>
    <col min="4" max="4" width="11.375" customWidth="1"/>
    <col min="5" max="5" width="14.375" customWidth="1"/>
    <col min="6" max="6" width="52.5" customWidth="1"/>
    <col min="7" max="7" width="20.875" customWidth="1"/>
  </cols>
  <sheetData>
    <row r="1" spans="1:26" ht="33.75" customHeight="1">
      <c r="A1" s="11" t="str">
        <f ca="1">IFERROR(__xludf.DUMMYFUNCTION("UNIQUE(Query('Свод'!A1:F2272, ""select A,B,C,D,E,F LIMIT 2271 LABEL A 'ИМЯ', B 'ПОЧТА', C 'ТЕЛЕФОН', D 'СТРАНА', E 'Telagram', F 'ПРОЙДЕНЫЕ КУРСЫ'""))"),"ИМЯ")</f>
        <v>ИМЯ</v>
      </c>
      <c r="B1" s="11" t="str">
        <f ca="1">IFERROR(__xludf.DUMMYFUNCTION("""COMPUTED_VALUE"""),"ПОЧТА")</f>
        <v>ПОЧТА</v>
      </c>
      <c r="C1" s="11" t="str">
        <f ca="1">IFERROR(__xludf.DUMMYFUNCTION("""COMPUTED_VALUE"""),"ТЕЛЕФОН")</f>
        <v>ТЕЛЕФОН</v>
      </c>
      <c r="D1" s="11" t="str">
        <f ca="1">IFERROR(__xludf.DUMMYFUNCTION("""COMPUTED_VALUE"""),"СТРАНА")</f>
        <v>СТРАНА</v>
      </c>
      <c r="E1" s="11" t="str">
        <f ca="1">IFERROR(__xludf.DUMMYFUNCTION("""COMPUTED_VALUE"""),"Telagram")</f>
        <v>Telagram</v>
      </c>
      <c r="F1" s="12" t="str">
        <f ca="1">IFERROR(__xludf.DUMMYFUNCTION("""COMPUTED_VALUE"""),"ПРОЙДЕНЫЕ КУРСЫ")</f>
        <v>ПРОЙДЕНЫЕ КУРСЫ</v>
      </c>
      <c r="G1" s="11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>
      <c r="A2" s="14" t="str">
        <f ca="1">IFERROR(__xludf.DUMMYFUNCTION("""COMPUTED_VALUE"""),"Пользователь")</f>
        <v>Пользователь</v>
      </c>
      <c r="B2" s="14" t="str">
        <f ca="1">IFERROR(__xludf.DUMMYFUNCTION("""COMPUTED_VALUE"""),"Email")</f>
        <v>Email</v>
      </c>
      <c r="C2" s="15" t="str">
        <f ca="1">IFERROR(__xludf.DUMMYFUNCTION("""COMPUTED_VALUE"""),"Телефон")</f>
        <v>Телефон</v>
      </c>
      <c r="D2" s="15" t="str">
        <f ca="1">IFERROR(__xludf.DUMMYFUNCTION("""COMPUTED_VALUE"""),"Страна")</f>
        <v>Страна</v>
      </c>
      <c r="E2" s="14" t="str">
        <f ca="1">IFERROR(__xludf.DUMMYFUNCTION("""COMPUTED_VALUE"""),"Телеграм")</f>
        <v>Телеграм</v>
      </c>
      <c r="F2" s="8" t="str">
        <f ca="1">IFERROR(__xludf.DUMMYFUNCTION("""COMPUTED_VALUE"""),"Название мероприятия в которой участвовал")</f>
        <v>Название мероприятия в которой участвовал</v>
      </c>
      <c r="G2" s="1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5.5">
      <c r="A3" s="16" t="str">
        <f ca="1">IFERROR(__xludf.DUMMYFUNCTION("""COMPUTED_VALUE"""),"Моля Сарсенгалиева")</f>
        <v>Моля Сарсенгалиева</v>
      </c>
      <c r="B3" s="14" t="str">
        <f ca="1">IFERROR(__xludf.DUMMYFUNCTION("""COMPUTED_VALUE"""),"_aitjanova_@mail.ru")</f>
        <v>_aitjanova_@mail.ru</v>
      </c>
      <c r="C3" s="15" t="str">
        <f ca="1">IFERROR(__xludf.DUMMYFUNCTION("""COMPUTED_VALUE"""),"87788715092")</f>
        <v>87788715092</v>
      </c>
      <c r="D3" s="15"/>
      <c r="E3" s="14"/>
      <c r="F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3" s="1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1">
      <c r="A4" s="14" t="str">
        <f ca="1">IFERROR(__xludf.DUMMYFUNCTION("""COMPUTED_VALUE"""),"Елана Полетаева")</f>
        <v>Елана Полетаева</v>
      </c>
      <c r="B4" s="14" t="str">
        <f ca="1">IFERROR(__xludf.DUMMYFUNCTION("""COMPUTED_VALUE"""),"007-072365@mail.ru")</f>
        <v>007-072365@mail.ru</v>
      </c>
      <c r="C4" s="15" t="str">
        <f ca="1">IFERROR(__xludf.DUMMYFUNCTION("""COMPUTED_VALUE"""),"+79193859496")</f>
        <v>+79193859496</v>
      </c>
      <c r="D4" s="15" t="str">
        <f ca="1">IFERROR(__xludf.DUMMYFUNCTION("""COMPUTED_VALUE"""),"Россия")</f>
        <v>Россия</v>
      </c>
      <c r="E4" s="14"/>
      <c r="F4" s="8" t="str">
        <f ca="1">IFERROR(__xludf.DUMMYFUNCTION("""COMPUTED_VALUE"""),"- Выездной ретрит Тюмень 11-13 марта 2022 (оплата до 28 февраля)
- Практика тишины онлайн 3.03.2022
- Практика Тишины общая регулярная")</f>
        <v>- Выездной ретрит Тюмень 11-13 марта 2022 (оплата до 28 февраля)
- Практика тишины онлайн 3.03.2022
- Практика Тишины общая регулярная</v>
      </c>
      <c r="G4" s="1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>
      <c r="A5" s="14" t="str">
        <f ca="1">IFERROR(__xludf.DUMMYFUNCTION("""COMPUTED_VALUE"""),"Elke Bäumges")</f>
        <v>Elke Bäumges</v>
      </c>
      <c r="B5" s="14" t="str">
        <f ca="1">IFERROR(__xludf.DUMMYFUNCTION("""COMPUTED_VALUE"""),"00elke0@web.de")</f>
        <v>00elke0@web.de</v>
      </c>
      <c r="C5" s="15" t="str">
        <f ca="1">IFERROR(__xludf.DUMMYFUNCTION("""COMPUTED_VALUE"""),"015753344815")</f>
        <v>015753344815</v>
      </c>
      <c r="D5" s="15" t="str">
        <f ca="1">IFERROR(__xludf.DUMMYFUNCTION("""COMPUTED_VALUE"""),"Германия")</f>
        <v>Германия</v>
      </c>
      <c r="E5" s="14"/>
      <c r="F5" s="8" t="str">
        <f ca="1">IFERROR(__xludf.DUMMYFUNCTION("""COMPUTED_VALUE"""),"- Ретрит в Латвии 6-13.02.2022 DEU")</f>
        <v>- Ретрит в Латвии 6-13.02.2022 DEU</v>
      </c>
      <c r="G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>
      <c r="A6" s="14" t="str">
        <f ca="1">IFERROR(__xludf.DUMMYFUNCTION("""COMPUTED_VALUE"""),"Наталья Жилкина")</f>
        <v>Наталья Жилкина</v>
      </c>
      <c r="B6" s="14" t="str">
        <f ca="1">IFERROR(__xludf.DUMMYFUNCTION("""COMPUTED_VALUE"""),"00natika00@mail.ru")</f>
        <v>00natika00@mail.ru</v>
      </c>
      <c r="C6" s="15" t="str">
        <f ca="1">IFERROR(__xludf.DUMMYFUNCTION("""COMPUTED_VALUE"""),"+79025861314")</f>
        <v>+79025861314</v>
      </c>
      <c r="D6" s="15" t="str">
        <f ca="1">IFERROR(__xludf.DUMMYFUNCTION("""COMPUTED_VALUE"""),"Россия")</f>
        <v>Россия</v>
      </c>
      <c r="E6" s="14"/>
      <c r="F6" s="8" t="str">
        <f ca="1">IFERROR(__xludf.DUMMYFUNCTION("""COMPUTED_VALUE"""),"- Тишина Челлендж (бесплатная часть)")</f>
        <v>- Тишина Челлендж (бесплатная часть)</v>
      </c>
      <c r="G6" s="1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>
      <c r="A7" s="14" t="str">
        <f ca="1">IFERROR(__xludf.DUMMYFUNCTION("""COMPUTED_VALUE"""),"Ирина Попова")</f>
        <v>Ирина Попова</v>
      </c>
      <c r="B7" s="14" t="str">
        <f ca="1">IFERROR(__xludf.DUMMYFUNCTION("""COMPUTED_VALUE"""),"031263@mail.ru")</f>
        <v>031263@mail.ru</v>
      </c>
      <c r="C7" s="15" t="str">
        <f ca="1">IFERROR(__xludf.DUMMYFUNCTION("""COMPUTED_VALUE"""),"+79161292920")</f>
        <v>+79161292920</v>
      </c>
      <c r="D7" s="15" t="str">
        <f ca="1">IFERROR(__xludf.DUMMYFUNCTION("""COMPUTED_VALUE"""),"Россия")</f>
        <v>Россия</v>
      </c>
      <c r="E7" s="14"/>
      <c r="F7" s="8" t="str">
        <f ca="1">IFERROR(__xludf.DUMMYFUNCTION("""COMPUTED_VALUE"""),"- Вводный вебинар 3.5.22 на Шаг к Пробуждению")</f>
        <v>- Вводный вебинар 3.5.22 на Шаг к Пробуждению</v>
      </c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>
      <c r="A8" s="14" t="str">
        <f ca="1">IFERROR(__xludf.DUMMYFUNCTION("""COMPUTED_VALUE"""),"Лилия Лилия")</f>
        <v>Лилия Лилия</v>
      </c>
      <c r="B8" s="14" t="str">
        <f ca="1">IFERROR(__xludf.DUMMYFUNCTION("""COMPUTED_VALUE"""),"11177998@mail.ru")</f>
        <v>11177998@mail.ru</v>
      </c>
      <c r="C8" s="15" t="str">
        <f ca="1">IFERROR(__xludf.DUMMYFUNCTION("""COMPUTED_VALUE"""),"+79991310997")</f>
        <v>+79991310997</v>
      </c>
      <c r="D8" s="15"/>
      <c r="E8" s="14"/>
      <c r="F8" s="8" t="str">
        <f ca="1">IFERROR(__xludf.DUMMYFUNCTION("""COMPUTED_VALUE"""),"- Тишина Челлендж (бесплатная часть)")</f>
        <v>- Тишина Челлендж (бесплатная часть)</v>
      </c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5.5">
      <c r="A9" s="14" t="str">
        <f ca="1">IFERROR(__xludf.DUMMYFUNCTION("""COMPUTED_VALUE"""),"Жанар Жаксыбергенова")</f>
        <v>Жанар Жаксыбергенова</v>
      </c>
      <c r="B9" s="14" t="str">
        <f ca="1">IFERROR(__xludf.DUMMYFUNCTION("""COMPUTED_VALUE"""),"12zh18@mail.ru")</f>
        <v>12zh18@mail.ru</v>
      </c>
      <c r="C9" s="15" t="str">
        <f ca="1">IFERROR(__xludf.DUMMYFUNCTION("""COMPUTED_VALUE"""),"87786999562")</f>
        <v>87786999562</v>
      </c>
      <c r="D9" s="15"/>
      <c r="E9" s="14"/>
      <c r="F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>
      <c r="A10" s="14" t="str">
        <f ca="1">IFERROR(__xludf.DUMMYFUNCTION("""COMPUTED_VALUE"""),"Нодира Панжиева")</f>
        <v>Нодира Панжиева</v>
      </c>
      <c r="B10" s="14" t="str">
        <f ca="1">IFERROR(__xludf.DUMMYFUNCTION("""COMPUTED_VALUE"""),"13031975@mail.ru")</f>
        <v>13031975@mail.ru</v>
      </c>
      <c r="C10" s="15" t="str">
        <f ca="1">IFERROR(__xludf.DUMMYFUNCTION("""COMPUTED_VALUE"""),"975322161")</f>
        <v>975322161</v>
      </c>
      <c r="D10" s="15"/>
      <c r="E10" s="14"/>
      <c r="F1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0" s="1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6.5">
      <c r="A11" s="14" t="str">
        <f ca="1">IFERROR(__xludf.DUMMYFUNCTION("""COMPUTED_VALUE"""),"ГерМан Ман")</f>
        <v>ГерМан Ман</v>
      </c>
      <c r="B11" s="14" t="str">
        <f ca="1">IFERROR(__xludf.DUMMYFUNCTION("""COMPUTED_VALUE"""),"1491000@mail.ru")</f>
        <v>1491000@mail.ru</v>
      </c>
      <c r="C11" s="15" t="str">
        <f ca="1">IFERROR(__xludf.DUMMYFUNCTION("""COMPUTED_VALUE"""),"+79672584466")</f>
        <v>+79672584466</v>
      </c>
      <c r="D11" s="15" t="str">
        <f ca="1">IFERROR(__xludf.DUMMYFUNCTION("""COMPUTED_VALUE"""),"Россия")</f>
        <v>Россия</v>
      </c>
      <c r="E11" s="14" t="str">
        <f ca="1">IFERROR(__xludf.DUMMYFUNCTION("""COMPUTED_VALUE"""),"GerMan GrGr")</f>
        <v>GerMan GrGr</v>
      </c>
      <c r="F11" s="8" t="str">
        <f ca="1">IFERROR(__xludf.DUMMYFUNCTION("""COMPUTED_VALUE"""),"- Ретрит в РЦ Сочи 14-21 января 2022 (Оплата до 24 декабря)
- Ретрит ""Проектная деятельность"" для участников ретритов
- Интенсив онлайн 11-13.02.2022
- Заявка на звонок для курса ""Парадентальная медитация""
- Курс подготовки к Парадентальной медитации
"&amp;"- Курс подготовки к Парадентальной медитации (доступ к 1 уроку)")</f>
        <v>- Ретрит в РЦ Сочи 14-21 января 2022 (Оплата до 24 декабря)
- Ретрит "Проектная деятельность" для участников ретритов
- Интенсив онлайн 11-13.02.2022
- Заявка на звонок для курса "Парадентальная медитация"
- Курс подготовки к Парадентальной медитации
- Курс подготовки к Парадентальной медитации (доступ к 1 уроку)</v>
      </c>
      <c r="G11" s="1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>
      <c r="A12" s="14" t="str">
        <f ca="1">IFERROR(__xludf.DUMMYFUNCTION("""COMPUTED_VALUE"""),"Анастасия Ким")</f>
        <v>Анастасия Ким</v>
      </c>
      <c r="B12" s="14" t="str">
        <f ca="1">IFERROR(__xludf.DUMMYFUNCTION("""COMPUTED_VALUE"""),"149ola149@gmail.com")</f>
        <v>149ola149@gmail.com</v>
      </c>
      <c r="C12" s="15" t="str">
        <f ca="1">IFERROR(__xludf.DUMMYFUNCTION("""COMPUTED_VALUE"""),"87786475929")</f>
        <v>87786475929</v>
      </c>
      <c r="D12" s="15"/>
      <c r="E12" s="14"/>
      <c r="F1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2" s="1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>
      <c r="A13" s="14" t="str">
        <f ca="1">IFERROR(__xludf.DUMMYFUNCTION("""COMPUTED_VALUE""")," ")</f>
        <v xml:space="preserve"> </v>
      </c>
      <c r="B13" s="14" t="str">
        <f ca="1">IFERROR(__xludf.DUMMYFUNCTION("""COMPUTED_VALUE"""),"1805malibu@gmail.com")</f>
        <v>1805malibu@gmail.com</v>
      </c>
      <c r="C13" s="15"/>
      <c r="D13" s="15"/>
      <c r="E13" s="14"/>
      <c r="F13" s="8" t="str">
        <f ca="1">IFERROR(__xludf.DUMMYFUNCTION("""COMPUTED_VALUE"""),"Мероприятий не обнаружено")</f>
        <v>Мероприятий не обнаружено</v>
      </c>
      <c r="G13" s="1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>
      <c r="A14" s="14" t="str">
        <f ca="1">IFERROR(__xludf.DUMMYFUNCTION("""COMPUTED_VALUE"""),"Гулим Гулим")</f>
        <v>Гулим Гулим</v>
      </c>
      <c r="B14" s="14" t="str">
        <f ca="1">IFERROR(__xludf.DUMMYFUNCTION("""COMPUTED_VALUE"""),"1984gulima@gmail.com")</f>
        <v>1984gulima@gmail.com</v>
      </c>
      <c r="C14" s="15" t="str">
        <f ca="1">IFERROR(__xludf.DUMMYFUNCTION("""COMPUTED_VALUE"""),"+77052549696")</f>
        <v>+77052549696</v>
      </c>
      <c r="D14" s="15"/>
      <c r="E14" s="14"/>
      <c r="F1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4" s="1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>
      <c r="A15" s="14" t="str">
        <f ca="1">IFERROR(__xludf.DUMMYFUNCTION("""COMPUTED_VALUE"""),"TATYANA EVDOKIMOVA")</f>
        <v>TATYANA EVDOKIMOVA</v>
      </c>
      <c r="B15" s="14" t="str">
        <f ca="1">IFERROR(__xludf.DUMMYFUNCTION("""COMPUTED_VALUE"""),"19fdnj.ec67@gmail.com")</f>
        <v>19fdnj.ec67@gmail.com</v>
      </c>
      <c r="C15" s="15" t="str">
        <f ca="1">IFERROR(__xludf.DUMMYFUNCTION("""COMPUTED_VALUE"""),"79213178816")</f>
        <v>79213178816</v>
      </c>
      <c r="D15" s="15"/>
      <c r="E15" s="14"/>
      <c r="F15" s="8" t="str">
        <f ca="1">IFERROR(__xludf.DUMMYFUNCTION("""COMPUTED_VALUE"""),"- Партнерская программа")</f>
        <v>- Партнерская программа</v>
      </c>
      <c r="G15" s="1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>
      <c r="A16" s="14" t="str">
        <f ca="1">IFERROR(__xludf.DUMMYFUNCTION("""COMPUTED_VALUE"""),"Алибек Даулетов")</f>
        <v>Алибек Даулетов</v>
      </c>
      <c r="B16" s="14" t="str">
        <f ca="1">IFERROR(__xludf.DUMMYFUNCTION("""COMPUTED_VALUE"""),"1albek@mail.ru")</f>
        <v>1albek@mail.ru</v>
      </c>
      <c r="C16" s="15" t="str">
        <f ca="1">IFERROR(__xludf.DUMMYFUNCTION("""COMPUTED_VALUE"""),"87051438199")</f>
        <v>87051438199</v>
      </c>
      <c r="D16" s="15"/>
      <c r="E16" s="14"/>
      <c r="F1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6" s="1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3.75">
      <c r="A17" s="14" t="str">
        <f ca="1">IFERROR(__xludf.DUMMYFUNCTION("""COMPUTED_VALUE"""),"Владимир Пышненко")</f>
        <v>Владимир Пышненко</v>
      </c>
      <c r="B17" s="14" t="str">
        <f ca="1">IFERROR(__xludf.DUMMYFUNCTION("""COMPUTED_VALUE"""),"1italyshka@gmail.com")</f>
        <v>1italyshka@gmail.com</v>
      </c>
      <c r="C17" s="15" t="str">
        <f ca="1">IFERROR(__xludf.DUMMYFUNCTION("""COMPUTED_VALUE"""),"79138211306")</f>
        <v>79138211306</v>
      </c>
      <c r="D17" s="15" t="str">
        <f ca="1">IFERROR(__xludf.DUMMYFUNCTION("""COMPUTED_VALUE"""),"Россия")</f>
        <v>Россия</v>
      </c>
      <c r="E17" s="14" t="str">
        <f ca="1">IFERROR(__xludf.DUMMYFUNCTION("""COMPUTED_VALUE"""),"Влалимир ")</f>
        <v xml:space="preserve">Влалимир </v>
      </c>
      <c r="F17" s="8" t="str">
        <f ca="1">IFERROR(__xludf.DUMMYFUNCTION("""COMPUTED_VALUE"""),"- Вебинар все о ретрите 12.2.2022
- Выездной ретрит Тюмень 18-20 марта 2022 (оплата до 22 февраля)
- Оплата Клуб пробуждения Друзья (1 уровень) (со скидкой)
- Друзья. Базовый уровень (ежемесячная платная подписка) ")</f>
        <v xml:space="preserve">- Вебинар все о ретрите 12.2.2022
- Выездной ретрит Тюмень 18-20 марта 2022 (оплата до 22 февраля)
- Оплата Клуб пробуждения Друзья (1 уровень) (со скидкой)
- Друзья. Базовый уровень (ежемесячная платная подписка) </v>
      </c>
      <c r="G17" s="1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>
      <c r="A18" s="14" t="str">
        <f ca="1">IFERROR(__xludf.DUMMYFUNCTION("""COMPUTED_VALUE"""),"Ирина Чембарисова")</f>
        <v>Ирина Чембарисова</v>
      </c>
      <c r="B18" s="14" t="str">
        <f ca="1">IFERROR(__xludf.DUMMYFUNCTION("""COMPUTED_VALUE"""),"2006risha@mail.ru")</f>
        <v>2006risha@mail.ru</v>
      </c>
      <c r="C18" s="15" t="str">
        <f ca="1">IFERROR(__xludf.DUMMYFUNCTION("""COMPUTED_VALUE"""),"+77055206340")</f>
        <v>+77055206340</v>
      </c>
      <c r="D18" s="15"/>
      <c r="E18" s="14"/>
      <c r="F1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" s="1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>
      <c r="A19" s="14" t="str">
        <f ca="1">IFERROR(__xludf.DUMMYFUNCTION("""COMPUTED_VALUE"""),"Мастер Ив")</f>
        <v>Мастер Ив</v>
      </c>
      <c r="B19" s="14" t="str">
        <f ca="1">IFERROR(__xludf.DUMMYFUNCTION("""COMPUTED_VALUE"""),"2012227@mail.ru")</f>
        <v>2012227@mail.ru</v>
      </c>
      <c r="C19" s="15" t="str">
        <f ca="1">IFERROR(__xludf.DUMMYFUNCTION("""COMPUTED_VALUE"""),"+79183072227")</f>
        <v>+79183072227</v>
      </c>
      <c r="D19" s="15" t="str">
        <f ca="1">IFERROR(__xludf.DUMMYFUNCTION("""COMPUTED_VALUE"""),"Россия")</f>
        <v>Россия</v>
      </c>
      <c r="E19" s="14"/>
      <c r="F19" s="8" t="str">
        <f ca="1">IFERROR(__xludf.DUMMYFUNCTION("""COMPUTED_VALUE"""),"-  встреча Космос внутри Сочи 5.3.2022")</f>
        <v>-  встреча Космос внутри Сочи 5.3.2022</v>
      </c>
      <c r="G19" s="1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>
      <c r="A20" s="14" t="str">
        <f ca="1">IFERROR(__xludf.DUMMYFUNCTION("""COMPUTED_VALUE"""),"20alexei10,  ")</f>
        <v xml:space="preserve">20alexei10,  </v>
      </c>
      <c r="B20" s="14" t="str">
        <f ca="1">IFERROR(__xludf.DUMMYFUNCTION("""COMPUTED_VALUE"""),"20alexei10@list.ru")</f>
        <v>20alexei10@list.ru</v>
      </c>
      <c r="C20" s="15"/>
      <c r="D20" s="15" t="str">
        <f ca="1">IFERROR(__xludf.DUMMYFUNCTION("""COMPUTED_VALUE"""),"Россия")</f>
        <v>Россия</v>
      </c>
      <c r="E20" s="14"/>
      <c r="F20" s="8" t="str">
        <f ca="1">IFERROR(__xludf.DUMMYFUNCTION("""COMPUTED_VALUE"""),"- Базовая бесплатная часть")</f>
        <v>- Базовая бесплатная часть</v>
      </c>
      <c r="G20" s="1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>
      <c r="A21" s="14" t="str">
        <f ca="1">IFERROR(__xludf.DUMMYFUNCTION("""COMPUTED_VALUE"""),"Виталий Ветлугин")</f>
        <v>Виталий Ветлугин</v>
      </c>
      <c r="B21" s="14" t="str">
        <f ca="1">IFERROR(__xludf.DUMMYFUNCTION("""COMPUTED_VALUE"""),"21e@ukr.net")</f>
        <v>21e@ukr.net</v>
      </c>
      <c r="C21" s="15" t="str">
        <f ca="1">IFERROR(__xludf.DUMMYFUNCTION("""COMPUTED_VALUE"""),"+380984416342")</f>
        <v>+380984416342</v>
      </c>
      <c r="D21" s="15" t="str">
        <f ca="1">IFERROR(__xludf.DUMMYFUNCTION("""COMPUTED_VALUE"""),"Украина")</f>
        <v>Украина</v>
      </c>
      <c r="E21" s="14"/>
      <c r="F21" s="8" t="str">
        <f ca="1">IFERROR(__xludf.DUMMYFUNCTION("""COMPUTED_VALUE"""),"- Вебинар с Никитой Бородулиным 11.02.2022 часть1
- Интенсив онлайн 11-13.02.2022")</f>
        <v>- Вебинар с Никитой Бородулиным 11.02.2022 часть1
- Интенсив онлайн 11-13.02.2022</v>
      </c>
      <c r="G21" s="1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>
      <c r="A22" s="14" t="str">
        <f ca="1">IFERROR(__xludf.DUMMYFUNCTION("""COMPUTED_VALUE"""),"Кристина Еремеева")</f>
        <v>Кристина Еремеева</v>
      </c>
      <c r="B22" s="14" t="str">
        <f ca="1">IFERROR(__xludf.DUMMYFUNCTION("""COMPUTED_VALUE"""),"2807199797k73@gmail.com")</f>
        <v>2807199797k73@gmail.com</v>
      </c>
      <c r="C22" s="15"/>
      <c r="D22" s="15" t="str">
        <f ca="1">IFERROR(__xludf.DUMMYFUNCTION("""COMPUTED_VALUE"""),"США")</f>
        <v>США</v>
      </c>
      <c r="E22" s="14"/>
      <c r="F22" s="8" t="str">
        <f ca="1">IFERROR(__xludf.DUMMYFUNCTION("""COMPUTED_VALUE"""),"- Тишина Челлендж (бесплатная часть)")</f>
        <v>- Тишина Челлендж (бесплатная часть)</v>
      </c>
      <c r="G22" s="1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>
      <c r="A23" s="14" t="str">
        <f ca="1">IFERROR(__xludf.DUMMYFUNCTION("""COMPUTED_VALUE"""),"Елена Елена")</f>
        <v>Елена Елена</v>
      </c>
      <c r="B23" s="14" t="str">
        <f ca="1">IFERROR(__xludf.DUMMYFUNCTION("""COMPUTED_VALUE"""),"2tktys@mail.ru")</f>
        <v>2tktys@mail.ru</v>
      </c>
      <c r="C23" s="15" t="str">
        <f ca="1">IFERROR(__xludf.DUMMYFUNCTION("""COMPUTED_VALUE"""),"79588255219")</f>
        <v>79588255219</v>
      </c>
      <c r="D23" s="15" t="str">
        <f ca="1">IFERROR(__xludf.DUMMYFUNCTION("""COMPUTED_VALUE"""),"Россия")</f>
        <v>Россия</v>
      </c>
      <c r="E23" s="14"/>
      <c r="F23" s="8" t="str">
        <f ca="1">IFERROR(__xludf.DUMMYFUNCTION("""COMPUTED_VALUE"""),"- Тишина Челлендж (бесплатная часть)")</f>
        <v>- Тишина Челлендж (бесплатная часть)</v>
      </c>
      <c r="G23" s="1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8.25">
      <c r="A24" s="14" t="str">
        <f ca="1">IFERROR(__xludf.DUMMYFUNCTION("""COMPUTED_VALUE"""),"Татьяна Тюлюкина")</f>
        <v>Татьяна Тюлюкина</v>
      </c>
      <c r="B24" s="14" t="str">
        <f ca="1">IFERROR(__xludf.DUMMYFUNCTION("""COMPUTED_VALUE"""),"334902@mail.ru")</f>
        <v>334902@mail.ru</v>
      </c>
      <c r="C24" s="15" t="str">
        <f ca="1">IFERROR(__xludf.DUMMYFUNCTION("""COMPUTED_VALUE"""),"+79897575496")</f>
        <v>+79897575496</v>
      </c>
      <c r="D24" s="15" t="str">
        <f ca="1">IFERROR(__xludf.DUMMYFUNCTION("""COMPUTED_VALUE"""),"Россия")</f>
        <v>Россия</v>
      </c>
      <c r="E24" s="14"/>
      <c r="F24" s="8" t="str">
        <f ca="1">IFERROR(__xludf.DUMMYFUNCTION("""COMPUTED_VALUE"""),"- Вебинар с Никитой Бородулиным 11.02.2022 часть1
- Ретрит в РЦ Сочи 19-27 марта 2022  (Оплата с 7 марта до 16 марта)")</f>
        <v>- Вебинар с Никитой Бородулиным 11.02.2022 часть1
- Ретрит в РЦ Сочи 19-27 марта 2022  (Оплата с 7 марта до 16 марта)</v>
      </c>
      <c r="G24" s="1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>
      <c r="A25" s="14" t="str">
        <f ca="1">IFERROR(__xludf.DUMMYFUNCTION("""COMPUTED_VALUE"""),"Лариса Трусевич")</f>
        <v>Лариса Трусевич</v>
      </c>
      <c r="B25" s="14" t="str">
        <f ca="1">IFERROR(__xludf.DUMMYFUNCTION("""COMPUTED_VALUE"""),"3559319@mail.ru")</f>
        <v>3559319@mail.ru</v>
      </c>
      <c r="C25" s="15" t="str">
        <f ca="1">IFERROR(__xludf.DUMMYFUNCTION("""COMPUTED_VALUE"""),", 293559319")</f>
        <v>, 293559319</v>
      </c>
      <c r="D25" s="15" t="str">
        <f ca="1">IFERROR(__xludf.DUMMYFUNCTION("""COMPUTED_VALUE"""),"Беларусь")</f>
        <v>Беларусь</v>
      </c>
      <c r="E25" s="14"/>
      <c r="F25" s="8" t="str">
        <f ca="1">IFERROR(__xludf.DUMMYFUNCTION("""COMPUTED_VALUE"""),"Мероприятий не обнаружено")</f>
        <v>Мероприятий не обнаружено</v>
      </c>
      <c r="G25" s="1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>
      <c r="A26" s="14" t="str">
        <f ca="1">IFERROR(__xludf.DUMMYFUNCTION("""COMPUTED_VALUE"""),"Лариса Трусевич")</f>
        <v>Лариса Трусевич</v>
      </c>
      <c r="B26" s="14" t="str">
        <f ca="1">IFERROR(__xludf.DUMMYFUNCTION("""COMPUTED_VALUE"""),"355931967@mail.ru")</f>
        <v>355931967@mail.ru</v>
      </c>
      <c r="C26" s="15" t="str">
        <f ca="1">IFERROR(__xludf.DUMMYFUNCTION("""COMPUTED_VALUE"""),", 375293559319")</f>
        <v>, 375293559319</v>
      </c>
      <c r="D26" s="15" t="str">
        <f ca="1">IFERROR(__xludf.DUMMYFUNCTION("""COMPUTED_VALUE"""),"Беларусь")</f>
        <v>Беларусь</v>
      </c>
      <c r="E26" s="14" t="str">
        <f ca="1">IFERROR(__xludf.DUMMYFUNCTION("""COMPUTED_VALUE"""),"Trusevich Larisa")</f>
        <v>Trusevich Larisa</v>
      </c>
      <c r="F26" s="8" t="str">
        <f ca="1">IFERROR(__xludf.DUMMYFUNCTION("""COMPUTED_VALUE"""),"Мероприятий не обнаружено")</f>
        <v>Мероприятий не обнаружено</v>
      </c>
      <c r="G26" s="1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>
      <c r="A27" s="14" t="str">
        <f ca="1">IFERROR(__xludf.DUMMYFUNCTION("""COMPUTED_VALUE"""),"Иван Попеня")</f>
        <v>Иван Попеня</v>
      </c>
      <c r="B27" s="14" t="str">
        <f ca="1">IFERROR(__xludf.DUMMYFUNCTION("""COMPUTED_VALUE"""),"375292234514@yandex.by")</f>
        <v>375292234514@yandex.by</v>
      </c>
      <c r="C27" s="15" t="str">
        <f ca="1">IFERROR(__xludf.DUMMYFUNCTION("""COMPUTED_VALUE"""),"+375292234514")</f>
        <v>+375292234514</v>
      </c>
      <c r="D27" s="15" t="str">
        <f ca="1">IFERROR(__xludf.DUMMYFUNCTION("""COMPUTED_VALUE"""),"Беларусь")</f>
        <v>Беларусь</v>
      </c>
      <c r="E27" s="14"/>
      <c r="F27" s="8" t="str">
        <f ca="1">IFERROR(__xludf.DUMMYFUNCTION("""COMPUTED_VALUE"""),"- Чайная встреча Разговор по душам Минск 11.12.2021")</f>
        <v>- Чайная встреча Разговор по душам Минск 11.12.2021</v>
      </c>
      <c r="G27" s="1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5.5">
      <c r="A28" s="14" t="str">
        <f ca="1">IFERROR(__xludf.DUMMYFUNCTION("""COMPUTED_VALUE"""),"Yulya M")</f>
        <v>Yulya M</v>
      </c>
      <c r="B28" s="14" t="str">
        <f ca="1">IFERROR(__xludf.DUMMYFUNCTION("""COMPUTED_VALUE"""),"3809988@bk.ru")</f>
        <v>3809988@bk.ru</v>
      </c>
      <c r="C28" s="15" t="str">
        <f ca="1">IFERROR(__xludf.DUMMYFUNCTION("""COMPUTED_VALUE"""),"+998933809988")</f>
        <v>+998933809988</v>
      </c>
      <c r="D28" s="15"/>
      <c r="E28" s="14"/>
      <c r="F2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8" s="1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51">
      <c r="A29" s="14" t="str">
        <f ca="1">IFERROR(__xludf.DUMMYFUNCTION("""COMPUTED_VALUE"""),"София Шемякина")</f>
        <v>София Шемякина</v>
      </c>
      <c r="B29" s="14" t="str">
        <f ca="1">IFERROR(__xludf.DUMMYFUNCTION("""COMPUTED_VALUE"""),"404251079@mail.ru")</f>
        <v>404251079@mail.ru</v>
      </c>
      <c r="C29" s="15" t="str">
        <f ca="1">IFERROR(__xludf.DUMMYFUNCTION("""COMPUTED_VALUE"""),"+79184042510")</f>
        <v>+79184042510</v>
      </c>
      <c r="D29" s="15" t="str">
        <f ca="1">IFERROR(__xludf.DUMMYFUNCTION("""COMPUTED_VALUE"""),"Россия")</f>
        <v>Россия</v>
      </c>
      <c r="E29" s="14"/>
      <c r="F29" s="8" t="str">
        <f ca="1">IFERROR(__xludf.DUMMYFUNCTION("""COMPUTED_VALUE"""),"- Челлендж Тишины
- Онлайн курс Шаг к Пробуждению №16 26.2-5.3.22 Пакет стандартный
-  встреча Космос внутри Сочи 5.3.2022")</f>
        <v>- Челлендж Тишины
- Онлайн курс Шаг к Пробуждению №16 26.2-5.3.22 Пакет стандартный
-  встреча Космос внутри Сочи 5.3.2022</v>
      </c>
      <c r="G29" s="1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>
      <c r="A30" s="14" t="str">
        <f ca="1">IFERROR(__xludf.DUMMYFUNCTION("""COMPUTED_VALUE"""),"Павел Беляев")</f>
        <v>Павел Беляев</v>
      </c>
      <c r="B30" s="14" t="str">
        <f ca="1">IFERROR(__xludf.DUMMYFUNCTION("""COMPUTED_VALUE"""),"4101111@gmail.com")</f>
        <v>4101111@gmail.com</v>
      </c>
      <c r="C30" s="15" t="str">
        <f ca="1">IFERROR(__xludf.DUMMYFUNCTION("""COMPUTED_VALUE"""),"+79244101111")</f>
        <v>+79244101111</v>
      </c>
      <c r="D30" s="15" t="str">
        <f ca="1">IFERROR(__xludf.DUMMYFUNCTION("""COMPUTED_VALUE"""),"Россия")</f>
        <v>Россия</v>
      </c>
      <c r="E30" s="14"/>
      <c r="F30" s="8" t="str">
        <f ca="1">IFERROR(__xludf.DUMMYFUNCTION("""COMPUTED_VALUE"""),"- Интенсив Дальний Восток 28-30.01.2022")</f>
        <v>- Интенсив Дальний Восток 28-30.01.2022</v>
      </c>
      <c r="G30" s="1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>
      <c r="A31" s="14" t="str">
        <f ca="1">IFERROR(__xludf.DUMMYFUNCTION("""COMPUTED_VALUE"""),"Инна Зубченко")</f>
        <v>Инна Зубченко</v>
      </c>
      <c r="B31" s="14" t="str">
        <f ca="1">IFERROR(__xludf.DUMMYFUNCTION("""COMPUTED_VALUE"""),"4114734148@mail.ru")</f>
        <v>4114734148@mail.ru</v>
      </c>
      <c r="C31" s="15" t="str">
        <f ca="1">IFERROR(__xludf.DUMMYFUNCTION("""COMPUTED_VALUE"""),"79231088150")</f>
        <v>79231088150</v>
      </c>
      <c r="D31" s="15" t="str">
        <f ca="1">IFERROR(__xludf.DUMMYFUNCTION("""COMPUTED_VALUE"""),"Россия")</f>
        <v>Россия</v>
      </c>
      <c r="E31" s="14"/>
      <c r="F31" s="8" t="str">
        <f ca="1">IFERROR(__xludf.DUMMYFUNCTION("""COMPUTED_VALUE"""),"- Друзья. Базовый уровень (ежемесячная платная подписка) ")</f>
        <v xml:space="preserve">- Друзья. Базовый уровень (ежемесячная платная подписка) </v>
      </c>
      <c r="G31" s="1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>
      <c r="A32" s="14" t="str">
        <f ca="1">IFERROR(__xludf.DUMMYFUNCTION("""COMPUTED_VALUE"""),"Александр Кульман")</f>
        <v>Александр Кульман</v>
      </c>
      <c r="B32" s="14" t="str">
        <f ca="1">IFERROR(__xludf.DUMMYFUNCTION("""COMPUTED_VALUE"""),"41314@mail.ru")</f>
        <v>41314@mail.ru</v>
      </c>
      <c r="C32" s="15" t="str">
        <f ca="1">IFERROR(__xludf.DUMMYFUNCTION("""COMPUTED_VALUE"""),"+79264399633")</f>
        <v>+79264399633</v>
      </c>
      <c r="D32" s="15" t="str">
        <f ca="1">IFERROR(__xludf.DUMMYFUNCTION("""COMPUTED_VALUE"""),"Россия")</f>
        <v>Россия</v>
      </c>
      <c r="E32" s="14"/>
      <c r="F32" s="8" t="str">
        <f ca="1">IFERROR(__xludf.DUMMYFUNCTION("""COMPUTED_VALUE"""),"-  встреча Космос внутри Сочи 5.3.2022")</f>
        <v>-  встреча Космос внутри Сочи 5.3.2022</v>
      </c>
      <c r="G32" s="1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>
      <c r="A33" s="14" t="str">
        <f ca="1">IFERROR(__xludf.DUMMYFUNCTION("""COMPUTED_VALUE"""),"4527825,  ")</f>
        <v xml:space="preserve">4527825,  </v>
      </c>
      <c r="B33" s="14" t="str">
        <f ca="1">IFERROR(__xludf.DUMMYFUNCTION("""COMPUTED_VALUE"""),"4527825@mail.ru")</f>
        <v>4527825@mail.ru</v>
      </c>
      <c r="C33" s="15"/>
      <c r="D33" s="15"/>
      <c r="E33" s="14"/>
      <c r="F33" s="8" t="str">
        <f ca="1">IFERROR(__xludf.DUMMYFUNCTION("""COMPUTED_VALUE"""),"- USA Челлендж Тишина")</f>
        <v>- USA Челлендж Тишина</v>
      </c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8.25">
      <c r="A34" s="14" t="str">
        <f ca="1">IFERROR(__xludf.DUMMYFUNCTION("""COMPUTED_VALUE"""),"Даниил Коробов")</f>
        <v>Даниил Коробов</v>
      </c>
      <c r="B34" s="14" t="str">
        <f ca="1">IFERROR(__xludf.DUMMYFUNCTION("""COMPUTED_VALUE"""),"4daniilka87dan@gmail.com")</f>
        <v>4daniilka87dan@gmail.com</v>
      </c>
      <c r="C34" s="15" t="str">
        <f ca="1">IFERROR(__xludf.DUMMYFUNCTION("""COMPUTED_VALUE"""),"+79138049867")</f>
        <v>+79138049867</v>
      </c>
      <c r="D34" s="15" t="str">
        <f ca="1">IFERROR(__xludf.DUMMYFUNCTION("""COMPUTED_VALUE"""),"Россия")</f>
        <v>Россия</v>
      </c>
      <c r="E34" s="14" t="str">
        <f ca="1">IFERROR(__xludf.DUMMYFUNCTION("""COMPUTED_VALUE"""),"@lev04_Daniil_87")</f>
        <v>@lev04_Daniil_87</v>
      </c>
      <c r="F34" s="8" t="str">
        <f ca="1">IFERROR(__xludf.DUMMYFUNCTION("""COMPUTED_VALUE"""),"- Клуб пробуждения Друзья (2 уровень) - 1 месяц
- Практика Тишины общая платная
- Городской ретрит Москва 18-20.02.2022")</f>
        <v>- Клуб пробуждения Друзья (2 уровень) - 1 месяц
- Практика Тишины общая платная
- Городской ретрит Москва 18-20.02.2022</v>
      </c>
      <c r="G34" s="1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8.25">
      <c r="A35" s="14" t="str">
        <f ca="1">IFERROR(__xludf.DUMMYFUNCTION("""COMPUTED_VALUE"""),"Ольга Черноскутова")</f>
        <v>Ольга Черноскутова</v>
      </c>
      <c r="B35" s="14" t="str">
        <f ca="1">IFERROR(__xludf.DUMMYFUNCTION("""COMPUTED_VALUE"""),"4op.1962@mail.ru")</f>
        <v>4op.1962@mail.ru</v>
      </c>
      <c r="C35" s="15" t="str">
        <f ca="1">IFERROR(__xludf.DUMMYFUNCTION("""COMPUTED_VALUE"""),"+79226060370")</f>
        <v>+79226060370</v>
      </c>
      <c r="D35" s="15" t="str">
        <f ca="1">IFERROR(__xludf.DUMMYFUNCTION("""COMPUTED_VALUE"""),"Россия")</f>
        <v>Россия</v>
      </c>
      <c r="E35" s="14"/>
      <c r="F35" s="8" t="str">
        <f ca="1">IFERROR(__xludf.DUMMYFUNCTION("""COMPUTED_VALUE"""),"- Выездной ретрит Тюмень 18-20 марта 2022 (оплата с 11 по 16 марта)
- Однодневный ретрит Россия 14 мая 2022")</f>
        <v>- Выездной ретрит Тюмень 18-20 марта 2022 (оплата с 11 по 16 марта)
- Однодневный ретрит Россия 14 мая 2022</v>
      </c>
      <c r="G35" s="1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>
      <c r="A36" s="14" t="str">
        <f ca="1">IFERROR(__xludf.DUMMYFUNCTION("""COMPUTED_VALUE"""),"Olga Shadrina")</f>
        <v>Olga Shadrina</v>
      </c>
      <c r="B36" s="14" t="str">
        <f ca="1">IFERROR(__xludf.DUMMYFUNCTION("""COMPUTED_VALUE"""),"5101661@gmail.com")</f>
        <v>5101661@gmail.com</v>
      </c>
      <c r="C36" s="15"/>
      <c r="D36" s="15" t="str">
        <f ca="1">IFERROR(__xludf.DUMMYFUNCTION("""COMPUTED_VALUE"""),"Россия")</f>
        <v>Россия</v>
      </c>
      <c r="E36" s="14"/>
      <c r="F36" s="8" t="str">
        <f ca="1">IFERROR(__xludf.DUMMYFUNCTION("""COMPUTED_VALUE"""),"- Тишина Челлендж (бесплатная часть)")</f>
        <v>- Тишина Челлендж (бесплатная часть)</v>
      </c>
      <c r="G36" s="1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>
      <c r="A37" s="14" t="str">
        <f ca="1">IFERROR(__xludf.DUMMYFUNCTION("""COMPUTED_VALUE"""),"Екатерина Федосеева")</f>
        <v>Екатерина Федосеева</v>
      </c>
      <c r="B37" s="14" t="str">
        <f ca="1">IFERROR(__xludf.DUMMYFUNCTION("""COMPUTED_VALUE"""),"5420513@mail.ru")</f>
        <v>5420513@mail.ru</v>
      </c>
      <c r="C37" s="15" t="str">
        <f ca="1">IFERROR(__xludf.DUMMYFUNCTION("""COMPUTED_VALUE"""),", +79267201832")</f>
        <v>, +79267201832</v>
      </c>
      <c r="D37" s="15" t="str">
        <f ca="1">IFERROR(__xludf.DUMMYFUNCTION("""COMPUTED_VALUE"""),"Россия")</f>
        <v>Россия</v>
      </c>
      <c r="E37" s="14"/>
      <c r="F37" s="8" t="str">
        <f ca="1">IFERROR(__xludf.DUMMYFUNCTION("""COMPUTED_VALUE"""),"Мероприятий не обнаружено")</f>
        <v>Мероприятий не обнаружено</v>
      </c>
      <c r="G37" s="1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8.25">
      <c r="A38" s="14" t="str">
        <f ca="1">IFERROR(__xludf.DUMMYFUNCTION("""COMPUTED_VALUE"""),"Елена Фугелова")</f>
        <v>Елена Фугелова</v>
      </c>
      <c r="B38" s="14" t="str">
        <f ca="1">IFERROR(__xludf.DUMMYFUNCTION("""COMPUTED_VALUE"""),"585117@mail.ru")</f>
        <v>585117@mail.ru</v>
      </c>
      <c r="C38" s="15" t="str">
        <f ca="1">IFERROR(__xludf.DUMMYFUNCTION("""COMPUTED_VALUE"""),"79220060333")</f>
        <v>79220060333</v>
      </c>
      <c r="D38" s="15" t="str">
        <f ca="1">IFERROR(__xludf.DUMMYFUNCTION("""COMPUTED_VALUE"""),"США")</f>
        <v>США</v>
      </c>
      <c r="E38" s="14"/>
      <c r="F38" s="8" t="str">
        <f ca="1">IFERROR(__xludf.DUMMYFUNCTION("""COMPUTED_VALUE"""),"- Вебинар все о ретрите 12.2.2022
- Выездной ретрит Тюмень 18-20 марта 2022 (оплата до 22 февраля)")</f>
        <v>- Вебинар все о ретрите 12.2.2022
- Выездной ретрит Тюмень 18-20 марта 2022 (оплата до 22 февраля)</v>
      </c>
      <c r="G38" s="1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>
      <c r="A39" s="14" t="str">
        <f ca="1">IFERROR(__xludf.DUMMYFUNCTION("""COMPUTED_VALUE"""),"Александр Иванов")</f>
        <v>Александр Иванов</v>
      </c>
      <c r="B39" s="14" t="str">
        <f ca="1">IFERROR(__xludf.DUMMYFUNCTION("""COMPUTED_VALUE"""),"6189266@gmail.com")</f>
        <v>6189266@gmail.com</v>
      </c>
      <c r="C39" s="15" t="str">
        <f ca="1">IFERROR(__xludf.DUMMYFUNCTION("""COMPUTED_VALUE"""),", +3752960308000")</f>
        <v>, +3752960308000</v>
      </c>
      <c r="D39" s="15" t="str">
        <f ca="1">IFERROR(__xludf.DUMMYFUNCTION("""COMPUTED_VALUE"""),"Беларусь")</f>
        <v>Беларусь</v>
      </c>
      <c r="E39" s="14"/>
      <c r="F39" s="8" t="str">
        <f ca="1">IFERROR(__xludf.DUMMYFUNCTION("""COMPUTED_VALUE"""),"Мероприятий не обнаружено")</f>
        <v>Мероприятий не обнаружено</v>
      </c>
      <c r="G39" s="1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>
      <c r="A40" s="14" t="str">
        <f ca="1">IFERROR(__xludf.DUMMYFUNCTION("""COMPUTED_VALUE"""),"Ирина, Ирина ")</f>
        <v xml:space="preserve">Ирина, Ирина </v>
      </c>
      <c r="B40" s="14" t="str">
        <f ca="1">IFERROR(__xludf.DUMMYFUNCTION("""COMPUTED_VALUE"""),"6506@mail.ru")</f>
        <v>6506@mail.ru</v>
      </c>
      <c r="C40" s="15" t="str">
        <f ca="1">IFERROR(__xludf.DUMMYFUNCTION("""COMPUTED_VALUE"""),"79636048668")</f>
        <v>79636048668</v>
      </c>
      <c r="D40" s="15" t="str">
        <f ca="1">IFERROR(__xludf.DUMMYFUNCTION("""COMPUTED_VALUE"""),"Россия")</f>
        <v>Россия</v>
      </c>
      <c r="E40" s="14"/>
      <c r="F40" s="8" t="str">
        <f ca="1">IFERROR(__xludf.DUMMYFUNCTION("""COMPUTED_VALUE"""),"-  Курс Пробуждение. Начало.")</f>
        <v>-  Курс Пробуждение. Начало.</v>
      </c>
      <c r="G40" s="1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>
      <c r="A41" s="14" t="str">
        <f ca="1">IFERROR(__xludf.DUMMYFUNCTION("""COMPUTED_VALUE"""),"Анастасия Тете")</f>
        <v>Анастасия Тете</v>
      </c>
      <c r="B41" s="14" t="str">
        <f ca="1">IFERROR(__xludf.DUMMYFUNCTION("""COMPUTED_VALUE"""),"6755599@mail.ru")</f>
        <v>6755599@mail.ru</v>
      </c>
      <c r="C41" s="15" t="str">
        <f ca="1">IFERROR(__xludf.DUMMYFUNCTION("""COMPUTED_VALUE"""),"79166755599")</f>
        <v>79166755599</v>
      </c>
      <c r="D41" s="15" t="str">
        <f ca="1">IFERROR(__xludf.DUMMYFUNCTION("""COMPUTED_VALUE"""),"Россия")</f>
        <v>Россия</v>
      </c>
      <c r="E41" s="14"/>
      <c r="F41" s="8" t="str">
        <f ca="1">IFERROR(__xludf.DUMMYFUNCTION("""COMPUTED_VALUE"""),"- Однодневный ретрит Россия 14 мая 2022")</f>
        <v>- Однодневный ретрит Россия 14 мая 2022</v>
      </c>
      <c r="G41" s="1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>
      <c r="A42" s="14" t="str">
        <f ca="1">IFERROR(__xludf.DUMMYFUNCTION("""COMPUTED_VALUE"""),"Иван Вахрушев")</f>
        <v>Иван Вахрушев</v>
      </c>
      <c r="B42" s="14" t="str">
        <f ca="1">IFERROR(__xludf.DUMMYFUNCTION("""COMPUTED_VALUE"""),"69kam@ro.ru")</f>
        <v>69kam@ro.ru</v>
      </c>
      <c r="C42" s="15" t="str">
        <f ca="1">IFERROR(__xludf.DUMMYFUNCTION("""COMPUTED_VALUE"""),"79961775916")</f>
        <v>79961775916</v>
      </c>
      <c r="D42" s="15" t="str">
        <f ca="1">IFERROR(__xludf.DUMMYFUNCTION("""COMPUTED_VALUE"""),"Россия")</f>
        <v>Россия</v>
      </c>
      <c r="E42" s="14"/>
      <c r="F42" s="8" t="str">
        <f ca="1">IFERROR(__xludf.DUMMYFUNCTION("""COMPUTED_VALUE"""),"- Новогодний Интенсив Алматы-онлайн 17-19.12.2021")</f>
        <v>- Новогодний Интенсив Алматы-онлайн 17-19.12.2021</v>
      </c>
      <c r="G42" s="1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5.5">
      <c r="A43" s="14" t="str">
        <f ca="1">IFERROR(__xludf.DUMMYFUNCTION("""COMPUTED_VALUE"""),"Ирина Рудавина")</f>
        <v>Ирина Рудавина</v>
      </c>
      <c r="B43" s="14" t="str">
        <f ca="1">IFERROR(__xludf.DUMMYFUNCTION("""COMPUTED_VALUE"""),"6vkusov@gmail.com")</f>
        <v>6vkusov@gmail.com</v>
      </c>
      <c r="C43" s="15" t="str">
        <f ca="1">IFERROR(__xludf.DUMMYFUNCTION("""COMPUTED_VALUE"""),"79025242387")</f>
        <v>79025242387</v>
      </c>
      <c r="D43" s="15" t="str">
        <f ca="1">IFERROR(__xludf.DUMMYFUNCTION("""COMPUTED_VALUE"""),"Россия")</f>
        <v>Россия</v>
      </c>
      <c r="E43" s="14"/>
      <c r="F43" s="8" t="str">
        <f ca="1">IFERROR(__xludf.DUMMYFUNCTION("""COMPUTED_VALUE"""),"- Интенсив Дальний Восток 28-30.01.2022
- Сообщество ДВ внутренний чат")</f>
        <v>- Интенсив Дальний Восток 28-30.01.2022
- Сообщество ДВ внутренний чат</v>
      </c>
      <c r="G43" s="1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>
      <c r="A44" s="14" t="str">
        <f ca="1">IFERROR(__xludf.DUMMYFUNCTION("""COMPUTED_VALUE"""),"Вика Грошева")</f>
        <v>Вика Грошева</v>
      </c>
      <c r="B44" s="14" t="str">
        <f ca="1">IFERROR(__xludf.DUMMYFUNCTION("""COMPUTED_VALUE"""),"7260485@list.ru")</f>
        <v>7260485@list.ru</v>
      </c>
      <c r="C44" s="15" t="str">
        <f ca="1">IFERROR(__xludf.DUMMYFUNCTION("""COMPUTED_VALUE"""),"+79037260485")</f>
        <v>+79037260485</v>
      </c>
      <c r="D44" s="15" t="str">
        <f ca="1">IFERROR(__xludf.DUMMYFUNCTION("""COMPUTED_VALUE"""),"Россия")</f>
        <v>Россия</v>
      </c>
      <c r="E44" s="14"/>
      <c r="F44" s="8" t="str">
        <f ca="1">IFERROR(__xludf.DUMMYFUNCTION("""COMPUTED_VALUE"""),"- Вводный вебинар 3.5.22 на Шаг к Пробуждению")</f>
        <v>- Вводный вебинар 3.5.22 на Шаг к Пробуждению</v>
      </c>
      <c r="G44" s="1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>
      <c r="A45" s="14" t="str">
        <f ca="1">IFERROR(__xludf.DUMMYFUNCTION("""COMPUTED_VALUE"""),"Анастасия Нуретдинова")</f>
        <v>Анастасия Нуретдинова</v>
      </c>
      <c r="B45" s="14" t="str">
        <f ca="1">IFERROR(__xludf.DUMMYFUNCTION("""COMPUTED_VALUE"""),"7769660@gmail.com")</f>
        <v>7769660@gmail.com</v>
      </c>
      <c r="C45" s="15" t="str">
        <f ca="1">IFERROR(__xludf.DUMMYFUNCTION("""COMPUTED_VALUE"""),"79043020903")</f>
        <v>79043020903</v>
      </c>
      <c r="D45" s="15" t="str">
        <f ca="1">IFERROR(__xludf.DUMMYFUNCTION("""COMPUTED_VALUE"""),"Россия")</f>
        <v>Россия</v>
      </c>
      <c r="E45" s="14"/>
      <c r="F45" s="8" t="str">
        <f ca="1">IFERROR(__xludf.DUMMYFUNCTION("""COMPUTED_VALUE"""),"- Тишина Челлендж (бесплатная часть)")</f>
        <v>- Тишина Челлендж (бесплатная часть)</v>
      </c>
      <c r="G45" s="1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>
      <c r="A46" s="14" t="str">
        <f ca="1">IFERROR(__xludf.DUMMYFUNCTION("""COMPUTED_VALUE"""),"Светлана Рябова")</f>
        <v>Светлана Рябова</v>
      </c>
      <c r="B46" s="14" t="str">
        <f ca="1">IFERROR(__xludf.DUMMYFUNCTION("""COMPUTED_VALUE"""),"77swettlana88@gmail.com")</f>
        <v>77swettlana88@gmail.com</v>
      </c>
      <c r="C46" s="15" t="str">
        <f ca="1">IFERROR(__xludf.DUMMYFUNCTION("""COMPUTED_VALUE"""),"79028755338")</f>
        <v>79028755338</v>
      </c>
      <c r="D46" s="15" t="str">
        <f ca="1">IFERROR(__xludf.DUMMYFUNCTION("""COMPUTED_VALUE"""),"Россия")</f>
        <v>Россия</v>
      </c>
      <c r="E46" s="14"/>
      <c r="F46" s="8" t="str">
        <f ca="1">IFERROR(__xludf.DUMMYFUNCTION("""COMPUTED_VALUE"""),"- Вводный вебинар 3.5.22 на Шаг к Пробуждению")</f>
        <v>- Вводный вебинар 3.5.22 на Шаг к Пробуждению</v>
      </c>
      <c r="G46" s="1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>
      <c r="A47" s="14" t="str">
        <f ca="1">IFERROR(__xludf.DUMMYFUNCTION("""COMPUTED_VALUE"""),"Мирослав, Мирослав ")</f>
        <v xml:space="preserve">Мирослав, Мирослав </v>
      </c>
      <c r="B47" s="14" t="str">
        <f ca="1">IFERROR(__xludf.DUMMYFUNCTION("""COMPUTED_VALUE"""),"79130001123@phone")</f>
        <v>79130001123@phone</v>
      </c>
      <c r="C47" s="15" t="str">
        <f ca="1">IFERROR(__xludf.DUMMYFUNCTION("""COMPUTED_VALUE"""),"+79130001123")</f>
        <v>+79130001123</v>
      </c>
      <c r="D47" s="15" t="str">
        <f ca="1">IFERROR(__xludf.DUMMYFUNCTION("""COMPUTED_VALUE"""),"Россия")</f>
        <v>Россия</v>
      </c>
      <c r="E47" s="14"/>
      <c r="F47" s="8" t="str">
        <f ca="1">IFERROR(__xludf.DUMMYFUNCTION("""COMPUTED_VALUE"""),"- Заявка на звонок курс ""Пробуждение. Начало.""")</f>
        <v>- Заявка на звонок курс "Пробуждение. Начало."</v>
      </c>
      <c r="G47" s="1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>
      <c r="A48" s="14" t="str">
        <f ca="1">IFERROR(__xludf.DUMMYFUNCTION("""COMPUTED_VALUE"""),"Полина Казанцева")</f>
        <v>Полина Казанцева</v>
      </c>
      <c r="B48" s="14" t="str">
        <f ca="1">IFERROR(__xludf.DUMMYFUNCTION("""COMPUTED_VALUE"""),"79146935232@yandex.ru")</f>
        <v>79146935232@yandex.ru</v>
      </c>
      <c r="C48" s="15" t="str">
        <f ca="1">IFERROR(__xludf.DUMMYFUNCTION("""COMPUTED_VALUE"""),"+79146935232")</f>
        <v>+79146935232</v>
      </c>
      <c r="D48" s="15" t="str">
        <f ca="1">IFERROR(__xludf.DUMMYFUNCTION("""COMPUTED_VALUE"""),"Россия")</f>
        <v>Россия</v>
      </c>
      <c r="E48" s="14"/>
      <c r="F48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48" s="1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>
      <c r="A49" s="14" t="str">
        <f ca="1">IFERROR(__xludf.DUMMYFUNCTION("""COMPUTED_VALUE"""),"Наталья Л")</f>
        <v>Наталья Л</v>
      </c>
      <c r="B49" s="14" t="str">
        <f ca="1">IFERROR(__xludf.DUMMYFUNCTION("""COMPUTED_VALUE"""),"79534152514@yandex.ru")</f>
        <v>79534152514@yandex.ru</v>
      </c>
      <c r="C49" s="15" t="str">
        <f ca="1">IFERROR(__xludf.DUMMYFUNCTION("""COMPUTED_VALUE"""),"79534152514")</f>
        <v>79534152514</v>
      </c>
      <c r="D49" s="15" t="str">
        <f ca="1">IFERROR(__xludf.DUMMYFUNCTION("""COMPUTED_VALUE"""),"Россия")</f>
        <v>Россия</v>
      </c>
      <c r="E49" s="14"/>
      <c r="F49" s="8" t="str">
        <f ca="1">IFERROR(__xludf.DUMMYFUNCTION("""COMPUTED_VALUE"""),"- Вебинар все о ретрите 12.2.2022")</f>
        <v>- Вебинар все о ретрите 12.2.2022</v>
      </c>
      <c r="G49" s="1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5.5">
      <c r="A50" s="14" t="str">
        <f ca="1">IFERROR(__xludf.DUMMYFUNCTION("""COMPUTED_VALUE"""),"Наз Гуль")</f>
        <v>Наз Гуль</v>
      </c>
      <c r="B50" s="14" t="str">
        <f ca="1">IFERROR(__xludf.DUMMYFUNCTION("""COMPUTED_VALUE"""),"797onm@list.ru")</f>
        <v>797onm@list.ru</v>
      </c>
      <c r="C50" s="15" t="str">
        <f ca="1">IFERROR(__xludf.DUMMYFUNCTION("""COMPUTED_VALUE"""),"+77754631751")</f>
        <v>+77754631751</v>
      </c>
      <c r="D50" s="15"/>
      <c r="E50" s="14"/>
      <c r="F5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50" s="1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>
      <c r="A51" s="14" t="str">
        <f ca="1">IFERROR(__xludf.DUMMYFUNCTION("""COMPUTED_VALUE"""),"Руслан Алейников")</f>
        <v>Руслан Алейников</v>
      </c>
      <c r="B51" s="14" t="str">
        <f ca="1">IFERROR(__xludf.DUMMYFUNCTION("""COMPUTED_VALUE"""),"79809801234@yandex.ru")</f>
        <v>79809801234@yandex.ru</v>
      </c>
      <c r="C51" s="15" t="str">
        <f ca="1">IFERROR(__xludf.DUMMYFUNCTION("""COMPUTED_VALUE"""),", +79809801234")</f>
        <v>, +79809801234</v>
      </c>
      <c r="D51" s="15" t="str">
        <f ca="1">IFERROR(__xludf.DUMMYFUNCTION("""COMPUTED_VALUE"""),"Россия")</f>
        <v>Россия</v>
      </c>
      <c r="E51" s="14" t="str">
        <f ca="1">IFERROR(__xludf.DUMMYFUNCTION("""COMPUTED_VALUE"""),"ruslan8800")</f>
        <v>ruslan8800</v>
      </c>
      <c r="F51" s="8" t="str">
        <f ca="1">IFERROR(__xludf.DUMMYFUNCTION("""COMPUTED_VALUE"""),"Мероприятий не обнаружено")</f>
        <v>Мероприятий не обнаружено</v>
      </c>
      <c r="G51" s="1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>
      <c r="A52" s="14" t="str">
        <f ca="1">IFERROR(__xludf.DUMMYFUNCTION("""COMPUTED_VALUE"""),"83popov,  ")</f>
        <v xml:space="preserve">83popov,  </v>
      </c>
      <c r="B52" s="14" t="str">
        <f ca="1">IFERROR(__xludf.DUMMYFUNCTION("""COMPUTED_VALUE"""),"83popov@gmail.com")</f>
        <v>83popov@gmail.com</v>
      </c>
      <c r="C52" s="15"/>
      <c r="D52" s="15"/>
      <c r="E52" s="14"/>
      <c r="F52" s="8" t="str">
        <f ca="1">IFERROR(__xludf.DUMMYFUNCTION("""COMPUTED_VALUE"""),"- USA Челлендж Тишина")</f>
        <v>- USA Челлендж Тишина</v>
      </c>
      <c r="G52" s="1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5.5">
      <c r="A53" s="14" t="str">
        <f ca="1">IFERROR(__xludf.DUMMYFUNCTION("""COMPUTED_VALUE"""),"Евгений Хашаев")</f>
        <v>Евгений Хашаев</v>
      </c>
      <c r="B53" s="14" t="str">
        <f ca="1">IFERROR(__xludf.DUMMYFUNCTION("""COMPUTED_VALUE"""),"8666900@gmail.com")</f>
        <v>8666900@gmail.com</v>
      </c>
      <c r="C53" s="15" t="str">
        <f ca="1">IFERROR(__xludf.DUMMYFUNCTION("""COMPUTED_VALUE"""),"+998998666900")</f>
        <v>+998998666900</v>
      </c>
      <c r="D53" s="15" t="str">
        <f ca="1">IFERROR(__xludf.DUMMYFUNCTION("""COMPUTED_VALUE"""),"Узбекистан")</f>
        <v>Узбекистан</v>
      </c>
      <c r="E53" s="14"/>
      <c r="F5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53" s="1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5.5">
      <c r="A54" s="14" t="str">
        <f ca="1">IFERROR(__xludf.DUMMYFUNCTION("""COMPUTED_VALUE"""),"Дарья Бледных")</f>
        <v>Дарья Бледных</v>
      </c>
      <c r="B54" s="14" t="str">
        <f ca="1">IFERROR(__xludf.DUMMYFUNCTION("""COMPUTED_VALUE"""),"87rijik@mail.ru")</f>
        <v>87rijik@mail.ru</v>
      </c>
      <c r="C54" s="15" t="str">
        <f ca="1">IFERROR(__xludf.DUMMYFUNCTION("""COMPUTED_VALUE"""),"87023788999")</f>
        <v>87023788999</v>
      </c>
      <c r="D54" s="15"/>
      <c r="E54" s="14"/>
      <c r="F5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54" s="1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>
      <c r="A55" s="14" t="str">
        <f ca="1">IFERROR(__xludf.DUMMYFUNCTION("""COMPUTED_VALUE"""),"Дмитрий Журавлёв")</f>
        <v>Дмитрий Журавлёв</v>
      </c>
      <c r="B55" s="14" t="str">
        <f ca="1">IFERROR(__xludf.DUMMYFUNCTION("""COMPUTED_VALUE"""),"8848484@gmail.com")</f>
        <v>8848484@gmail.com</v>
      </c>
      <c r="C55" s="15" t="str">
        <f ca="1">IFERROR(__xludf.DUMMYFUNCTION("""COMPUTED_VALUE"""),", +380638566323")</f>
        <v>, +380638566323</v>
      </c>
      <c r="D55" s="15" t="str">
        <f ca="1">IFERROR(__xludf.DUMMYFUNCTION("""COMPUTED_VALUE"""),"Германия")</f>
        <v>Германия</v>
      </c>
      <c r="E55" s="14"/>
      <c r="F55" s="8" t="str">
        <f ca="1">IFERROR(__xludf.DUMMYFUNCTION("""COMPUTED_VALUE"""),"Мероприятий не обнаружено")</f>
        <v>Мероприятий не обнаружено</v>
      </c>
      <c r="G55" s="1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>
      <c r="A56" s="14" t="str">
        <f ca="1">IFERROR(__xludf.DUMMYFUNCTION("""COMPUTED_VALUE"""),"Сергей Королев")</f>
        <v>Сергей Королев</v>
      </c>
      <c r="B56" s="14" t="str">
        <f ca="1">IFERROR(__xludf.DUMMYFUNCTION("""COMPUTED_VALUE"""),"888sk@mail.ru")</f>
        <v>888sk@mail.ru</v>
      </c>
      <c r="C56" s="15" t="str">
        <f ca="1">IFERROR(__xludf.DUMMYFUNCTION("""COMPUTED_VALUE"""),"79673248815")</f>
        <v>79673248815</v>
      </c>
      <c r="D56" s="15" t="str">
        <f ca="1">IFERROR(__xludf.DUMMYFUNCTION("""COMPUTED_VALUE"""),"Россия")</f>
        <v>Россия</v>
      </c>
      <c r="E56" s="14"/>
      <c r="F56" s="8" t="str">
        <f ca="1">IFERROR(__xludf.DUMMYFUNCTION("""COMPUTED_VALUE"""),"-  встреча Космос внутри Сочи 5.3.2022")</f>
        <v>-  встреча Космос внутри Сочи 5.3.2022</v>
      </c>
      <c r="G56" s="1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>
      <c r="A57" s="14" t="str">
        <f ca="1">IFERROR(__xludf.DUMMYFUNCTION("""COMPUTED_VALUE"""),"Светлана Крылова")</f>
        <v>Светлана Крылова</v>
      </c>
      <c r="B57" s="14" t="str">
        <f ca="1">IFERROR(__xludf.DUMMYFUNCTION("""COMPUTED_VALUE"""),"89193410564tvoisvet@gmail.com")</f>
        <v>89193410564tvoisvet@gmail.com</v>
      </c>
      <c r="C57" s="15" t="str">
        <f ca="1">IFERROR(__xludf.DUMMYFUNCTION("""COMPUTED_VALUE"""),"79227538501")</f>
        <v>79227538501</v>
      </c>
      <c r="D57" s="15" t="str">
        <f ca="1">IFERROR(__xludf.DUMMYFUNCTION("""COMPUTED_VALUE"""),"Россия")</f>
        <v>Россия</v>
      </c>
      <c r="E57" s="14"/>
      <c r="F57" s="8" t="str">
        <f ca="1">IFERROR(__xludf.DUMMYFUNCTION("""COMPUTED_VALUE"""),"- Вебинар все о ретрите 12.2.2022")</f>
        <v>- Вебинар все о ретрите 12.2.2022</v>
      </c>
      <c r="G57" s="1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>
      <c r="A58" s="14" t="str">
        <f ca="1">IFERROR(__xludf.DUMMYFUNCTION("""COMPUTED_VALUE"""),"Юлия Иванова")</f>
        <v>Юлия Иванова</v>
      </c>
      <c r="B58" s="14" t="str">
        <f ca="1">IFERROR(__xludf.DUMMYFUNCTION("""COMPUTED_VALUE"""),"89272753434@mail.ru")</f>
        <v>89272753434@mail.ru</v>
      </c>
      <c r="C58" s="15" t="str">
        <f ca="1">IFERROR(__xludf.DUMMYFUNCTION("""COMPUTED_VALUE"""),", +79961190929")</f>
        <v>, +79961190929</v>
      </c>
      <c r="D58" s="15" t="str">
        <f ca="1">IFERROR(__xludf.DUMMYFUNCTION("""COMPUTED_VALUE"""),"Россия")</f>
        <v>Россия</v>
      </c>
      <c r="E58" s="14"/>
      <c r="F58" s="8" t="str">
        <f ca="1">IFERROR(__xludf.DUMMYFUNCTION("""COMPUTED_VALUE"""),"Мероприятий не обнаружено")</f>
        <v>Мероприятий не обнаружено</v>
      </c>
      <c r="G58" s="1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>
      <c r="A59" s="14" t="str">
        <f ca="1">IFERROR(__xludf.DUMMYFUNCTION("""COMPUTED_VALUE"""),"Наталья Мирзаева")</f>
        <v>Наталья Мирзаева</v>
      </c>
      <c r="B59" s="14" t="str">
        <f ca="1">IFERROR(__xludf.DUMMYFUNCTION("""COMPUTED_VALUE"""),"89517899501@mail.ru")</f>
        <v>89517899501@mail.ru</v>
      </c>
      <c r="C59" s="15" t="str">
        <f ca="1">IFERROR(__xludf.DUMMYFUNCTION("""COMPUTED_VALUE"""),"79517899501")</f>
        <v>79517899501</v>
      </c>
      <c r="D59" s="15" t="str">
        <f ca="1">IFERROR(__xludf.DUMMYFUNCTION("""COMPUTED_VALUE"""),"Россия")</f>
        <v>Россия</v>
      </c>
      <c r="E59" s="14"/>
      <c r="F59" s="8" t="str">
        <f ca="1">IFERROR(__xludf.DUMMYFUNCTION("""COMPUTED_VALUE"""),"- USA Челлендж Тишина")</f>
        <v>- USA Челлендж Тишина</v>
      </c>
      <c r="G59" s="1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>
      <c r="A60" s="14" t="str">
        <f ca="1">IFERROR(__xludf.DUMMYFUNCTION("""COMPUTED_VALUE"""),"Марина Шарабакина")</f>
        <v>Марина Шарабакина</v>
      </c>
      <c r="B60" s="14" t="str">
        <f ca="1">IFERROR(__xludf.DUMMYFUNCTION("""COMPUTED_VALUE"""),"89522012429@mail.ru")</f>
        <v>89522012429@mail.ru</v>
      </c>
      <c r="C60" s="15" t="str">
        <f ca="1">IFERROR(__xludf.DUMMYFUNCTION("""COMPUTED_VALUE"""),"+79522012429")</f>
        <v>+79522012429</v>
      </c>
      <c r="D60" s="15" t="str">
        <f ca="1">IFERROR(__xludf.DUMMYFUNCTION("""COMPUTED_VALUE"""),"Россия")</f>
        <v>Россия</v>
      </c>
      <c r="E60" s="14"/>
      <c r="F60" s="8" t="str">
        <f ca="1">IFERROR(__xludf.DUMMYFUNCTION("""COMPUTED_VALUE"""),"- Практика Тишины общая платная")</f>
        <v>- Практика Тишины общая платная</v>
      </c>
      <c r="G60" s="1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>
      <c r="A61" s="14" t="str">
        <f ca="1">IFERROR(__xludf.DUMMYFUNCTION("""COMPUTED_VALUE"""),"Екатерина Лебедь")</f>
        <v>Екатерина Лебедь</v>
      </c>
      <c r="B61" s="14" t="str">
        <f ca="1">IFERROR(__xludf.DUMMYFUNCTION("""COMPUTED_VALUE"""),"89526153780@mail.ru")</f>
        <v>89526153780@mail.ru</v>
      </c>
      <c r="C61" s="15" t="str">
        <f ca="1">IFERROR(__xludf.DUMMYFUNCTION("""COMPUTED_VALUE"""),"+79526153780")</f>
        <v>+79526153780</v>
      </c>
      <c r="D61" s="15" t="str">
        <f ca="1">IFERROR(__xludf.DUMMYFUNCTION("""COMPUTED_VALUE"""),"Россия")</f>
        <v>Россия</v>
      </c>
      <c r="E61" s="14"/>
      <c r="F61" s="8" t="str">
        <f ca="1">IFERROR(__xludf.DUMMYFUNCTION("""COMPUTED_VALUE"""),"- Тишина Челлендж (бесплатная часть)")</f>
        <v>- Тишина Челлендж (бесплатная часть)</v>
      </c>
      <c r="G61" s="1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>
      <c r="A62" s="14" t="str">
        <f ca="1">IFERROR(__xludf.DUMMYFUNCTION("""COMPUTED_VALUE"""),"Василий Капустин")</f>
        <v>Василий Капустин</v>
      </c>
      <c r="B62" s="14" t="str">
        <f ca="1">IFERROR(__xludf.DUMMYFUNCTION("""COMPUTED_VALUE"""),"89533520267@mail.ru")</f>
        <v>89533520267@mail.ru</v>
      </c>
      <c r="C62" s="15" t="str">
        <f ca="1">IFERROR(__xludf.DUMMYFUNCTION("""COMPUTED_VALUE"""),"79533520267")</f>
        <v>79533520267</v>
      </c>
      <c r="D62" s="15" t="str">
        <f ca="1">IFERROR(__xludf.DUMMYFUNCTION("""COMPUTED_VALUE"""),"Россия")</f>
        <v>Россия</v>
      </c>
      <c r="E62" s="14"/>
      <c r="F62" s="8" t="str">
        <f ca="1">IFERROR(__xludf.DUMMYFUNCTION("""COMPUTED_VALUE"""),"- Тишина Челлендж (бесплатная часть)")</f>
        <v>- Тишина Челлендж (бесплатная часть)</v>
      </c>
      <c r="G62" s="1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>
      <c r="A63" s="14" t="str">
        <f ca="1">IFERROR(__xludf.DUMMYFUNCTION("""COMPUTED_VALUE"""),"Ольга Дмитриева")</f>
        <v>Ольга Дмитриева</v>
      </c>
      <c r="B63" s="14" t="str">
        <f ca="1">IFERROR(__xludf.DUMMYFUNCTION("""COMPUTED_VALUE"""),"89601579629@mail.ru")</f>
        <v>89601579629@mail.ru</v>
      </c>
      <c r="C63" s="15" t="str">
        <f ca="1">IFERROR(__xludf.DUMMYFUNCTION("""COMPUTED_VALUE"""),"79601579629")</f>
        <v>79601579629</v>
      </c>
      <c r="D63" s="15" t="str">
        <f ca="1">IFERROR(__xludf.DUMMYFUNCTION("""COMPUTED_VALUE"""),"Россия")</f>
        <v>Россия</v>
      </c>
      <c r="E63" s="14"/>
      <c r="F63" s="8" t="str">
        <f ca="1">IFERROR(__xludf.DUMMYFUNCTION("""COMPUTED_VALUE"""),"- Ретрит в Сочи 17-25 июля 2022 (при оплате до 3 июля)")</f>
        <v>- Ретрит в Сочи 17-25 июля 2022 (при оплате до 3 июля)</v>
      </c>
      <c r="G63" s="1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>
      <c r="A64" s="14" t="str">
        <f ca="1">IFERROR(__xludf.DUMMYFUNCTION("""COMPUTED_VALUE"""),"Влад Плотников")</f>
        <v>Влад Плотников</v>
      </c>
      <c r="B64" s="14" t="str">
        <f ca="1">IFERROR(__xludf.DUMMYFUNCTION("""COMPUTED_VALUE"""),"89618829454@mail.ru")</f>
        <v>89618829454@mail.ru</v>
      </c>
      <c r="C64" s="15" t="str">
        <f ca="1">IFERROR(__xludf.DUMMYFUNCTION("""COMPUTED_VALUE"""),"+79136495842")</f>
        <v>+79136495842</v>
      </c>
      <c r="D64" s="15" t="str">
        <f ca="1">IFERROR(__xludf.DUMMYFUNCTION("""COMPUTED_VALUE"""),"Россия")</f>
        <v>Россия</v>
      </c>
      <c r="E64" s="14"/>
      <c r="F64" s="8" t="str">
        <f ca="1">IFERROR(__xludf.DUMMYFUNCTION("""COMPUTED_VALUE"""),"- Ретрит в РЦ Сочи май 2022 (Оплата до 17 апреля)")</f>
        <v>- Ретрит в РЦ Сочи май 2022 (Оплата до 17 апреля)</v>
      </c>
      <c r="G64" s="1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>
      <c r="A65" s="14" t="str">
        <f ca="1">IFERROR(__xludf.DUMMYFUNCTION("""COMPUTED_VALUE"""),"Александр Сорочинский")</f>
        <v>Александр Сорочинский</v>
      </c>
      <c r="B65" s="14" t="str">
        <f ca="1">IFERROR(__xludf.DUMMYFUNCTION("""COMPUTED_VALUE"""),"89659945484@mail.ru")</f>
        <v>89659945484@mail.ru</v>
      </c>
      <c r="C65" s="15" t="str">
        <f ca="1">IFERROR(__xludf.DUMMYFUNCTION("""COMPUTED_VALUE"""),"+79000097169")</f>
        <v>+79000097169</v>
      </c>
      <c r="D65" s="15" t="str">
        <f ca="1">IFERROR(__xludf.DUMMYFUNCTION("""COMPUTED_VALUE"""),"Россия")</f>
        <v>Россия</v>
      </c>
      <c r="E65" s="14"/>
      <c r="F65" s="8" t="str">
        <f ca="1">IFERROR(__xludf.DUMMYFUNCTION("""COMPUTED_VALUE"""),"-  встреча Космос внутри Сочи 5.3.2022")</f>
        <v>-  встреча Космос внутри Сочи 5.3.2022</v>
      </c>
      <c r="G65" s="1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>
      <c r="A66" s="14" t="str">
        <f ca="1">IFERROR(__xludf.DUMMYFUNCTION("""COMPUTED_VALUE"""),"Кристина Кристина")</f>
        <v>Кристина Кристина</v>
      </c>
      <c r="B66" s="14" t="str">
        <f ca="1">IFERROR(__xludf.DUMMYFUNCTION("""COMPUTED_VALUE"""),"8schastlivaya888@gmail.com")</f>
        <v>8schastlivaya888@gmail.com</v>
      </c>
      <c r="C66" s="15"/>
      <c r="D66" s="15" t="str">
        <f ca="1">IFERROR(__xludf.DUMMYFUNCTION("""COMPUTED_VALUE"""),"Швеция")</f>
        <v>Швеция</v>
      </c>
      <c r="E66" s="14"/>
      <c r="F66" s="8" t="str">
        <f ca="1">IFERROR(__xludf.DUMMYFUNCTION("""COMPUTED_VALUE"""),"- Тишина Челлендж (бесплатная часть)")</f>
        <v>- Тишина Челлендж (бесплатная часть)</v>
      </c>
      <c r="G66" s="1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>
      <c r="A67" s="14" t="str">
        <f ca="1">IFERROR(__xludf.DUMMYFUNCTION("""COMPUTED_VALUE"""),"8sonia73,  ")</f>
        <v xml:space="preserve">8sonia73,  </v>
      </c>
      <c r="B67" s="14" t="str">
        <f ca="1">IFERROR(__xludf.DUMMYFUNCTION("""COMPUTED_VALUE"""),"8sonia73@gmail.com")</f>
        <v>8sonia73@gmail.com</v>
      </c>
      <c r="C67" s="15"/>
      <c r="D67" s="15"/>
      <c r="E67" s="14"/>
      <c r="F67" s="8" t="str">
        <f ca="1">IFERROR(__xludf.DUMMYFUNCTION("""COMPUTED_VALUE"""),"- Практика Тишины общая платная")</f>
        <v>- Практика Тишины общая платная</v>
      </c>
      <c r="G67" s="1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>
      <c r="A68" s="14" t="str">
        <f ca="1">IFERROR(__xludf.DUMMYFUNCTION("""COMPUTED_VALUE"""),"Inna Bu")</f>
        <v>Inna Bu</v>
      </c>
      <c r="B68" s="14" t="str">
        <f ca="1">IFERROR(__xludf.DUMMYFUNCTION("""COMPUTED_VALUE"""),"9030602742@mail.ru")</f>
        <v>9030602742@mail.ru</v>
      </c>
      <c r="C68" s="15" t="str">
        <f ca="1">IFERROR(__xludf.DUMMYFUNCTION("""COMPUTED_VALUE"""),", 79625196788")</f>
        <v>, 79625196788</v>
      </c>
      <c r="D68" s="15" t="str">
        <f ca="1">IFERROR(__xludf.DUMMYFUNCTION("""COMPUTED_VALUE"""),"Россия")</f>
        <v>Россия</v>
      </c>
      <c r="E68" s="14"/>
      <c r="F68" s="8" t="str">
        <f ca="1">IFERROR(__xludf.DUMMYFUNCTION("""COMPUTED_VALUE"""),"Мероприятий не обнаружено")</f>
        <v>Мероприятий не обнаружено</v>
      </c>
      <c r="G68" s="1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>
      <c r="A69" s="14" t="str">
        <f ca="1">IFERROR(__xludf.DUMMYFUNCTION("""COMPUTED_VALUE"""),"Руслана Раевская")</f>
        <v>Руслана Раевская</v>
      </c>
      <c r="B69" s="14" t="str">
        <f ca="1">IFERROR(__xludf.DUMMYFUNCTION("""COMPUTED_VALUE"""),"9035000100@mail.ru")</f>
        <v>9035000100@mail.ru</v>
      </c>
      <c r="C69" s="15" t="str">
        <f ca="1">IFERROR(__xludf.DUMMYFUNCTION("""COMPUTED_VALUE"""),"79035000100")</f>
        <v>79035000100</v>
      </c>
      <c r="D69" s="15" t="str">
        <f ca="1">IFERROR(__xludf.DUMMYFUNCTION("""COMPUTED_VALUE"""),"Россия")</f>
        <v>Россия</v>
      </c>
      <c r="E69" s="14"/>
      <c r="F69" s="8" t="str">
        <f ca="1">IFERROR(__xludf.DUMMYFUNCTION("""COMPUTED_VALUE"""),"- Интенсив 15-17 апреля Москва")</f>
        <v>- Интенсив 15-17 апреля Москва</v>
      </c>
      <c r="G69" s="1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>
      <c r="A70" s="14" t="str">
        <f ca="1">IFERROR(__xludf.DUMMYFUNCTION("""COMPUTED_VALUE"""),"Елена Тарасова")</f>
        <v>Елена Тарасова</v>
      </c>
      <c r="B70" s="14" t="str">
        <f ca="1">IFERROR(__xludf.DUMMYFUNCTION("""COMPUTED_VALUE"""),"9210976718@mail.ru")</f>
        <v>9210976718@mail.ru</v>
      </c>
      <c r="C70" s="15" t="str">
        <f ca="1">IFERROR(__xludf.DUMMYFUNCTION("""COMPUTED_VALUE"""),"+79210976718")</f>
        <v>+79210976718</v>
      </c>
      <c r="D70" s="15" t="str">
        <f ca="1">IFERROR(__xludf.DUMMYFUNCTION("""COMPUTED_VALUE"""),"Россия")</f>
        <v>Россия</v>
      </c>
      <c r="E70" s="14"/>
      <c r="F70" s="8" t="str">
        <f ca="1">IFERROR(__xludf.DUMMYFUNCTION("""COMPUTED_VALUE"""),"- Тишина Челлендж (бесплатная часть)")</f>
        <v>- Тишина Челлендж (бесплатная часть)</v>
      </c>
      <c r="G70" s="1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5.5">
      <c r="A71" s="14" t="str">
        <f ca="1">IFERROR(__xludf.DUMMYFUNCTION("""COMPUTED_VALUE"""),"Александр Козлов")</f>
        <v>Александр Козлов</v>
      </c>
      <c r="B71" s="14" t="str">
        <f ca="1">IFERROR(__xludf.DUMMYFUNCTION("""COMPUTED_VALUE"""),"9250659075@mail.ru")</f>
        <v>9250659075@mail.ru</v>
      </c>
      <c r="C71" s="15" t="str">
        <f ca="1">IFERROR(__xludf.DUMMYFUNCTION("""COMPUTED_VALUE"""),"79250659075")</f>
        <v>79250659075</v>
      </c>
      <c r="D71" s="15" t="str">
        <f ca="1">IFERROR(__xludf.DUMMYFUNCTION("""COMPUTED_VALUE"""),"Рф")</f>
        <v>Рф</v>
      </c>
      <c r="E71" s="14"/>
      <c r="F71" s="8" t="str">
        <f ca="1">IFERROR(__xludf.DUMMYFUNCTION("""COMPUTED_VALUE"""),"- Тишина Челлендж (бесплатная часть)
- Вводный вебинар 3.5.22 на Шаг к Пробуждению")</f>
        <v>- Тишина Челлендж (бесплатная часть)
- Вводный вебинар 3.5.22 на Шаг к Пробуждению</v>
      </c>
      <c r="G71" s="1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5.5">
      <c r="A72" s="14" t="str">
        <f ca="1">IFERROR(__xludf.DUMMYFUNCTION("""COMPUTED_VALUE"""),"Надежда Коротовских")</f>
        <v>Надежда Коротовских</v>
      </c>
      <c r="B72" s="14" t="str">
        <f ca="1">IFERROR(__xludf.DUMMYFUNCTION("""COMPUTED_VALUE"""),"9620732@mail.ru")</f>
        <v>9620732@mail.ru</v>
      </c>
      <c r="C72" s="15" t="str">
        <f ca="1">IFERROR(__xludf.DUMMYFUNCTION("""COMPUTED_VALUE"""),"+79219620732")</f>
        <v>+79219620732</v>
      </c>
      <c r="D72" s="15" t="str">
        <f ca="1">IFERROR(__xludf.DUMMYFUNCTION("""COMPUTED_VALUE"""),"Дания")</f>
        <v>Дания</v>
      </c>
      <c r="E72" s="14"/>
      <c r="F72" s="8" t="str">
        <f ca="1">IFERROR(__xludf.DUMMYFUNCTION("""COMPUTED_VALUE"""),"- Интенсив 15-17 апреля Москва
- Интенсив 15-17 апреля Питер")</f>
        <v>- Интенсив 15-17 апреля Москва
- Интенсив 15-17 апреля Питер</v>
      </c>
      <c r="G72" s="1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>
      <c r="A73" s="14" t="str">
        <f ca="1">IFERROR(__xludf.DUMMYFUNCTION("""COMPUTED_VALUE"""),"Алексей Артемьев")</f>
        <v>Алексей Артемьев</v>
      </c>
      <c r="B73" s="14" t="str">
        <f ca="1">IFERROR(__xludf.DUMMYFUNCTION("""COMPUTED_VALUE"""),"97279@mail.ru")</f>
        <v>97279@mail.ru</v>
      </c>
      <c r="C73" s="15" t="str">
        <f ca="1">IFERROR(__xludf.DUMMYFUNCTION("""COMPUTED_VALUE"""),"+79221600505")</f>
        <v>+79221600505</v>
      </c>
      <c r="D73" s="15" t="str">
        <f ca="1">IFERROR(__xludf.DUMMYFUNCTION("""COMPUTED_VALUE"""),"Индонезия")</f>
        <v>Индонезия</v>
      </c>
      <c r="E73" s="14"/>
      <c r="F73" s="8" t="str">
        <f ca="1">IFERROR(__xludf.DUMMYFUNCTION("""COMPUTED_VALUE"""),"- Практика тишины Екатеринбург 18.2 2022")</f>
        <v>- Практика тишины Екатеринбург 18.2 2022</v>
      </c>
      <c r="G73" s="1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>
      <c r="A74" s="14" t="str">
        <f ca="1">IFERROR(__xludf.DUMMYFUNCTION("""COMPUTED_VALUE"""),"9944376en,  ")</f>
        <v xml:space="preserve">9944376en,  </v>
      </c>
      <c r="B74" s="14" t="str">
        <f ca="1">IFERROR(__xludf.DUMMYFUNCTION("""COMPUTED_VALUE"""),"9944376en@gmail.com")</f>
        <v>9944376en@gmail.com</v>
      </c>
      <c r="C74" s="15"/>
      <c r="D74" s="15"/>
      <c r="E74" s="14"/>
      <c r="F74" s="8" t="str">
        <f ca="1">IFERROR(__xludf.DUMMYFUNCTION("""COMPUTED_VALUE"""),"- Челлендж Тишины")</f>
        <v>- Челлендж Тишины</v>
      </c>
      <c r="G74" s="1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5.5">
      <c r="A75" s="14" t="str">
        <f ca="1">IFERROR(__xludf.DUMMYFUNCTION("""COMPUTED_VALUE"""),"Атаханова Луиза")</f>
        <v>Атаханова Луиза</v>
      </c>
      <c r="B75" s="14" t="str">
        <f ca="1">IFERROR(__xludf.DUMMYFUNCTION("""COMPUTED_VALUE"""),"998974151530@mail.ru")</f>
        <v>998974151530@mail.ru</v>
      </c>
      <c r="C75" s="15" t="str">
        <f ca="1">IFERROR(__xludf.DUMMYFUNCTION("""COMPUTED_VALUE"""),"+998911323266")</f>
        <v>+998911323266</v>
      </c>
      <c r="D75" s="15"/>
      <c r="E75" s="14"/>
      <c r="F7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75" s="1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5.5">
      <c r="A76" s="14" t="str">
        <f ca="1">IFERROR(__xludf.DUMMYFUNCTION("""COMPUTED_VALUE"""),"Айгерим Каир")</f>
        <v>Айгерим Каир</v>
      </c>
      <c r="B76" s="14" t="str">
        <f ca="1">IFERROR(__xludf.DUMMYFUNCTION("""COMPUTED_VALUE"""),"A_kairo@bk.ru")</f>
        <v>A_kairo@bk.ru</v>
      </c>
      <c r="C76" s="15" t="str">
        <f ca="1">IFERROR(__xludf.DUMMYFUNCTION("""COMPUTED_VALUE"""),"+77088001881")</f>
        <v>+77088001881</v>
      </c>
      <c r="D76" s="15" t="str">
        <f ca="1">IFERROR(__xludf.DUMMYFUNCTION("""COMPUTED_VALUE"""),"Казахстан")</f>
        <v>Казахстан</v>
      </c>
      <c r="E76" s="14"/>
      <c r="F7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76" s="1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>
      <c r="A77" s="14" t="str">
        <f ca="1">IFERROR(__xludf.DUMMYFUNCTION("""COMPUTED_VALUE"""),"Анастасия Раменская")</f>
        <v>Анастасия Раменская</v>
      </c>
      <c r="B77" s="14" t="str">
        <f ca="1">IFERROR(__xludf.DUMMYFUNCTION("""COMPUTED_VALUE"""),"A_y_t_A@mail.ru")</f>
        <v>A_y_t_A@mail.ru</v>
      </c>
      <c r="C77" s="15" t="str">
        <f ca="1">IFERROR(__xludf.DUMMYFUNCTION("""COMPUTED_VALUE"""),"79850813339")</f>
        <v>79850813339</v>
      </c>
      <c r="D77" s="15" t="str">
        <f ca="1">IFERROR(__xludf.DUMMYFUNCTION("""COMPUTED_VALUE"""),"РФ")</f>
        <v>РФ</v>
      </c>
      <c r="E77" s="14"/>
      <c r="F77" s="8" t="str">
        <f ca="1">IFERROR(__xludf.DUMMYFUNCTION("""COMPUTED_VALUE"""),"- Челлендж Тишины")</f>
        <v>- Челлендж Тишины</v>
      </c>
      <c r="G77" s="1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>
      <c r="A78" s="14" t="str">
        <f ca="1">IFERROR(__xludf.DUMMYFUNCTION("""COMPUTED_VALUE"""),"Антон Анучин")</f>
        <v>Антон Анучин</v>
      </c>
      <c r="B78" s="14" t="str">
        <f ca="1">IFERROR(__xludf.DUMMYFUNCTION("""COMPUTED_VALUE"""),"a.anton.b@gmail.com")</f>
        <v>a.anton.b@gmail.com</v>
      </c>
      <c r="C78" s="15" t="str">
        <f ca="1">IFERROR(__xludf.DUMMYFUNCTION("""COMPUTED_VALUE"""),"+79097979378")</f>
        <v>+79097979378</v>
      </c>
      <c r="D78" s="15" t="str">
        <f ca="1">IFERROR(__xludf.DUMMYFUNCTION("""COMPUTED_VALUE"""),"Россия")</f>
        <v>Россия</v>
      </c>
      <c r="E78" s="14" t="str">
        <f ca="1">IFERROR(__xludf.DUMMYFUNCTION("""COMPUTED_VALUE"""),"@k00mar")</f>
        <v>@k00mar</v>
      </c>
      <c r="F78" s="8" t="str">
        <f ca="1">IFERROR(__xludf.DUMMYFUNCTION("""COMPUTED_VALUE"""),"- Клуб пробуждения Друзья (2 уровень) - 1 месяц")</f>
        <v>- Клуб пробуждения Друзья (2 уровень) - 1 месяц</v>
      </c>
      <c r="G78" s="1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>
      <c r="A79" s="14" t="str">
        <f ca="1">IFERROR(__xludf.DUMMYFUNCTION("""COMPUTED_VALUE"""),"Алексей Десятников")</f>
        <v>Алексей Десятников</v>
      </c>
      <c r="B79" s="14" t="str">
        <f ca="1">IFERROR(__xludf.DUMMYFUNCTION("""COMPUTED_VALUE"""),"a.desyatnikov91@gmail.com")</f>
        <v>a.desyatnikov91@gmail.com</v>
      </c>
      <c r="C79" s="15" t="str">
        <f ca="1">IFERROR(__xludf.DUMMYFUNCTION("""COMPUTED_VALUE"""),"+79785622585")</f>
        <v>+79785622585</v>
      </c>
      <c r="D79" s="15" t="str">
        <f ca="1">IFERROR(__xludf.DUMMYFUNCTION("""COMPUTED_VALUE"""),"Россия")</f>
        <v>Россия</v>
      </c>
      <c r="E79" s="14"/>
      <c r="F79" s="8" t="str">
        <f ca="1">IFERROR(__xludf.DUMMYFUNCTION("""COMPUTED_VALUE"""),"- Вводный вебинар 3.5.22 на Шаг к Пробуждению")</f>
        <v>- Вводный вебинар 3.5.22 на Шаг к Пробуждению</v>
      </c>
      <c r="G79" s="1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>
      <c r="A80" s="14" t="str">
        <f ca="1">IFERROR(__xludf.DUMMYFUNCTION("""COMPUTED_VALUE"""),"Саша Колдоркина")</f>
        <v>Саша Колдоркина</v>
      </c>
      <c r="B80" s="14" t="str">
        <f ca="1">IFERROR(__xludf.DUMMYFUNCTION("""COMPUTED_VALUE"""),"a.koldorkina@gmail.com")</f>
        <v>a.koldorkina@gmail.com</v>
      </c>
      <c r="C80" s="15"/>
      <c r="D80" s="15" t="str">
        <f ca="1">IFERROR(__xludf.DUMMYFUNCTION("""COMPUTED_VALUE"""),"Финляндия")</f>
        <v>Финляндия</v>
      </c>
      <c r="E80" s="14"/>
      <c r="F80" s="8" t="str">
        <f ca="1">IFERROR(__xludf.DUMMYFUNCTION("""COMPUTED_VALUE"""),"- Тишина Челлендж (бесплатная часть)")</f>
        <v>- Тишина Челлендж (бесплатная часть)</v>
      </c>
      <c r="G80" s="1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8.25">
      <c r="A81" s="14" t="str">
        <f ca="1">IFERROR(__xludf.DUMMYFUNCTION("""COMPUTED_VALUE"""),"Анастасия Квартальнова")</f>
        <v>Анастасия Квартальнова</v>
      </c>
      <c r="B81" s="14" t="str">
        <f ca="1">IFERROR(__xludf.DUMMYFUNCTION("""COMPUTED_VALUE"""),"a.kvartalnova@yandex.ru")</f>
        <v>a.kvartalnova@yandex.ru</v>
      </c>
      <c r="C81" s="15" t="str">
        <f ca="1">IFERROR(__xludf.DUMMYFUNCTION("""COMPUTED_VALUE"""),"+79119258928")</f>
        <v>+79119258928</v>
      </c>
      <c r="D81" s="15" t="str">
        <f ca="1">IFERROR(__xludf.DUMMYFUNCTION("""COMPUTED_VALUE"""),"Россия")</f>
        <v>Россия</v>
      </c>
      <c r="E81" s="14"/>
      <c r="F81" s="8" t="str">
        <f ca="1">IFERROR(__xludf.DUMMYFUNCTION("""COMPUTED_VALUE"""),"- Однодневный ретрит Россия 14 мая 2022
- Практика Тишины общая платная
- Городской интенсив Санкт-Петербург 27-29.05.2022")</f>
        <v>- Однодневный ретрит Россия 14 мая 2022
- Практика Тишины общая платная
- Городской интенсив Санкт-Петербург 27-29.05.2022</v>
      </c>
      <c r="G81" s="1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>
      <c r="A82" s="14" t="str">
        <f ca="1">IFERROR(__xludf.DUMMYFUNCTION("""COMPUTED_VALUE"""),"Aizhan Soul")</f>
        <v>Aizhan Soul</v>
      </c>
      <c r="B82" s="14" t="str">
        <f ca="1">IFERROR(__xludf.DUMMYFUNCTION("""COMPUTED_VALUE"""),"a.rivelote@gmail.com")</f>
        <v>a.rivelote@gmail.com</v>
      </c>
      <c r="C82" s="15"/>
      <c r="D82" s="15" t="str">
        <f ca="1">IFERROR(__xludf.DUMMYFUNCTION("""COMPUTED_VALUE"""),"Швеция")</f>
        <v>Швеция</v>
      </c>
      <c r="E82" s="14"/>
      <c r="F82" s="8" t="str">
        <f ca="1">IFERROR(__xludf.DUMMYFUNCTION("""COMPUTED_VALUE"""),"- Тишина Челлендж (бесплатная часть)")</f>
        <v>- Тишина Челлендж (бесплатная часть)</v>
      </c>
      <c r="G82" s="1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>
      <c r="A83" s="14" t="str">
        <f ca="1">IFERROR(__xludf.DUMMYFUNCTION("""COMPUTED_VALUE"""),"Анастасия Смирнова")</f>
        <v>Анастасия Смирнова</v>
      </c>
      <c r="B83" s="14" t="str">
        <f ca="1">IFERROR(__xludf.DUMMYFUNCTION("""COMPUTED_VALUE"""),"a.smirnovaworld@mail.ru")</f>
        <v>a.smirnovaworld@mail.ru</v>
      </c>
      <c r="C83" s="15" t="str">
        <f ca="1">IFERROR(__xludf.DUMMYFUNCTION("""COMPUTED_VALUE"""),"+79282458488")</f>
        <v>+79282458488</v>
      </c>
      <c r="D83" s="15" t="str">
        <f ca="1">IFERROR(__xludf.DUMMYFUNCTION("""COMPUTED_VALUE"""),"Россия")</f>
        <v>Россия</v>
      </c>
      <c r="E83" s="14"/>
      <c r="F83" s="8" t="str">
        <f ca="1">IFERROR(__xludf.DUMMYFUNCTION("""COMPUTED_VALUE"""),"-  встреча Космос внутри Сочи 5.3.2022")</f>
        <v>-  встреча Космос внутри Сочи 5.3.2022</v>
      </c>
      <c r="G83" s="1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5.5">
      <c r="A84" s="14" t="str">
        <f ca="1">IFERROR(__xludf.DUMMYFUNCTION("""COMPUTED_VALUE"""),"Александра Водовская")</f>
        <v>Александра Водовская</v>
      </c>
      <c r="B84" s="14" t="str">
        <f ca="1">IFERROR(__xludf.DUMMYFUNCTION("""COMPUTED_VALUE"""),"a.v.vodovskaya@gmail.com")</f>
        <v>a.v.vodovskaya@gmail.com</v>
      </c>
      <c r="C84" s="15" t="str">
        <f ca="1">IFERROR(__xludf.DUMMYFUNCTION("""COMPUTED_VALUE"""),"998909270462")</f>
        <v>998909270462</v>
      </c>
      <c r="D84" s="15"/>
      <c r="E84" s="14"/>
      <c r="F8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84" s="1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>
      <c r="A85" s="14" t="str">
        <f ca="1">IFERROR(__xludf.DUMMYFUNCTION("""COMPUTED_VALUE""")," ")</f>
        <v xml:space="preserve"> </v>
      </c>
      <c r="B85" s="14" t="str">
        <f ca="1">IFERROR(__xludf.DUMMYFUNCTION("""COMPUTED_VALUE"""),"a@gmail.com")</f>
        <v>a@gmail.com</v>
      </c>
      <c r="C85" s="15"/>
      <c r="D85" s="15"/>
      <c r="E85" s="14"/>
      <c r="F85" s="8" t="str">
        <f ca="1">IFERROR(__xludf.DUMMYFUNCTION("""COMPUTED_VALUE"""),"Мероприятий не обнаружено")</f>
        <v>Мероприятий не обнаружено</v>
      </c>
      <c r="G85" s="1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38.25">
      <c r="A86" s="14" t="str">
        <f ca="1">IFERROR(__xludf.DUMMYFUNCTION("""COMPUTED_VALUE"""),"Анна Белая")</f>
        <v>Анна Белая</v>
      </c>
      <c r="B86" s="14" t="str">
        <f ca="1">IFERROR(__xludf.DUMMYFUNCTION("""COMPUTED_VALUE"""),"a1153355@yandex.ru")</f>
        <v>a1153355@yandex.ru</v>
      </c>
      <c r="C86" s="15" t="str">
        <f ca="1">IFERROR(__xludf.DUMMYFUNCTION("""COMPUTED_VALUE"""),"79150953355")</f>
        <v>79150953355</v>
      </c>
      <c r="D86" s="15" t="str">
        <f ca="1">IFERROR(__xludf.DUMMYFUNCTION("""COMPUTED_VALUE"""),"Россия")</f>
        <v>Россия</v>
      </c>
      <c r="E86" s="14"/>
      <c r="F86" s="8" t="str">
        <f ca="1">IFERROR(__xludf.DUMMYFUNCTION("""COMPUTED_VALUE"""),"- Марафон Тишины - Тишина челлендж: Урал, Казахстан, Узбекистан 25-29.04.2022
- Однодневный ретрит Россия 14 мая 2022")</f>
        <v>- Марафон Тишины - Тишина челлендж: Урал, Казахстан, Узбекистан 25-29.04.2022
- Однодневный ретрит Россия 14 мая 2022</v>
      </c>
      <c r="G86" s="1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5.5">
      <c r="A87" s="14" t="str">
        <f ca="1">IFERROR(__xludf.DUMMYFUNCTION("""COMPUTED_VALUE"""),"Айгерим Акишева")</f>
        <v>Айгерим Акишева</v>
      </c>
      <c r="B87" s="14" t="str">
        <f ca="1">IFERROR(__xludf.DUMMYFUNCTION("""COMPUTED_VALUE"""),"Aakiseva@gmail.com")</f>
        <v>Aakiseva@gmail.com</v>
      </c>
      <c r="C87" s="15" t="str">
        <f ca="1">IFERROR(__xludf.DUMMYFUNCTION("""COMPUTED_VALUE"""),"+77004282868")</f>
        <v>+77004282868</v>
      </c>
      <c r="D87" s="15"/>
      <c r="E87" s="14"/>
      <c r="F8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87" s="1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>
      <c r="A88" s="14" t="str">
        <f ca="1">IFERROR(__xludf.DUMMYFUNCTION("""COMPUTED_VALUE"""),"Аида Байгалиева")</f>
        <v>Аида Байгалиева</v>
      </c>
      <c r="B88" s="14" t="str">
        <f ca="1">IFERROR(__xludf.DUMMYFUNCTION("""COMPUTED_VALUE"""),"ab.baigali@gmail.com")</f>
        <v>ab.baigali@gmail.com</v>
      </c>
      <c r="C88" s="15"/>
      <c r="D88" s="15" t="str">
        <f ca="1">IFERROR(__xludf.DUMMYFUNCTION("""COMPUTED_VALUE"""),"Швеция")</f>
        <v>Швеция</v>
      </c>
      <c r="E88" s="14"/>
      <c r="F88" s="8" t="str">
        <f ca="1">IFERROR(__xludf.DUMMYFUNCTION("""COMPUTED_VALUE"""),"- Тишина Челлендж (бесплатная часть)")</f>
        <v>- Тишина Челлендж (бесплатная часть)</v>
      </c>
      <c r="G88" s="1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>
      <c r="A89" s="14" t="str">
        <f ca="1">IFERROR(__xludf.DUMMYFUNCTION("""COMPUTED_VALUE"""),"Гулшода Пулатова")</f>
        <v>Гулшода Пулатова</v>
      </c>
      <c r="B89" s="14" t="str">
        <f ca="1">IFERROR(__xludf.DUMMYFUNCTION("""COMPUTED_VALUE"""),"abdboriys@gmail.ru")</f>
        <v>abdboriys@gmail.ru</v>
      </c>
      <c r="C89" s="15" t="str">
        <f ca="1">IFERROR(__xludf.DUMMYFUNCTION("""COMPUTED_VALUE"""),", +998882731877")</f>
        <v>, +998882731877</v>
      </c>
      <c r="D89" s="15"/>
      <c r="E89" s="14"/>
      <c r="F89" s="8" t="str">
        <f ca="1">IFERROR(__xludf.DUMMYFUNCTION("""COMPUTED_VALUE"""),"Мероприятий не обнаружено")</f>
        <v>Мероприятий не обнаружено</v>
      </c>
      <c r="G89" s="1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5.5">
      <c r="A90" s="14" t="str">
        <f ca="1">IFERROR(__xludf.DUMMYFUNCTION("""COMPUTED_VALUE"""),"Nargiza Abdullayeva")</f>
        <v>Nargiza Abdullayeva</v>
      </c>
      <c r="B90" s="14" t="str">
        <f ca="1">IFERROR(__xludf.DUMMYFUNCTION("""COMPUTED_VALUE"""),"abdullayevanargiza1289@gmail.com")</f>
        <v>abdullayevanargiza1289@gmail.com</v>
      </c>
      <c r="C90" s="15" t="str">
        <f ca="1">IFERROR(__xludf.DUMMYFUNCTION("""COMPUTED_VALUE"""),"971416474")</f>
        <v>971416474</v>
      </c>
      <c r="D90" s="15"/>
      <c r="E90" s="14"/>
      <c r="F9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90" s="1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>
      <c r="A91" s="14" t="str">
        <f ca="1">IFERROR(__xludf.DUMMYFUNCTION("""COMPUTED_VALUE"""),"Ольга Федотоаа")</f>
        <v>Ольга Федотоаа</v>
      </c>
      <c r="B91" s="14" t="str">
        <f ca="1">IFERROR(__xludf.DUMMYFUNCTION("""COMPUTED_VALUE"""),"abeceda.balkan@gmail.com")</f>
        <v>abeceda.balkan@gmail.com</v>
      </c>
      <c r="C91" s="15" t="str">
        <f ca="1">IFERROR(__xludf.DUMMYFUNCTION("""COMPUTED_VALUE"""),"+38269109516")</f>
        <v>+38269109516</v>
      </c>
      <c r="D91" s="15" t="str">
        <f ca="1">IFERROR(__xludf.DUMMYFUNCTION("""COMPUTED_VALUE"""),"Черногория")</f>
        <v>Черногория</v>
      </c>
      <c r="E91" s="14"/>
      <c r="F91" s="8" t="str">
        <f ca="1">IFERROR(__xludf.DUMMYFUNCTION("""COMPUTED_VALUE"""),"- Мастер-класс ""Скульптура и Керамика""")</f>
        <v>- Мастер-класс "Скульптура и Керамика"</v>
      </c>
      <c r="G91" s="1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5.5">
      <c r="A92" s="14" t="str">
        <f ca="1">IFERROR(__xludf.DUMMYFUNCTION("""COMPUTED_VALUE"""),"Алена Белеевская")</f>
        <v>Алена Белеевская</v>
      </c>
      <c r="B92" s="14" t="str">
        <f ca="1">IFERROR(__xludf.DUMMYFUNCTION("""COMPUTED_VALUE"""),"abeleevskaya@yandex.ru")</f>
        <v>abeleevskaya@yandex.ru</v>
      </c>
      <c r="C92" s="15" t="str">
        <f ca="1">IFERROR(__xludf.DUMMYFUNCTION("""COMPUTED_VALUE"""),"+9039694236")</f>
        <v>+9039694236</v>
      </c>
      <c r="D92" s="15" t="str">
        <f ca="1">IFERROR(__xludf.DUMMYFUNCTION("""COMPUTED_VALUE"""),"Чехия")</f>
        <v>Чехия</v>
      </c>
      <c r="E92" s="14"/>
      <c r="F92" s="8" t="str">
        <f ca="1">IFERROR(__xludf.DUMMYFUNCTION("""COMPUTED_VALUE"""),"- Онлайн курс Шаг к Пробуждению №17 29.03-16.4.22 Пакет ""Проводники света""")</f>
        <v>- Онлайн курс Шаг к Пробуждению №17 29.03-16.4.22 Пакет "Проводники света"</v>
      </c>
      <c r="G92" s="1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>
      <c r="A93" s="14" t="str">
        <f ca="1">IFERROR(__xludf.DUMMYFUNCTION("""COMPUTED_VALUE"""),"Alişa Abil")</f>
        <v>Alişa Abil</v>
      </c>
      <c r="B93" s="14" t="str">
        <f ca="1">IFERROR(__xludf.DUMMYFUNCTION("""COMPUTED_VALUE"""),"abilaliya4@gmail.com")</f>
        <v>abilaliya4@gmail.com</v>
      </c>
      <c r="C93" s="15"/>
      <c r="D93" s="15" t="str">
        <f ca="1">IFERROR(__xludf.DUMMYFUNCTION("""COMPUTED_VALUE"""),"Турция")</f>
        <v>Турция</v>
      </c>
      <c r="E93" s="14"/>
      <c r="F93" s="8" t="str">
        <f ca="1">IFERROR(__xludf.DUMMYFUNCTION("""COMPUTED_VALUE"""),"- Тишина Челлендж (бесплатная часть)")</f>
        <v>- Тишина Челлендж (бесплатная часть)</v>
      </c>
      <c r="G93" s="1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>
      <c r="A94" s="14" t="str">
        <f ca="1">IFERROR(__xludf.DUMMYFUNCTION("""COMPUTED_VALUE"""),"Анна Абрамкина")</f>
        <v>Анна Абрамкина</v>
      </c>
      <c r="B94" s="14" t="str">
        <f ca="1">IFERROR(__xludf.DUMMYFUNCTION("""COMPUTED_VALUE"""),"abramkinaa@mail.ru")</f>
        <v>abramkinaa@mail.ru</v>
      </c>
      <c r="C94" s="15" t="str">
        <f ca="1">IFERROR(__xludf.DUMMYFUNCTION("""COMPUTED_VALUE"""),"79262229771")</f>
        <v>79262229771</v>
      </c>
      <c r="D94" s="15" t="str">
        <f ca="1">IFERROR(__xludf.DUMMYFUNCTION("""COMPUTED_VALUE"""),"США")</f>
        <v>США</v>
      </c>
      <c r="E94" s="14"/>
      <c r="F94" s="8" t="str">
        <f ca="1">IFERROR(__xludf.DUMMYFUNCTION("""COMPUTED_VALUE"""),"- Ретрит в РЦ Сочи май 2022  (Оплата с 18 до 29 апреля)")</f>
        <v>- Ретрит в РЦ Сочи май 2022  (Оплата с 18 до 29 апреля)</v>
      </c>
      <c r="G94" s="1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>
      <c r="A95" s="14" t="str">
        <f ca="1">IFERROR(__xludf.DUMMYFUNCTION("""COMPUTED_VALUE"""),"Абубакар Туршаев")</f>
        <v>Абубакар Туршаев</v>
      </c>
      <c r="B95" s="14" t="str">
        <f ca="1">IFERROR(__xludf.DUMMYFUNCTION("""COMPUTED_VALUE"""),"abubakarturshaev@gmail.com")</f>
        <v>abubakarturshaev@gmail.com</v>
      </c>
      <c r="C95" s="15" t="str">
        <f ca="1">IFERROR(__xludf.DUMMYFUNCTION("""COMPUTED_VALUE"""),"+79171829682")</f>
        <v>+79171829682</v>
      </c>
      <c r="D95" s="15" t="str">
        <f ca="1">IFERROR(__xludf.DUMMYFUNCTION("""COMPUTED_VALUE"""),"США")</f>
        <v>США</v>
      </c>
      <c r="E95" s="14"/>
      <c r="F95" s="8" t="str">
        <f ca="1">IFERROR(__xludf.DUMMYFUNCTION("""COMPUTED_VALUE"""),"- Вводный вебинар 3.5.22 на Шаг к Пробуждению")</f>
        <v>- Вводный вебинар 3.5.22 на Шаг к Пробуждению</v>
      </c>
      <c r="G95" s="1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>
      <c r="A96" s="14" t="str">
        <f ca="1">IFERROR(__xludf.DUMMYFUNCTION("""COMPUTED_VALUE"""),"Андрей Айзберг")</f>
        <v>Андрей Айзберг</v>
      </c>
      <c r="B96" s="14" t="str">
        <f ca="1">IFERROR(__xludf.DUMMYFUNCTION("""COMPUTED_VALUE"""),"AdamBlackRazord@mail.ru")</f>
        <v>AdamBlackRazord@mail.ru</v>
      </c>
      <c r="C96" s="15"/>
      <c r="D96" s="15" t="str">
        <f ca="1">IFERROR(__xludf.DUMMYFUNCTION("""COMPUTED_VALUE"""),"Беларусь")</f>
        <v>Беларусь</v>
      </c>
      <c r="E96" s="14"/>
      <c r="F96" s="8" t="str">
        <f ca="1">IFERROR(__xludf.DUMMYFUNCTION("""COMPUTED_VALUE"""),"- Базовая бесплатная часть")</f>
        <v>- Базовая бесплатная часть</v>
      </c>
      <c r="G96" s="1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5.5">
      <c r="A97" s="14" t="str">
        <f ca="1">IFERROR(__xludf.DUMMYFUNCTION("""COMPUTED_VALUE"""),"Adel Usmanova")</f>
        <v>Adel Usmanova</v>
      </c>
      <c r="B97" s="14" t="str">
        <f ca="1">IFERROR(__xludf.DUMMYFUNCTION("""COMPUTED_VALUE"""),"Adelya4usmanova@gmail.com")</f>
        <v>Adelya4usmanova@gmail.com</v>
      </c>
      <c r="C97" s="15" t="str">
        <f ca="1">IFERROR(__xludf.DUMMYFUNCTION("""COMPUTED_VALUE"""),"+998903214332")</f>
        <v>+998903214332</v>
      </c>
      <c r="D97" s="15"/>
      <c r="E97" s="14"/>
      <c r="F9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97" s="1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>
      <c r="A98" s="14" t="str">
        <f ca="1">IFERROR(__xludf.DUMMYFUNCTION("""COMPUTED_VALUE"""),"Ляззат АДИЛБАЙКЫЗЫ")</f>
        <v>Ляззат АДИЛБАЙКЫЗЫ</v>
      </c>
      <c r="B98" s="14" t="str">
        <f ca="1">IFERROR(__xludf.DUMMYFUNCTION("""COMPUTED_VALUE"""),"Adilbaikyzy.777@mail.ru")</f>
        <v>Adilbaikyzy.777@mail.ru</v>
      </c>
      <c r="C98" s="15"/>
      <c r="D98" s="15" t="str">
        <f ca="1">IFERROR(__xludf.DUMMYFUNCTION("""COMPUTED_VALUE"""),"Швеция")</f>
        <v>Швеция</v>
      </c>
      <c r="E98" s="14"/>
      <c r="F98" s="8" t="str">
        <f ca="1">IFERROR(__xludf.DUMMYFUNCTION("""COMPUTED_VALUE"""),"- Тишина Челлендж (бесплатная часть)")</f>
        <v>- Тишина Челлендж (бесплатная часть)</v>
      </c>
      <c r="G98" s="1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5.5">
      <c r="A99" s="14" t="str">
        <f ca="1">IFERROR(__xludf.DUMMYFUNCTION("""COMPUTED_VALUE"""),"Гульноза Ирматова")</f>
        <v>Гульноза Ирматова</v>
      </c>
      <c r="B99" s="14" t="str">
        <f ca="1">IFERROR(__xludf.DUMMYFUNCTION("""COMPUTED_VALUE"""),"Adisey25@mail.ru")</f>
        <v>Adisey25@mail.ru</v>
      </c>
      <c r="C99" s="15" t="str">
        <f ca="1">IFERROR(__xludf.DUMMYFUNCTION("""COMPUTED_VALUE"""),"+998945895522")</f>
        <v>+998945895522</v>
      </c>
      <c r="D99" s="15"/>
      <c r="E99" s="14"/>
      <c r="F9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99" s="1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>
      <c r="A100" s="14" t="str">
        <f ca="1">IFERROR(__xludf.DUMMYFUNCTION("""COMPUTED_VALUE"""),"Adiya A")</f>
        <v>Adiya A</v>
      </c>
      <c r="B100" s="14" t="str">
        <f ca="1">IFERROR(__xludf.DUMMYFUNCTION("""COMPUTED_VALUE"""),"adiusha07@mail.ru")</f>
        <v>adiusha07@mail.ru</v>
      </c>
      <c r="C100" s="15"/>
      <c r="D100" s="15" t="str">
        <f ca="1">IFERROR(__xludf.DUMMYFUNCTION("""COMPUTED_VALUE"""),"Швеция")</f>
        <v>Швеция</v>
      </c>
      <c r="E100" s="14"/>
      <c r="F100" s="8" t="str">
        <f ca="1">IFERROR(__xludf.DUMMYFUNCTION("""COMPUTED_VALUE"""),"- Тишина Челлендж (бесплатная часть)")</f>
        <v>- Тишина Челлендж (бесплатная часть)</v>
      </c>
      <c r="G100" s="1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>
      <c r="A101" s="14" t="str">
        <f ca="1">IFERROR(__xludf.DUMMYFUNCTION("""COMPUTED_VALUE"""),"Александр Андреев")</f>
        <v>Александр Андреев</v>
      </c>
      <c r="B101" s="14" t="str">
        <f ca="1">IFERROR(__xludf.DUMMYFUNCTION("""COMPUTED_VALUE"""),"aeks-1@mail.ru")</f>
        <v>aeks-1@mail.ru</v>
      </c>
      <c r="C101" s="15" t="str">
        <f ca="1">IFERROR(__xludf.DUMMYFUNCTION("""COMPUTED_VALUE"""),"+79819583746")</f>
        <v>+79819583746</v>
      </c>
      <c r="D101" s="15" t="str">
        <f ca="1">IFERROR(__xludf.DUMMYFUNCTION("""COMPUTED_VALUE"""),"Россия")</f>
        <v>Россия</v>
      </c>
      <c r="E101" s="14"/>
      <c r="F101" s="8" t="str">
        <f ca="1">IFERROR(__xludf.DUMMYFUNCTION("""COMPUTED_VALUE"""),"- Тишина Челлендж (бесплатная часть)")</f>
        <v>- Тишина Челлендж (бесплатная часть)</v>
      </c>
      <c r="G101" s="1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>
      <c r="A102" s="14" t="str">
        <f ca="1">IFERROR(__xludf.DUMMYFUNCTION("""COMPUTED_VALUE"""),"Соня Риччи")</f>
        <v>Соня Риччи</v>
      </c>
      <c r="B102" s="14" t="str">
        <f ca="1">IFERROR(__xludf.DUMMYFUNCTION("""COMPUTED_VALUE"""),"Aeroslitos@gmail.com")</f>
        <v>Aeroslitos@gmail.com</v>
      </c>
      <c r="C102" s="15" t="str">
        <f ca="1">IFERROR(__xludf.DUMMYFUNCTION("""COMPUTED_VALUE"""),"79002803158")</f>
        <v>79002803158</v>
      </c>
      <c r="D102" s="15" t="str">
        <f ca="1">IFERROR(__xludf.DUMMYFUNCTION("""COMPUTED_VALUE"""),"Россия")</f>
        <v>Россия</v>
      </c>
      <c r="E102" s="14"/>
      <c r="F102" s="8" t="str">
        <f ca="1">IFERROR(__xludf.DUMMYFUNCTION("""COMPUTED_VALUE"""),"- Тишина Челлендж (бесплатная часть)")</f>
        <v>- Тишина Челлендж (бесплатная часть)</v>
      </c>
      <c r="G102" s="1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>
      <c r="A103" s="14" t="str">
        <f ca="1">IFERROR(__xludf.DUMMYFUNCTION("""COMPUTED_VALUE"""),"Юлия Афанасенкова")</f>
        <v>Юлия Афанасенкова</v>
      </c>
      <c r="B103" s="14" t="str">
        <f ca="1">IFERROR(__xludf.DUMMYFUNCTION("""COMPUTED_VALUE"""),"afanasenkova20@mail.ru")</f>
        <v>afanasenkova20@mail.ru</v>
      </c>
      <c r="C103" s="15" t="str">
        <f ca="1">IFERROR(__xludf.DUMMYFUNCTION("""COMPUTED_VALUE"""),"+79219669995")</f>
        <v>+79219669995</v>
      </c>
      <c r="D103" s="15" t="str">
        <f ca="1">IFERROR(__xludf.DUMMYFUNCTION("""COMPUTED_VALUE"""),"США")</f>
        <v>США</v>
      </c>
      <c r="E103" s="14"/>
      <c r="F103" s="8" t="str">
        <f ca="1">IFERROR(__xludf.DUMMYFUNCTION("""COMPUTED_VALUE"""),"- Тишина Челлендж (бесплатная часть)")</f>
        <v>- Тишина Челлендж (бесплатная часть)</v>
      </c>
      <c r="G103" s="1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>
      <c r="A104" s="14" t="str">
        <f ca="1">IFERROR(__xludf.DUMMYFUNCTION("""COMPUTED_VALUE"""),"Антонида, Антонида ")</f>
        <v xml:space="preserve">Антонида, Антонида </v>
      </c>
      <c r="B104" s="14" t="str">
        <f ca="1">IFERROR(__xludf.DUMMYFUNCTION("""COMPUTED_VALUE"""),"AFATKINA2010@LIST.RU")</f>
        <v>AFATKINA2010@LIST.RU</v>
      </c>
      <c r="C104" s="15" t="str">
        <f ca="1">IFERROR(__xludf.DUMMYFUNCTION("""COMPUTED_VALUE"""),"79241617858")</f>
        <v>79241617858</v>
      </c>
      <c r="D104" s="15" t="str">
        <f ca="1">IFERROR(__xludf.DUMMYFUNCTION("""COMPUTED_VALUE"""),"Россия")</f>
        <v>Россия</v>
      </c>
      <c r="E104" s="14"/>
      <c r="F104" s="8" t="str">
        <f ca="1">IFERROR(__xludf.DUMMYFUNCTION("""COMPUTED_VALUE"""),"- Челлендж Тишины")</f>
        <v>- Челлендж Тишины</v>
      </c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>
      <c r="A105" s="14" t="str">
        <f ca="1">IFERROR(__xludf.DUMMYFUNCTION("""COMPUTED_VALUE"""),"Эльнара Алекперова")</f>
        <v>Эльнара Алекперова</v>
      </c>
      <c r="B105" s="14" t="str">
        <f ca="1">IFERROR(__xludf.DUMMYFUNCTION("""COMPUTED_VALUE"""),"afrodita190585@mail.ru")</f>
        <v>afrodita190585@mail.ru</v>
      </c>
      <c r="C105" s="15"/>
      <c r="D105" s="15" t="str">
        <f ca="1">IFERROR(__xludf.DUMMYFUNCTION("""COMPUTED_VALUE"""),"Швеция")</f>
        <v>Швеция</v>
      </c>
      <c r="E105" s="14"/>
      <c r="F105" s="8" t="str">
        <f ca="1">IFERROR(__xludf.DUMMYFUNCTION("""COMPUTED_VALUE"""),"- Тишина Челлендж (бесплатная часть)")</f>
        <v>- Тишина Челлендж (бесплатная часть)</v>
      </c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>
      <c r="A106" s="14" t="str">
        <f ca="1">IFERROR(__xludf.DUMMYFUNCTION("""COMPUTED_VALUE"""),"Гулрух Мамараимова")</f>
        <v>Гулрух Мамараимова</v>
      </c>
      <c r="B106" s="14" t="str">
        <f ca="1">IFERROR(__xludf.DUMMYFUNCTION("""COMPUTED_VALUE"""),"Afrosiyob1551@mail.ru")</f>
        <v>Afrosiyob1551@mail.ru</v>
      </c>
      <c r="C106" s="15" t="str">
        <f ca="1">IFERROR(__xludf.DUMMYFUNCTION("""COMPUTED_VALUE"""),", 998900040062")</f>
        <v>, 998900040062</v>
      </c>
      <c r="D106" s="15"/>
      <c r="E106" s="14"/>
      <c r="F106" s="8" t="str">
        <f ca="1">IFERROR(__xludf.DUMMYFUNCTION("""COMPUTED_VALUE"""),"Мероприятий не обнаружено")</f>
        <v>Мероприятий не обнаружено</v>
      </c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>
      <c r="A107" s="14" t="str">
        <f ca="1">IFERROR(__xludf.DUMMYFUNCTION("""COMPUTED_VALUE"""),"agappe2013,  ")</f>
        <v xml:space="preserve">agappe2013,  </v>
      </c>
      <c r="B107" s="14" t="str">
        <f ca="1">IFERROR(__xludf.DUMMYFUNCTION("""COMPUTED_VALUE"""),"agappe2013@gmail.com")</f>
        <v>agappe2013@gmail.com</v>
      </c>
      <c r="C107" s="15"/>
      <c r="D107" s="15"/>
      <c r="E107" s="14"/>
      <c r="F107" s="8" t="str">
        <f ca="1">IFERROR(__xludf.DUMMYFUNCTION("""COMPUTED_VALUE"""),"- Челлендж Тишины")</f>
        <v>- Челлендж Тишины</v>
      </c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38.25">
      <c r="A108" s="14" t="str">
        <f ca="1">IFERROR(__xludf.DUMMYFUNCTION("""COMPUTED_VALUE"""),"Aigerim Shakenova")</f>
        <v>Aigerim Shakenova</v>
      </c>
      <c r="B108" s="14" t="str">
        <f ca="1">IFERROR(__xludf.DUMMYFUNCTION("""COMPUTED_VALUE"""),"Agishakenova@gmail.com")</f>
        <v>Agishakenova@gmail.com</v>
      </c>
      <c r="C108" s="15" t="str">
        <f ca="1">IFERROR(__xludf.DUMMYFUNCTION("""COMPUTED_VALUE"""),"+77475556050")</f>
        <v>+77475556050</v>
      </c>
      <c r="D108" s="15" t="str">
        <f ca="1">IFERROR(__xludf.DUMMYFUNCTION("""COMPUTED_VALUE"""),"Казахстан")</f>
        <v>Казахстан</v>
      </c>
      <c r="E108" s="14"/>
      <c r="F108" s="8" t="str">
        <f ca="1">IFERROR(__xludf.DUMMYFUNCTION("""COMPUTED_VALUE"""),"- Марафон Тишины - Тишина челлендж: Урал, Казахстан, Узбекистан 25-29.04.2022
- Тишина Челлендж (бесплатная часть)")</f>
        <v>- Марафон Тишины - Тишина челлендж: Урал, Казахстан, Узбекистан 25-29.04.2022
- Тишина Челлендж (бесплатная часть)</v>
      </c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>
      <c r="A109" s="14" t="str">
        <f ca="1">IFERROR(__xludf.DUMMYFUNCTION("""COMPUTED_VALUE"""),"Ольга СЕРГЕЕВА")</f>
        <v>Ольга СЕРГЕЕВА</v>
      </c>
      <c r="B109" s="14" t="str">
        <f ca="1">IFERROR(__xludf.DUMMYFUNCTION("""COMPUTED_VALUE"""),"Aglokostia@gmail.com")</f>
        <v>Aglokostia@gmail.com</v>
      </c>
      <c r="C109" s="15"/>
      <c r="D109" s="15" t="str">
        <f ca="1">IFERROR(__xludf.DUMMYFUNCTION("""COMPUTED_VALUE"""),"Швеция")</f>
        <v>Швеция</v>
      </c>
      <c r="E109" s="14"/>
      <c r="F109" s="8" t="str">
        <f ca="1">IFERROR(__xludf.DUMMYFUNCTION("""COMPUTED_VALUE"""),"- Тишина Челлендж (бесплатная часть)")</f>
        <v>- Тишина Челлендж (бесплатная часть)</v>
      </c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5.5">
      <c r="A110" s="14" t="str">
        <f ca="1">IFERROR(__xludf.DUMMYFUNCTION("""COMPUTED_VALUE"""),"Agnese P?ra")</f>
        <v>Agnese P?ra</v>
      </c>
      <c r="B110" s="14" t="str">
        <f ca="1">IFERROR(__xludf.DUMMYFUNCTION("""COMPUTED_VALUE"""),"agnese_pavlova@inbox.lv")</f>
        <v>agnese_pavlova@inbox.lv</v>
      </c>
      <c r="C110" s="15" t="str">
        <f ca="1">IFERROR(__xludf.DUMMYFUNCTION("""COMPUTED_VALUE"""),"+37126160695")</f>
        <v>+37126160695</v>
      </c>
      <c r="D110" s="15" t="str">
        <f ca="1">IFERROR(__xludf.DUMMYFUNCTION("""COMPUTED_VALUE"""),"Латвия")</f>
        <v>Латвия</v>
      </c>
      <c r="E110" s="14"/>
      <c r="F110" s="8" t="str">
        <f ca="1">IFERROR(__xludf.DUMMYFUNCTION("""COMPUTED_VALUE"""),"- Шаг к Пробуждению №5 на латышском Латвия LV 11-18 декабря 2021 года ")</f>
        <v xml:space="preserve">- Шаг к Пробуждению №5 на латышском Латвия LV 11-18 декабря 2021 года </v>
      </c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>
      <c r="A111" s="14" t="str">
        <f ca="1">IFERROR(__xludf.DUMMYFUNCTION("""COMPUTED_VALUE"""),"Элиана Аарон")</f>
        <v>Элиана Аарон</v>
      </c>
      <c r="B111" s="14" t="str">
        <f ca="1">IFERROR(__xludf.DUMMYFUNCTION("""COMPUTED_VALUE"""),"aharon.eliana@gmail.com")</f>
        <v>aharon.eliana@gmail.com</v>
      </c>
      <c r="C111" s="15" t="str">
        <f ca="1">IFERROR(__xludf.DUMMYFUNCTION("""COMPUTED_VALUE"""),"+972549232423")</f>
        <v>+972549232423</v>
      </c>
      <c r="D111" s="15" t="str">
        <f ca="1">IFERROR(__xludf.DUMMYFUNCTION("""COMPUTED_VALUE"""),"Israel")</f>
        <v>Israel</v>
      </c>
      <c r="E111" s="14"/>
      <c r="F111" s="8" t="str">
        <f ca="1">IFERROR(__xludf.DUMMYFUNCTION("""COMPUTED_VALUE"""),"- Всемирная Медитация Пробуждения")</f>
        <v>- Всемирная Медитация Пробуждения</v>
      </c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>
      <c r="A112" s="14" t="str">
        <f ca="1">IFERROR(__xludf.DUMMYFUNCTION("""COMPUTED_VALUE"""),"Екатерина Ахремчук")</f>
        <v>Екатерина Ахремчук</v>
      </c>
      <c r="B112" s="14" t="str">
        <f ca="1">IFERROR(__xludf.DUMMYFUNCTION("""COMPUTED_VALUE"""),"Ahrecha@mail.ru")</f>
        <v>Ahrecha@mail.ru</v>
      </c>
      <c r="C112" s="15" t="str">
        <f ca="1">IFERROR(__xludf.DUMMYFUNCTION("""COMPUTED_VALUE"""),"+79137366176")</f>
        <v>+79137366176</v>
      </c>
      <c r="D112" s="15" t="str">
        <f ca="1">IFERROR(__xludf.DUMMYFUNCTION("""COMPUTED_VALUE"""),"Россия")</f>
        <v>Россия</v>
      </c>
      <c r="E112" s="14"/>
      <c r="F112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>
      <c r="A113" s="14" t="str">
        <f ca="1">IFERROR(__xludf.DUMMYFUNCTION("""COMPUTED_VALUE"""),"Анна Ростовцева")</f>
        <v>Анна Ростовцева</v>
      </c>
      <c r="B113" s="14" t="str">
        <f ca="1">IFERROR(__xludf.DUMMYFUNCTION("""COMPUTED_VALUE"""),"Ahyuchoik@mail.ru")</f>
        <v>Ahyuchoik@mail.ru</v>
      </c>
      <c r="C113" s="15" t="str">
        <f ca="1">IFERROR(__xludf.DUMMYFUNCTION("""COMPUTED_VALUE"""),"+79991652736")</f>
        <v>+79991652736</v>
      </c>
      <c r="D113" s="15" t="str">
        <f ca="1">IFERROR(__xludf.DUMMYFUNCTION("""COMPUTED_VALUE"""),"Нидерланды")</f>
        <v>Нидерланды</v>
      </c>
      <c r="E113" s="14"/>
      <c r="F113" s="8" t="str">
        <f ca="1">IFERROR(__xludf.DUMMYFUNCTION("""COMPUTED_VALUE"""),"- Тишина Челлендж (бесплатная часть)")</f>
        <v>- Тишина Челлендж (бесплатная часть)</v>
      </c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5.5">
      <c r="A114" s="14" t="str">
        <f ca="1">IFERROR(__xludf.DUMMYFUNCTION("""COMPUTED_VALUE"""),"Аида Зайнуллина")</f>
        <v>Аида Зайнуллина</v>
      </c>
      <c r="B114" s="14" t="str">
        <f ca="1">IFERROR(__xludf.DUMMYFUNCTION("""COMPUTED_VALUE"""),"aida.z0112@mail.ru")</f>
        <v>aida.z0112@mail.ru</v>
      </c>
      <c r="C114" s="15" t="str">
        <f ca="1">IFERROR(__xludf.DUMMYFUNCTION("""COMPUTED_VALUE"""),"87770458550")</f>
        <v>87770458550</v>
      </c>
      <c r="D114" s="15"/>
      <c r="E114" s="14"/>
      <c r="F11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>
      <c r="A115" s="14" t="str">
        <f ca="1">IFERROR(__xludf.DUMMYFUNCTION("""COMPUTED_VALUE"""),"Аида Юсупова")</f>
        <v>Аида Юсупова</v>
      </c>
      <c r="B115" s="14" t="str">
        <f ca="1">IFERROR(__xludf.DUMMYFUNCTION("""COMPUTED_VALUE"""),"aidayussupova@gmail.com")</f>
        <v>aidayussupova@gmail.com</v>
      </c>
      <c r="C115" s="15"/>
      <c r="D115" s="15" t="str">
        <f ca="1">IFERROR(__xludf.DUMMYFUNCTION("""COMPUTED_VALUE"""),"Швеция")</f>
        <v>Швеция</v>
      </c>
      <c r="E115" s="14"/>
      <c r="F115" s="8" t="str">
        <f ca="1">IFERROR(__xludf.DUMMYFUNCTION("""COMPUTED_VALUE"""),"- Тишина Челлендж (бесплатная часть)")</f>
        <v>- Тишина Челлендж (бесплатная часть)</v>
      </c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>
      <c r="A116" s="14" t="str">
        <f ca="1">IFERROR(__xludf.DUMMYFUNCTION("""COMPUTED_VALUE"""),"Айгуль Аязбаева")</f>
        <v>Айгуль Аязбаева</v>
      </c>
      <c r="B116" s="14" t="str">
        <f ca="1">IFERROR(__xludf.DUMMYFUNCTION("""COMPUTED_VALUE"""),"aigul.rumina@mail.ru")</f>
        <v>aigul.rumina@mail.ru</v>
      </c>
      <c r="C116" s="15" t="str">
        <f ca="1">IFERROR(__xludf.DUMMYFUNCTION("""COMPUTED_VALUE"""),", 87059794927")</f>
        <v>, 87059794927</v>
      </c>
      <c r="D116" s="15" t="str">
        <f ca="1">IFERROR(__xludf.DUMMYFUNCTION("""COMPUTED_VALUE"""),"Казахстан")</f>
        <v>Казахстан</v>
      </c>
      <c r="E116" s="14"/>
      <c r="F116" s="8" t="str">
        <f ca="1">IFERROR(__xludf.DUMMYFUNCTION("""COMPUTED_VALUE"""),"Мероприятий не обнаружено")</f>
        <v>Мероприятий не обнаружено</v>
      </c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5.5">
      <c r="A117" s="14" t="str">
        <f ca="1">IFERROR(__xludf.DUMMYFUNCTION("""COMPUTED_VALUE"""),"Айгуля Омарова")</f>
        <v>Айгуля Омарова</v>
      </c>
      <c r="B117" s="14" t="str">
        <f ca="1">IFERROR(__xludf.DUMMYFUNCTION("""COMPUTED_VALUE"""),"aigulya.omarova@mail.ru")</f>
        <v>aigulya.omarova@mail.ru</v>
      </c>
      <c r="C117" s="15" t="str">
        <f ca="1">IFERROR(__xludf.DUMMYFUNCTION("""COMPUTED_VALUE"""),"87021057977")</f>
        <v>87021057977</v>
      </c>
      <c r="D117" s="15"/>
      <c r="E117" s="14"/>
      <c r="F11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5.5">
      <c r="A118" s="14" t="str">
        <f ca="1">IFERROR(__xludf.DUMMYFUNCTION("""COMPUTED_VALUE"""),"Анна Ахметова")</f>
        <v>Анна Ахметова</v>
      </c>
      <c r="B118" s="14" t="str">
        <f ca="1">IFERROR(__xludf.DUMMYFUNCTION("""COMPUTED_VALUE"""),"aina.bmconsulting@gmail.com")</f>
        <v>aina.bmconsulting@gmail.com</v>
      </c>
      <c r="C118" s="15" t="str">
        <f ca="1">IFERROR(__xludf.DUMMYFUNCTION("""COMPUTED_VALUE"""),"+77477859130")</f>
        <v>+77477859130</v>
      </c>
      <c r="D118" s="15"/>
      <c r="E118" s="14"/>
      <c r="F11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>
      <c r="A119" s="14" t="str">
        <f ca="1">IFERROR(__xludf.DUMMYFUNCTION("""COMPUTED_VALUE"""),"Ainari Kapina")</f>
        <v>Ainari Kapina</v>
      </c>
      <c r="B119" s="14" t="str">
        <f ca="1">IFERROR(__xludf.DUMMYFUNCTION("""COMPUTED_VALUE"""),"ainara.kapina23@gmail.com")</f>
        <v>ainara.kapina23@gmail.com</v>
      </c>
      <c r="C119" s="15"/>
      <c r="D119" s="15" t="str">
        <f ca="1">IFERROR(__xludf.DUMMYFUNCTION("""COMPUTED_VALUE"""),"Швеция")</f>
        <v>Швеция</v>
      </c>
      <c r="E119" s="14"/>
      <c r="F119" s="8" t="str">
        <f ca="1">IFERROR(__xludf.DUMMYFUNCTION("""COMPUTED_VALUE"""),"- Тишина Челлендж (бесплатная часть)")</f>
        <v>- Тишина Челлендж (бесплатная часть)</v>
      </c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8.25">
      <c r="A120" s="14" t="str">
        <f ca="1">IFERROR(__xludf.DUMMYFUNCTION("""COMPUTED_VALUE"""),"Айнура Айнура")</f>
        <v>Айнура Айнура</v>
      </c>
      <c r="B120" s="14" t="str">
        <f ca="1">IFERROR(__xludf.DUMMYFUNCTION("""COMPUTED_VALUE"""),"Ainullia@gmail.com")</f>
        <v>Ainullia@gmail.com</v>
      </c>
      <c r="C120" s="15" t="str">
        <f ca="1">IFERROR(__xludf.DUMMYFUNCTION("""COMPUTED_VALUE"""),"87012187018")</f>
        <v>87012187018</v>
      </c>
      <c r="D120" s="15" t="str">
        <f ca="1">IFERROR(__xludf.DUMMYFUNCTION("""COMPUTED_VALUE"""),"Казахстан")</f>
        <v>Казахстан</v>
      </c>
      <c r="E120" s="14"/>
      <c r="F120" s="8" t="str">
        <f ca="1">IFERROR(__xludf.DUMMYFUNCTION("""COMPUTED_VALUE"""),"- Марафон Тишины - Тишина челлендж: Урал, Казахстан, Узбекистан 25-29.04.2022
- Тишина Челлендж (бесплатная часть)")</f>
        <v>- Марафон Тишины - Тишина челлендж: Урал, Казахстан, Узбекистан 25-29.04.2022
- Тишина Челлендж (бесплатная часть)</v>
      </c>
      <c r="G120" s="1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5.5">
      <c r="A121" s="14" t="str">
        <f ca="1">IFERROR(__xludf.DUMMYFUNCTION("""COMPUTED_VALUE"""),"Айнур Байгулина")</f>
        <v>Айнур Байгулина</v>
      </c>
      <c r="B121" s="14" t="str">
        <f ca="1">IFERROR(__xludf.DUMMYFUNCTION("""COMPUTED_VALUE"""),"ainura0985@mail.ru")</f>
        <v>ainura0985@mail.ru</v>
      </c>
      <c r="C121" s="15" t="str">
        <f ca="1">IFERROR(__xludf.DUMMYFUNCTION("""COMPUTED_VALUE"""),"87773789117")</f>
        <v>87773789117</v>
      </c>
      <c r="D121" s="15"/>
      <c r="E121" s="14"/>
      <c r="F12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21" s="1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5.5">
      <c r="A122" s="14" t="str">
        <f ca="1">IFERROR(__xludf.DUMMYFUNCTION("""COMPUTED_VALUE"""),"Айнура С")</f>
        <v>Айнура С</v>
      </c>
      <c r="B122" s="14" t="str">
        <f ca="1">IFERROR(__xludf.DUMMYFUNCTION("""COMPUTED_VALUE"""),"ainyra.t.k@mail.ru")</f>
        <v>ainyra.t.k@mail.ru</v>
      </c>
      <c r="C122" s="15" t="str">
        <f ca="1">IFERROR(__xludf.DUMMYFUNCTION("""COMPUTED_VALUE"""),"87779905659")</f>
        <v>87779905659</v>
      </c>
      <c r="D122" s="15" t="str">
        <f ca="1">IFERROR(__xludf.DUMMYFUNCTION("""COMPUTED_VALUE"""),"Казахстан")</f>
        <v>Казахстан</v>
      </c>
      <c r="E122" s="14"/>
      <c r="F12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22" s="1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5.5">
      <c r="A123" s="14" t="str">
        <f ca="1">IFERROR(__xludf.DUMMYFUNCTION("""COMPUTED_VALUE"""),"Aira Cimdina")</f>
        <v>Aira Cimdina</v>
      </c>
      <c r="B123" s="14" t="str">
        <f ca="1">IFERROR(__xludf.DUMMYFUNCTION("""COMPUTED_VALUE"""),"aira.cimdina@gmail.com")</f>
        <v>aira.cimdina@gmail.com</v>
      </c>
      <c r="C123" s="15" t="str">
        <f ca="1">IFERROR(__xludf.DUMMYFUNCTION("""COMPUTED_VALUE"""),"28240780")</f>
        <v>28240780</v>
      </c>
      <c r="D123" s="15" t="str">
        <f ca="1">IFERROR(__xludf.DUMMYFUNCTION("""COMPUTED_VALUE"""),"Латвия")</f>
        <v>Латвия</v>
      </c>
      <c r="E123" s="14"/>
      <c r="F123" s="8" t="str">
        <f ca="1">IFERROR(__xludf.DUMMYFUNCTION("""COMPUTED_VALUE"""),"- ретрит ЕВРОПЕЙСКИЙ 14-21.1.2022 Латвия (цена- 390€) 
- Ретрит ""Проектная деятельность"" для участников ретритов")</f>
        <v>- ретрит ЕВРОПЕЙСКИЙ 14-21.1.2022 Латвия (цена- 390€) 
- Ретрит "Проектная деятельность" для участников ретритов</v>
      </c>
      <c r="G123" s="1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38.25">
      <c r="A124" s="14" t="str">
        <f ca="1">IFERROR(__xludf.DUMMYFUNCTION("""COMPUTED_VALUE"""),"Айша Тайгоренова")</f>
        <v>Айша Тайгоренова</v>
      </c>
      <c r="B124" s="14" t="str">
        <f ca="1">IFERROR(__xludf.DUMMYFUNCTION("""COMPUTED_VALUE"""),"aishataigara@mail.ru")</f>
        <v>aishataigara@mail.ru</v>
      </c>
      <c r="C124" s="15" t="str">
        <f ca="1">IFERROR(__xludf.DUMMYFUNCTION("""COMPUTED_VALUE"""),"+77785971749")</f>
        <v>+77785971749</v>
      </c>
      <c r="D124" s="15" t="str">
        <f ca="1">IFERROR(__xludf.DUMMYFUNCTION("""COMPUTED_VALUE"""),"Казахстан")</f>
        <v>Казахстан</v>
      </c>
      <c r="E124" s="14"/>
      <c r="F124" s="8" t="str">
        <f ca="1">IFERROR(__xludf.DUMMYFUNCTION("""COMPUTED_VALUE"""),"- Марафон Тишины - Тишина челлендж: Урал, Казахстан, Узбекистан 25-29.04.2022
- Тишина Челлендж (бесплатная часть)")</f>
        <v>- Марафон Тишины - Тишина челлендж: Урал, Казахстан, Узбекистан 25-29.04.2022
- Тишина Челлендж (бесплатная часть)</v>
      </c>
      <c r="G124" s="1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>
      <c r="A125" s="14" t="str">
        <f ca="1">IFERROR(__xludf.DUMMYFUNCTION("""COMPUTED_VALUE"""),"Айсулу Бисариева")</f>
        <v>Айсулу Бисариева</v>
      </c>
      <c r="B125" s="14" t="str">
        <f ca="1">IFERROR(__xludf.DUMMYFUNCTION("""COMPUTED_VALUE"""),"aisulu_84@mail.ru")</f>
        <v>aisulu_84@mail.ru</v>
      </c>
      <c r="C125" s="15" t="str">
        <f ca="1">IFERROR(__xludf.DUMMYFUNCTION("""COMPUTED_VALUE"""),"+77474223015")</f>
        <v>+77474223015</v>
      </c>
      <c r="D125" s="15" t="str">
        <f ca="1">IFERROR(__xludf.DUMMYFUNCTION("""COMPUTED_VALUE"""),"Швеция")</f>
        <v>Швеция</v>
      </c>
      <c r="E125" s="14"/>
      <c r="F125" s="8" t="str">
        <f ca="1">IFERROR(__xludf.DUMMYFUNCTION("""COMPUTED_VALUE"""),"- Тишина Челлендж (бесплатная часть)")</f>
        <v>- Тишина Челлендж (бесплатная часть)</v>
      </c>
      <c r="G125" s="1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38.25">
      <c r="A126" s="14" t="str">
        <f ca="1">IFERROR(__xludf.DUMMYFUNCTION("""COMPUTED_VALUE"""),"Айсулу Тулегенова")</f>
        <v>Айсулу Тулегенова</v>
      </c>
      <c r="B126" s="14" t="str">
        <f ca="1">IFERROR(__xludf.DUMMYFUNCTION("""COMPUTED_VALUE"""),"Aisulu0581@mail.ru")</f>
        <v>Aisulu0581@mail.ru</v>
      </c>
      <c r="C126" s="15" t="str">
        <f ca="1">IFERROR(__xludf.DUMMYFUNCTION("""COMPUTED_VALUE"""),"87029523656")</f>
        <v>87029523656</v>
      </c>
      <c r="D126" s="15" t="str">
        <f ca="1">IFERROR(__xludf.DUMMYFUNCTION("""COMPUTED_VALUE"""),"Казахстан")</f>
        <v>Казахстан</v>
      </c>
      <c r="E126" s="14"/>
      <c r="F126" s="8" t="str">
        <f ca="1">IFERROR(__xludf.DUMMYFUNCTION("""COMPUTED_VALUE"""),"- Марафон Тишины - Тишина челлендж: Урал, Казахстан, Узбекистан 25-29.04.2022
- Тишина Челлендж (бесплатная часть)")</f>
        <v>- Марафон Тишины - Тишина челлендж: Урал, Казахстан, Узбекистан 25-29.04.2022
- Тишина Челлендж (бесплатная часть)</v>
      </c>
      <c r="G126" s="1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38.25">
      <c r="A127" s="14" t="str">
        <f ca="1">IFERROR(__xludf.DUMMYFUNCTION("""COMPUTED_VALUE"""),"Айжан Байжуманова")</f>
        <v>Айжан Байжуманова</v>
      </c>
      <c r="B127" s="14" t="str">
        <f ca="1">IFERROR(__xludf.DUMMYFUNCTION("""COMPUTED_VALUE"""),"Aizhan230686@gmail.com")</f>
        <v>Aizhan230686@gmail.com</v>
      </c>
      <c r="C127" s="15" t="str">
        <f ca="1">IFERROR(__xludf.DUMMYFUNCTION("""COMPUTED_VALUE"""),"87781342070")</f>
        <v>87781342070</v>
      </c>
      <c r="D127" s="15" t="str">
        <f ca="1">IFERROR(__xludf.DUMMYFUNCTION("""COMPUTED_VALUE"""),"Казахстан")</f>
        <v>Казахстан</v>
      </c>
      <c r="E127" s="14"/>
      <c r="F127" s="8" t="str">
        <f ca="1">IFERROR(__xludf.DUMMYFUNCTION("""COMPUTED_VALUE"""),"- Марафон Тишины - Тишина челлендж: Урал, Казахстан, Узбекистан 25-29.04.2022
- Тишина Челлендж (бесплатная часть)")</f>
        <v>- Марафон Тишины - Тишина челлендж: Урал, Казахстан, Узбекистан 25-29.04.2022
- Тишина Челлендж (бесплатная часть)</v>
      </c>
      <c r="G127" s="1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>
      <c r="A128" s="14" t="str">
        <f ca="1">IFERROR(__xludf.DUMMYFUNCTION("""COMPUTED_VALUE"""),"Елизавета Елизавета")</f>
        <v>Елизавета Елизавета</v>
      </c>
      <c r="B128" s="14" t="str">
        <f ca="1">IFERROR(__xludf.DUMMYFUNCTION("""COMPUTED_VALUE"""),"Aizhana07@inbox.ru")</f>
        <v>Aizhana07@inbox.ru</v>
      </c>
      <c r="C128" s="15"/>
      <c r="D128" s="15" t="str">
        <f ca="1">IFERROR(__xludf.DUMMYFUNCTION("""COMPUTED_VALUE"""),"Швеция")</f>
        <v>Швеция</v>
      </c>
      <c r="E128" s="14"/>
      <c r="F128" s="8" t="str">
        <f ca="1">IFERROR(__xludf.DUMMYFUNCTION("""COMPUTED_VALUE"""),"- Тишина Челлендж (бесплатная часть)")</f>
        <v>- Тишина Челлендж (бесплатная часть)</v>
      </c>
      <c r="G128" s="1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63.75">
      <c r="A129" s="14" t="str">
        <f ca="1">IFERROR(__xludf.DUMMYFUNCTION("""COMPUTED_VALUE"""),"Алексей Кокин")</f>
        <v>Алексей Кокин</v>
      </c>
      <c r="B129" s="14" t="str">
        <f ca="1">IFERROR(__xludf.DUMMYFUNCTION("""COMPUTED_VALUE"""),"ak37tender@gmail.com")</f>
        <v>ak37tender@gmail.com</v>
      </c>
      <c r="C129" s="15" t="str">
        <f ca="1">IFERROR(__xludf.DUMMYFUNCTION("""COMPUTED_VALUE"""),"79012813970")</f>
        <v>79012813970</v>
      </c>
      <c r="D129" s="15" t="str">
        <f ca="1">IFERROR(__xludf.DUMMYFUNCTION("""COMPUTED_VALUE"""),"Россия")</f>
        <v>Россия</v>
      </c>
      <c r="E129" s="14" t="str">
        <f ca="1">IFERROR(__xludf.DUMMYFUNCTION("""COMPUTED_VALUE"""),"@kokin97")</f>
        <v>@kokin97</v>
      </c>
      <c r="F129" s="8" t="str">
        <f ca="1">IFERROR(__xludf.DUMMYFUNCTION("""COMPUTED_VALUE"""),"- Вебинар с Никитой Бородулиным 11.02.2022 часть1
- Городской ретрит Москва 18-20.02.2022
- Ретрит в РЦ Сочи май 2022 (Оплата до 17 апреля)
- Однодневный ретрит Россия 14 мая 2022
- Практика Тишины общая платная")</f>
        <v>- Вебинар с Никитой Бородулиным 11.02.2022 часть1
- Городской ретрит Москва 18-20.02.2022
- Ретрит в РЦ Сочи май 2022 (Оплата до 17 апреля)
- Однодневный ретрит Россия 14 мая 2022
- Практика Тишины общая платная</v>
      </c>
      <c r="G129" s="1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5.5">
      <c r="A130" s="14" t="str">
        <f ca="1">IFERROR(__xludf.DUMMYFUNCTION("""COMPUTED_VALUE"""),"Aigerim Kaliaskarkyzy")</f>
        <v>Aigerim Kaliaskarkyzy</v>
      </c>
      <c r="B130" s="14" t="str">
        <f ca="1">IFERROR(__xludf.DUMMYFUNCTION("""COMPUTED_VALUE"""),"akaliaskarkyzy@gmail.com")</f>
        <v>akaliaskarkyzy@gmail.com</v>
      </c>
      <c r="C130" s="15" t="str">
        <f ca="1">IFERROR(__xludf.DUMMYFUNCTION("""COMPUTED_VALUE"""),"87082170938")</f>
        <v>87082170938</v>
      </c>
      <c r="D130" s="15"/>
      <c r="E130" s="14"/>
      <c r="F13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30" s="1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>
      <c r="A131" s="14" t="str">
        <f ca="1">IFERROR(__xludf.DUMMYFUNCTION("""COMPUTED_VALUE"""),"алина львова")</f>
        <v>алина львова</v>
      </c>
      <c r="B131" s="14" t="str">
        <f ca="1">IFERROR(__xludf.DUMMYFUNCTION("""COMPUTED_VALUE"""),"akamaletdinova1812@gmail.com")</f>
        <v>akamaletdinova1812@gmail.com</v>
      </c>
      <c r="C131" s="15" t="str">
        <f ca="1">IFERROR(__xludf.DUMMYFUNCTION("""COMPUTED_VALUE"""),", +79872957943")</f>
        <v>, +79872957943</v>
      </c>
      <c r="D131" s="15" t="str">
        <f ca="1">IFERROR(__xludf.DUMMYFUNCTION("""COMPUTED_VALUE"""),"Россия")</f>
        <v>Россия</v>
      </c>
      <c r="E131" s="14"/>
      <c r="F131" s="8" t="str">
        <f ca="1">IFERROR(__xludf.DUMMYFUNCTION("""COMPUTED_VALUE"""),"Мероприятий не обнаружено")</f>
        <v>Мероприятий не обнаружено</v>
      </c>
      <c r="G131" s="1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>
      <c r="A132" s="14" t="str">
        <f ca="1">IFERROR(__xludf.DUMMYFUNCTION("""COMPUTED_VALUE"""),"Ася Ахмедова")</f>
        <v>Ася Ахмедова</v>
      </c>
      <c r="B132" s="14" t="str">
        <f ca="1">IFERROR(__xludf.DUMMYFUNCTION("""COMPUTED_VALUE"""),"Akh-asiyat@yandex.ru")</f>
        <v>Akh-asiyat@yandex.ru</v>
      </c>
      <c r="C132" s="15"/>
      <c r="D132" s="15" t="str">
        <f ca="1">IFERROR(__xludf.DUMMYFUNCTION("""COMPUTED_VALUE"""),"Франция")</f>
        <v>Франция</v>
      </c>
      <c r="E132" s="14"/>
      <c r="F132" s="8" t="str">
        <f ca="1">IFERROR(__xludf.DUMMYFUNCTION("""COMPUTED_VALUE"""),"- Тишина Челлендж (бесплатная часть)")</f>
        <v>- Тишина Челлендж (бесплатная часть)</v>
      </c>
      <c r="G132" s="1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51">
      <c r="A133" s="14" t="str">
        <f ca="1">IFERROR(__xludf.DUMMYFUNCTION("""COMPUTED_VALUE"""),"Айрат Ахметшин")</f>
        <v>Айрат Ахметшин</v>
      </c>
      <c r="B133" s="14" t="str">
        <f ca="1">IFERROR(__xludf.DUMMYFUNCTION("""COMPUTED_VALUE"""),"Akhmetshin.ayr@ya.ru")</f>
        <v>Akhmetshin.ayr@ya.ru</v>
      </c>
      <c r="C133" s="15" t="str">
        <f ca="1">IFERROR(__xludf.DUMMYFUNCTION("""COMPUTED_VALUE"""),"+79274572163")</f>
        <v>+79274572163</v>
      </c>
      <c r="D133" s="15" t="str">
        <f ca="1">IFERROR(__xludf.DUMMYFUNCTION("""COMPUTED_VALUE"""),"Россия")</f>
        <v>Россия</v>
      </c>
      <c r="E133" s="14"/>
      <c r="F133" s="8" t="str">
        <f ca="1">IFERROR(__xludf.DUMMYFUNCTION("""COMPUTED_VALUE"""),"- Ретрит Дальний Восток Хабаровск 19-27.03.2022 (Оплата до 1 марта) 
- Ретрит в РЦ Сочи 19-27 марта 2022 (Оплата до 6 марта)
- АнтиЭго 2.0 29.3 - 12.04.2022 (поток 2)")</f>
        <v>- Ретрит Дальний Восток Хабаровск 19-27.03.2022 (Оплата до 1 марта) 
- Ретрит в РЦ Сочи 19-27 марта 2022 (Оплата до 6 марта)
- АнтиЭго 2.0 29.3 - 12.04.2022 (поток 2)</v>
      </c>
      <c r="G133" s="1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>
      <c r="A134" s="14" t="str">
        <f ca="1">IFERROR(__xludf.DUMMYFUNCTION("""COMPUTED_VALUE"""),"максим жданов")</f>
        <v>максим жданов</v>
      </c>
      <c r="B134" s="14" t="str">
        <f ca="1">IFERROR(__xludf.DUMMYFUNCTION("""COMPUTED_VALUE"""),"aklipetsk@mail.ru")</f>
        <v>aklipetsk@mail.ru</v>
      </c>
      <c r="C134" s="15" t="str">
        <f ca="1">IFERROR(__xludf.DUMMYFUNCTION("""COMPUTED_VALUE"""),"+79192513401")</f>
        <v>+79192513401</v>
      </c>
      <c r="D134" s="15" t="str">
        <f ca="1">IFERROR(__xludf.DUMMYFUNCTION("""COMPUTED_VALUE"""),"россия")</f>
        <v>россия</v>
      </c>
      <c r="E134" s="14"/>
      <c r="F134" s="8" t="str">
        <f ca="1">IFERROR(__xludf.DUMMYFUNCTION("""COMPUTED_VALUE"""),"- Партнерская программа")</f>
        <v>- Партнерская программа</v>
      </c>
      <c r="G134" s="1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>
      <c r="A135" s="14" t="str">
        <f ca="1">IFERROR(__xludf.DUMMYFUNCTION("""COMPUTED_VALUE"""),"Акмарал Касымханова")</f>
        <v>Акмарал Касымханова</v>
      </c>
      <c r="B135" s="14" t="str">
        <f ca="1">IFERROR(__xludf.DUMMYFUNCTION("""COMPUTED_VALUE"""),"akmaral.25.03@mail.ru")</f>
        <v>akmaral.25.03@mail.ru</v>
      </c>
      <c r="C135" s="15" t="str">
        <f ca="1">IFERROR(__xludf.DUMMYFUNCTION("""COMPUTED_VALUE"""),"7071311320")</f>
        <v>7071311320</v>
      </c>
      <c r="D135" s="15" t="str">
        <f ca="1">IFERROR(__xludf.DUMMYFUNCTION("""COMPUTED_VALUE"""),"Швеция")</f>
        <v>Швеция</v>
      </c>
      <c r="E135" s="14"/>
      <c r="F135" s="8" t="str">
        <f ca="1">IFERROR(__xludf.DUMMYFUNCTION("""COMPUTED_VALUE"""),"- Тишина Челлендж (бесплатная часть)")</f>
        <v>- Тишина Челлендж (бесплатная часть)</v>
      </c>
      <c r="G135" s="1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>
      <c r="A136" s="14" t="str">
        <f ca="1">IFERROR(__xludf.DUMMYFUNCTION("""COMPUTED_VALUE"""),"Акнур Надирханова")</f>
        <v>Акнур Надирханова</v>
      </c>
      <c r="B136" s="14" t="str">
        <f ca="1">IFERROR(__xludf.DUMMYFUNCTION("""COMPUTED_VALUE"""),"aknura0208@gmail.com")</f>
        <v>aknura0208@gmail.com</v>
      </c>
      <c r="C136" s="15" t="str">
        <f ca="1">IFERROR(__xludf.DUMMYFUNCTION("""COMPUTED_VALUE"""),", 87027491080")</f>
        <v>, 87027491080</v>
      </c>
      <c r="D136" s="15" t="str">
        <f ca="1">IFERROR(__xludf.DUMMYFUNCTION("""COMPUTED_VALUE"""),"Казахстан")</f>
        <v>Казахстан</v>
      </c>
      <c r="E136" s="14"/>
      <c r="F136" s="8" t="str">
        <f ca="1">IFERROR(__xludf.DUMMYFUNCTION("""COMPUTED_VALUE"""),"Мероприятий не обнаружено")</f>
        <v>Мероприятий не обнаружено</v>
      </c>
      <c r="G136" s="1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5.5">
      <c r="A137" s="14" t="str">
        <f ca="1">IFERROR(__xludf.DUMMYFUNCTION("""COMPUTED_VALUE"""),"Анастасия Агаркова")</f>
        <v>Анастасия Агаркова</v>
      </c>
      <c r="B137" s="14" t="str">
        <f ca="1">IFERROR(__xludf.DUMMYFUNCTION("""COMPUTED_VALUE"""),"akorakova@gmail.com")</f>
        <v>akorakova@gmail.com</v>
      </c>
      <c r="C137" s="15" t="str">
        <f ca="1">IFERROR(__xludf.DUMMYFUNCTION("""COMPUTED_VALUE"""),"87083601774")</f>
        <v>87083601774</v>
      </c>
      <c r="D137" s="15"/>
      <c r="E137" s="14"/>
      <c r="F13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37" s="1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>
      <c r="A138" s="14" t="str">
        <f ca="1">IFERROR(__xludf.DUMMYFUNCTION("""COMPUTED_VALUE"""),"Бота Заришнюк")</f>
        <v>Бота Заришнюк</v>
      </c>
      <c r="B138" s="14" t="str">
        <f ca="1">IFERROR(__xludf.DUMMYFUNCTION("""COMPUTED_VALUE"""),"akosiaa@mail.ru")</f>
        <v>akosiaa@mail.ru</v>
      </c>
      <c r="C138" s="15"/>
      <c r="D138" s="15" t="str">
        <f ca="1">IFERROR(__xludf.DUMMYFUNCTION("""COMPUTED_VALUE"""),"Германия")</f>
        <v>Германия</v>
      </c>
      <c r="E138" s="14"/>
      <c r="F138" s="8" t="str">
        <f ca="1">IFERROR(__xludf.DUMMYFUNCTION("""COMPUTED_VALUE"""),"- Тишина Челлендж (бесплатная часть)")</f>
        <v>- Тишина Челлендж (бесплатная часть)</v>
      </c>
      <c r="G138" s="1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>
      <c r="A139" s="14" t="str">
        <f ca="1">IFERROR(__xludf.DUMMYFUNCTION("""COMPUTED_VALUE"""),"Актилек Калидолдаева")</f>
        <v>Актилек Калидолдаева</v>
      </c>
      <c r="B139" s="14" t="str">
        <f ca="1">IFERROR(__xludf.DUMMYFUNCTION("""COMPUTED_VALUE"""),"Aktilek@mail.ru")</f>
        <v>Aktilek@mail.ru</v>
      </c>
      <c r="C139" s="15"/>
      <c r="D139" s="15" t="str">
        <f ca="1">IFERROR(__xludf.DUMMYFUNCTION("""COMPUTED_VALUE"""),"Швеция")</f>
        <v>Швеция</v>
      </c>
      <c r="E139" s="14"/>
      <c r="F139" s="8" t="str">
        <f ca="1">IFERROR(__xludf.DUMMYFUNCTION("""COMPUTED_VALUE"""),"- Тишина Челлендж (бесплатная часть)")</f>
        <v>- Тишина Челлендж (бесплатная часть)</v>
      </c>
      <c r="G139" s="1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5.5">
      <c r="A140" s="14" t="str">
        <f ca="1">IFERROR(__xludf.DUMMYFUNCTION("""COMPUTED_VALUE"""),"Anelya Kussayinova")</f>
        <v>Anelya Kussayinova</v>
      </c>
      <c r="B140" s="14" t="str">
        <f ca="1">IFERROR(__xludf.DUMMYFUNCTION("""COMPUTED_VALUE"""),"akussayinova@gmail.com")</f>
        <v>akussayinova@gmail.com</v>
      </c>
      <c r="C140" s="15" t="str">
        <f ca="1">IFERROR(__xludf.DUMMYFUNCTION("""COMPUTED_VALUE"""),"87761448080")</f>
        <v>87761448080</v>
      </c>
      <c r="D140" s="15"/>
      <c r="E140" s="14"/>
      <c r="F14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40" s="1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38.25">
      <c r="A141" s="14" t="str">
        <f ca="1">IFERROR(__xludf.DUMMYFUNCTION("""COMPUTED_VALUE"""),"Алексей Воробьев")</f>
        <v>Алексей Воробьев</v>
      </c>
      <c r="B141" s="14" t="str">
        <f ca="1">IFERROR(__xludf.DUMMYFUNCTION("""COMPUTED_VALUE"""),"al200977@mail.ru")</f>
        <v>al200977@mail.ru</v>
      </c>
      <c r="C141" s="15" t="str">
        <f ca="1">IFERROR(__xludf.DUMMYFUNCTION("""COMPUTED_VALUE"""),"+79084494194")</f>
        <v>+79084494194</v>
      </c>
      <c r="D141" s="15" t="str">
        <f ca="1">IFERROR(__xludf.DUMMYFUNCTION("""COMPUTED_VALUE"""),"Россия")</f>
        <v>Россия</v>
      </c>
      <c r="E141" s="14"/>
      <c r="F141" s="8" t="str">
        <f ca="1">IFERROR(__xludf.DUMMYFUNCTION("""COMPUTED_VALUE"""),"- Тишина Челлендж (бесплатная часть)
- Однодневный ретрит Россия 14 мая 2022
- Запись на ""Беседу по душам""")</f>
        <v>- Тишина Челлендж (бесплатная часть)
- Однодневный ретрит Россия 14 мая 2022
- Запись на "Беседу по душам"</v>
      </c>
      <c r="G141" s="1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5.5">
      <c r="A142" s="14" t="str">
        <f ca="1">IFERROR(__xludf.DUMMYFUNCTION("""COMPUTED_VALUE"""),"Адиль Аяпберген")</f>
        <v>Адиль Аяпберген</v>
      </c>
      <c r="B142" s="14" t="str">
        <f ca="1">IFERROR(__xludf.DUMMYFUNCTION("""COMPUTED_VALUE"""),"Aladik95@gmail.com")</f>
        <v>Aladik95@gmail.com</v>
      </c>
      <c r="C142" s="15" t="str">
        <f ca="1">IFERROR(__xludf.DUMMYFUNCTION("""COMPUTED_VALUE"""),"+77762161995")</f>
        <v>+77762161995</v>
      </c>
      <c r="D142" s="15"/>
      <c r="E142" s="14"/>
      <c r="F14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42" s="1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5.5">
      <c r="A143" s="14" t="str">
        <f ca="1">IFERROR(__xludf.DUMMYFUNCTION("""COMPUTED_VALUE"""),"Rano Alamanova")</f>
        <v>Rano Alamanova</v>
      </c>
      <c r="B143" s="14" t="str">
        <f ca="1">IFERROR(__xludf.DUMMYFUNCTION("""COMPUTED_VALUE"""),"alamanova.r@yandex.ru")</f>
        <v>alamanova.r@yandex.ru</v>
      </c>
      <c r="C143" s="15" t="str">
        <f ca="1">IFERROR(__xludf.DUMMYFUNCTION("""COMPUTED_VALUE"""),"+998900085785")</f>
        <v>+998900085785</v>
      </c>
      <c r="D143" s="15"/>
      <c r="E143" s="14"/>
      <c r="F14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43" s="1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>
      <c r="A144" s="14" t="str">
        <f ca="1">IFERROR(__xludf.DUMMYFUNCTION("""COMPUTED_VALUE"""),"alba84,  ")</f>
        <v xml:space="preserve">alba84,  </v>
      </c>
      <c r="B144" s="14" t="str">
        <f ca="1">IFERROR(__xludf.DUMMYFUNCTION("""COMPUTED_VALUE"""),"alba84@live.ru")</f>
        <v>alba84@live.ru</v>
      </c>
      <c r="C144" s="15"/>
      <c r="D144" s="15"/>
      <c r="E144" s="14"/>
      <c r="F144" s="8" t="str">
        <f ca="1">IFERROR(__xludf.DUMMYFUNCTION("""COMPUTED_VALUE"""),"- USA Челлендж Тишина")</f>
        <v>- USA Челлендж Тишина</v>
      </c>
      <c r="G144" s="1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>
      <c r="A145" s="14" t="str">
        <f ca="1">IFERROR(__xludf.DUMMYFUNCTION("""COMPUTED_VALUE"""),"Айнабат Халлиева")</f>
        <v>Айнабат Халлиева</v>
      </c>
      <c r="B145" s="14" t="str">
        <f ca="1">IFERROR(__xludf.DUMMYFUNCTION("""COMPUTED_VALUE"""),"albinnen@mail.ru")</f>
        <v>albinnen@mail.ru</v>
      </c>
      <c r="C145" s="15" t="str">
        <f ca="1">IFERROR(__xludf.DUMMYFUNCTION("""COMPUTED_VALUE"""),"+375257896508")</f>
        <v>+375257896508</v>
      </c>
      <c r="D145" s="15" t="str">
        <f ca="1">IFERROR(__xludf.DUMMYFUNCTION("""COMPUTED_VALUE"""),"Беларусь")</f>
        <v>Беларусь</v>
      </c>
      <c r="E145" s="14"/>
      <c r="F145" s="8" t="str">
        <f ca="1">IFERROR(__xludf.DUMMYFUNCTION("""COMPUTED_VALUE"""),"- Чайная встреча Разговор по душам 26.2.2022 Минск")</f>
        <v>- Чайная встреча Разговор по душам 26.2.2022 Минск</v>
      </c>
      <c r="G145" s="1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>
      <c r="A146" s="14" t="str">
        <f ca="1">IFERROR(__xludf.DUMMYFUNCTION("""COMPUTED_VALUE"""),"Алдар Очкаев")</f>
        <v>Алдар Очкаев</v>
      </c>
      <c r="B146" s="14" t="str">
        <f ca="1">IFERROR(__xludf.DUMMYFUNCTION("""COMPUTED_VALUE"""),"Aldarik-1993@mail.ru")</f>
        <v>Aldarik-1993@mail.ru</v>
      </c>
      <c r="C146" s="15" t="str">
        <f ca="1">IFERROR(__xludf.DUMMYFUNCTION("""COMPUTED_VALUE"""),"+79275936028")</f>
        <v>+79275936028</v>
      </c>
      <c r="D146" s="15" t="str">
        <f ca="1">IFERROR(__xludf.DUMMYFUNCTION("""COMPUTED_VALUE"""),"Россия")</f>
        <v>Россия</v>
      </c>
      <c r="E146" s="14"/>
      <c r="F146" s="8" t="str">
        <f ca="1">IFERROR(__xludf.DUMMYFUNCTION("""COMPUTED_VALUE"""),"- Тишина Челлендж (бесплатная часть)")</f>
        <v>- Тишина Челлендж (бесплатная часть)</v>
      </c>
      <c r="G146" s="1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>
      <c r="A147" s="14" t="str">
        <f ca="1">IFERROR(__xludf.DUMMYFUNCTION("""COMPUTED_VALUE"""),"Александра Ковалевска")</f>
        <v>Александра Ковалевска</v>
      </c>
      <c r="B147" s="14" t="str">
        <f ca="1">IFERROR(__xludf.DUMMYFUNCTION("""COMPUTED_VALUE"""),"Aleksandra.kovalevska@gmail.com")</f>
        <v>Aleksandra.kovalevska@gmail.com</v>
      </c>
      <c r="C147" s="15" t="str">
        <f ca="1">IFERROR(__xludf.DUMMYFUNCTION("""COMPUTED_VALUE"""),"+37127115515")</f>
        <v>+37127115515</v>
      </c>
      <c r="D147" s="15" t="str">
        <f ca="1">IFERROR(__xludf.DUMMYFUNCTION("""COMPUTED_VALUE"""),"Латвия")</f>
        <v>Латвия</v>
      </c>
      <c r="E147" s="14"/>
      <c r="F147" s="8" t="str">
        <f ca="1">IFERROR(__xludf.DUMMYFUNCTION("""COMPUTED_VALUE"""),"- Тишина Челлендж (бесплатная часть)")</f>
        <v>- Тишина Челлендж (бесплатная часть)</v>
      </c>
      <c r="G147" s="1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>
      <c r="A148" s="14" t="str">
        <f ca="1">IFERROR(__xludf.DUMMYFUNCTION("""COMPUTED_VALUE"""),"Александр Дивнов")</f>
        <v>Александр Дивнов</v>
      </c>
      <c r="B148" s="14" t="str">
        <f ca="1">IFERROR(__xludf.DUMMYFUNCTION("""COMPUTED_VALUE"""),"aleksandrdivnov1974@gmail.com")</f>
        <v>aleksandrdivnov1974@gmail.com</v>
      </c>
      <c r="C148" s="15" t="str">
        <f ca="1">IFERROR(__xludf.DUMMYFUNCTION("""COMPUTED_VALUE"""),"+79995438669")</f>
        <v>+79995438669</v>
      </c>
      <c r="D148" s="15" t="str">
        <f ca="1">IFERROR(__xludf.DUMMYFUNCTION("""COMPUTED_VALUE"""),"Россия")</f>
        <v>Россия</v>
      </c>
      <c r="E148" s="14"/>
      <c r="F148" s="8" t="str">
        <f ca="1">IFERROR(__xludf.DUMMYFUNCTION("""COMPUTED_VALUE"""),"- Вводный вебинар 3.5.22 на Шаг к Пробуждению")</f>
        <v>- Вводный вебинар 3.5.22 на Шаг к Пробуждению</v>
      </c>
      <c r="G148" s="1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>
      <c r="A149" s="14" t="str">
        <f ca="1">IFERROR(__xludf.DUMMYFUNCTION("""COMPUTED_VALUE"""),"Aleksei  Rein, Aleksei Rein")</f>
        <v>Aleksei  Rein, Aleksei Rein</v>
      </c>
      <c r="B149" s="14" t="str">
        <f ca="1">IFERROR(__xludf.DUMMYFUNCTION("""COMPUTED_VALUE"""),"alekseiz@gmail.com")</f>
        <v>alekseiz@gmail.com</v>
      </c>
      <c r="C149" s="15" t="str">
        <f ca="1">IFERROR(__xludf.DUMMYFUNCTION("""COMPUTED_VALUE"""),"+19298000101")</f>
        <v>+19298000101</v>
      </c>
      <c r="D149" s="15" t="str">
        <f ca="1">IFERROR(__xludf.DUMMYFUNCTION("""COMPUTED_VALUE"""),"Usa")</f>
        <v>Usa</v>
      </c>
      <c r="E149" s="14"/>
      <c r="F149" s="8" t="str">
        <f ca="1">IFERROR(__xludf.DUMMYFUNCTION("""COMPUTED_VALUE"""),"- USA Челлендж Тишина")</f>
        <v>- USA Челлендж Тишина</v>
      </c>
      <c r="G149" s="1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38.25">
      <c r="A150" s="14" t="str">
        <f ca="1">IFERROR(__xludf.DUMMYFUNCTION("""COMPUTED_VALUE"""),"Александр Александров")</f>
        <v>Александр Александров</v>
      </c>
      <c r="B150" s="14" t="str">
        <f ca="1">IFERROR(__xludf.DUMMYFUNCTION("""COMPUTED_VALUE"""),"aleksstudio@mail.ru")</f>
        <v>aleksstudio@mail.ru</v>
      </c>
      <c r="C150" s="15" t="str">
        <f ca="1">IFERROR(__xludf.DUMMYFUNCTION("""COMPUTED_VALUE"""),"+998977076286")</f>
        <v>+998977076286</v>
      </c>
      <c r="D150" s="15" t="str">
        <f ca="1">IFERROR(__xludf.DUMMYFUNCTION("""COMPUTED_VALUE"""),"Узбекистан")</f>
        <v>Узбекистан</v>
      </c>
      <c r="E150" s="14"/>
      <c r="F150" s="8" t="str">
        <f ca="1">IFERROR(__xludf.DUMMYFUNCTION("""COMPUTED_VALUE"""),"- Вебинар с Никитой Бородулиным 11.02.2022 часть1
- USA Челлендж Тишина
- Тишина Челлендж (бесплатная часть)")</f>
        <v>- Вебинар с Никитой Бородулиным 11.02.2022 часть1
- USA Челлендж Тишина
- Тишина Челлендж (бесплатная часть)</v>
      </c>
      <c r="G150" s="1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>
      <c r="A151" s="14" t="str">
        <f ca="1">IFERROR(__xludf.DUMMYFUNCTION("""COMPUTED_VALUE"""),"Елена Войцеховская")</f>
        <v>Елена Войцеховская</v>
      </c>
      <c r="B151" s="14" t="str">
        <f ca="1">IFERROR(__xludf.DUMMYFUNCTION("""COMPUTED_VALUE"""),"alena-es90@mail.ru")</f>
        <v>alena-es90@mail.ru</v>
      </c>
      <c r="C151" s="15" t="str">
        <f ca="1">IFERROR(__xludf.DUMMYFUNCTION("""COMPUTED_VALUE"""),"+79882851340")</f>
        <v>+79882851340</v>
      </c>
      <c r="D151" s="15" t="str">
        <f ca="1">IFERROR(__xludf.DUMMYFUNCTION("""COMPUTED_VALUE"""),"Россия")</f>
        <v>Россия</v>
      </c>
      <c r="E151" s="14"/>
      <c r="F151" s="8" t="str">
        <f ca="1">IFERROR(__xludf.DUMMYFUNCTION("""COMPUTED_VALUE"""),"- Тишина Челлендж (бесплатная часть)")</f>
        <v>- Тишина Челлендж (бесплатная часть)</v>
      </c>
      <c r="G151" s="1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>
      <c r="A152" s="14" t="str">
        <f ca="1">IFERROR(__xludf.DUMMYFUNCTION("""COMPUTED_VALUE"""),"Алена Потанина")</f>
        <v>Алена Потанина</v>
      </c>
      <c r="B152" s="14" t="str">
        <f ca="1">IFERROR(__xludf.DUMMYFUNCTION("""COMPUTED_VALUE"""),"Alena-potanina@list.ru")</f>
        <v>Alena-potanina@list.ru</v>
      </c>
      <c r="C152" s="15" t="str">
        <f ca="1">IFERROR(__xludf.DUMMYFUNCTION("""COMPUTED_VALUE"""),"79220748806")</f>
        <v>79220748806</v>
      </c>
      <c r="D152" s="15" t="str">
        <f ca="1">IFERROR(__xludf.DUMMYFUNCTION("""COMPUTED_VALUE"""),"Россия")</f>
        <v>Россия</v>
      </c>
      <c r="E152" s="14"/>
      <c r="F152" s="8" t="str">
        <f ca="1">IFERROR(__xludf.DUMMYFUNCTION("""COMPUTED_VALUE"""),"- Вебинар все о ретрите 12.2.2022")</f>
        <v>- Вебинар все о ретрите 12.2.2022</v>
      </c>
      <c r="G152" s="1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>
      <c r="A153" s="14" t="str">
        <f ca="1">IFERROR(__xludf.DUMMYFUNCTION("""COMPUTED_VALUE"""),"alena.parfenova.1982,  ")</f>
        <v xml:space="preserve">alena.parfenova.1982,  </v>
      </c>
      <c r="B153" s="14" t="str">
        <f ca="1">IFERROR(__xludf.DUMMYFUNCTION("""COMPUTED_VALUE"""),"alena.parfenova.1982@mail.ru")</f>
        <v>alena.parfenova.1982@mail.ru</v>
      </c>
      <c r="C153" s="15"/>
      <c r="D153" s="15"/>
      <c r="E153" s="14"/>
      <c r="F153" s="8" t="str">
        <f ca="1">IFERROR(__xludf.DUMMYFUNCTION("""COMPUTED_VALUE"""),"- USA Челлендж Тишина")</f>
        <v>- USA Челлендж Тишина</v>
      </c>
      <c r="G153" s="1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>
      <c r="A154" s="14" t="str">
        <f ca="1">IFERROR(__xludf.DUMMYFUNCTION("""COMPUTED_VALUE""")," ")</f>
        <v xml:space="preserve"> </v>
      </c>
      <c r="B154" s="14" t="str">
        <f ca="1">IFERROR(__xludf.DUMMYFUNCTION("""COMPUTED_VALUE"""),"alena030478@mail.ru")</f>
        <v>alena030478@mail.ru</v>
      </c>
      <c r="C154" s="15"/>
      <c r="D154" s="15"/>
      <c r="E154" s="14"/>
      <c r="F154" s="8" t="str">
        <f ca="1">IFERROR(__xludf.DUMMYFUNCTION("""COMPUTED_VALUE"""),"Мероприятий не обнаружено")</f>
        <v>Мероприятий не обнаружено</v>
      </c>
      <c r="G154" s="1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5.5">
      <c r="A155" s="14" t="str">
        <f ca="1">IFERROR(__xludf.DUMMYFUNCTION("""COMPUTED_VALUE"""),"Алёна Архипова")</f>
        <v>Алёна Архипова</v>
      </c>
      <c r="B155" s="14" t="str">
        <f ca="1">IFERROR(__xludf.DUMMYFUNCTION("""COMPUTED_VALUE"""),"alena8860@gmail.com")</f>
        <v>alena8860@gmail.com</v>
      </c>
      <c r="C155" s="15"/>
      <c r="D155" s="15" t="str">
        <f ca="1">IFERROR(__xludf.DUMMYFUNCTION("""COMPUTED_VALUE"""),"Россия")</f>
        <v>Россия</v>
      </c>
      <c r="E155" s="14"/>
      <c r="F155" s="8" t="str">
        <f ca="1">IFERROR(__xludf.DUMMYFUNCTION("""COMPUTED_VALUE"""),"- Тишина Челлендж (бесплатная часть)
- Базовая бесплатная часть")</f>
        <v>- Тишина Челлендж (бесплатная часть)
- Базовая бесплатная часть</v>
      </c>
      <c r="G155" s="1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51">
      <c r="A156" s="14" t="str">
        <f ca="1">IFERROR(__xludf.DUMMYFUNCTION("""COMPUTED_VALUE"""),"Alena Krasnopolsky")</f>
        <v>Alena Krasnopolsky</v>
      </c>
      <c r="B156" s="14" t="str">
        <f ca="1">IFERROR(__xludf.DUMMYFUNCTION("""COMPUTED_VALUE"""),"alenakrasnopolsky4@gmail.com")</f>
        <v>alenakrasnopolsky4@gmail.com</v>
      </c>
      <c r="C156" s="15" t="str">
        <f ca="1">IFERROR(__xludf.DUMMYFUNCTION("""COMPUTED_VALUE"""),"+972546288884")</f>
        <v>+972546288884</v>
      </c>
      <c r="D156" s="15" t="str">
        <f ca="1">IFERROR(__xludf.DUMMYFUNCTION("""COMPUTED_VALUE"""),"Израиль")</f>
        <v>Израиль</v>
      </c>
      <c r="E156" s="14"/>
      <c r="F156" s="8" t="str">
        <f ca="1">IFERROR(__xludf.DUMMYFUNCTION("""COMPUTED_VALUE"""),"- Запись на ""Беседу по душам""
- Заявка на звонок для курса ""Парадентальная медитация""
- Друзья. Базовый уровень (ежемесячная платная подписка)  x 5
- Друзья. Базовый уровень (ежемесячная платная подписка)  x 6")</f>
        <v>- Запись на "Беседу по душам"
- Заявка на звонок для курса "Парадентальная медитация"
- Друзья. Базовый уровень (ежемесячная платная подписка)  x 5
- Друзья. Базовый уровень (ежемесячная платная подписка)  x 6</v>
      </c>
      <c r="G156" s="1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>
      <c r="A157" s="14" t="str">
        <f ca="1">IFERROR(__xludf.DUMMYFUNCTION("""COMPUTED_VALUE"""),"alenanekipelova,  ")</f>
        <v xml:space="preserve">alenanekipelova,  </v>
      </c>
      <c r="B157" s="14" t="str">
        <f ca="1">IFERROR(__xludf.DUMMYFUNCTION("""COMPUTED_VALUE"""),"alenanekipelova@yahoo.com")</f>
        <v>alenanekipelova@yahoo.com</v>
      </c>
      <c r="C157" s="15"/>
      <c r="D157" s="15" t="str">
        <f ca="1">IFERROR(__xludf.DUMMYFUNCTION("""COMPUTED_VALUE"""),"США")</f>
        <v>США</v>
      </c>
      <c r="E157" s="14"/>
      <c r="F157" s="8" t="str">
        <f ca="1">IFERROR(__xludf.DUMMYFUNCTION("""COMPUTED_VALUE"""),"- USA Челлендж Тишина")</f>
        <v>- USA Челлендж Тишина</v>
      </c>
      <c r="G157" s="1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38.25">
      <c r="A158" s="14" t="str">
        <f ca="1">IFERROR(__xludf.DUMMYFUNCTION("""COMPUTED_VALUE"""),"Лилия Аленова")</f>
        <v>Лилия Аленова</v>
      </c>
      <c r="B158" s="14" t="str">
        <f ca="1">IFERROR(__xludf.DUMMYFUNCTION("""COMPUTED_VALUE"""),"alenova88@internet.ru")</f>
        <v>alenova88@internet.ru</v>
      </c>
      <c r="C158" s="15" t="str">
        <f ca="1">IFERROR(__xludf.DUMMYFUNCTION("""COMPUTED_VALUE"""),"87767368906")</f>
        <v>87767368906</v>
      </c>
      <c r="D158" s="15" t="str">
        <f ca="1">IFERROR(__xludf.DUMMYFUNCTION("""COMPUTED_VALUE"""),"Казахстан")</f>
        <v>Казахстан</v>
      </c>
      <c r="E158" s="14"/>
      <c r="F158" s="8" t="str">
        <f ca="1">IFERROR(__xludf.DUMMYFUNCTION("""COMPUTED_VALUE"""),"- Марафон Тишины - Тишина челлендж: Урал, Казахстан, Узбекистан 25-29.04.2022
- Тишина Челлендж (бесплатная часть)")</f>
        <v>- Марафон Тишины - Тишина челлендж: Урал, Казахстан, Узбекистан 25-29.04.2022
- Тишина Челлендж (бесплатная часть)</v>
      </c>
      <c r="G158" s="1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>
      <c r="A159" s="14" t="str">
        <f ca="1">IFERROR(__xludf.DUMMYFUNCTION("""COMPUTED_VALUE"""),"Алия Амиреева")</f>
        <v>Алия Амиреева</v>
      </c>
      <c r="B159" s="14" t="str">
        <f ca="1">IFERROR(__xludf.DUMMYFUNCTION("""COMPUTED_VALUE"""),"aleshenka_1603@list.ru")</f>
        <v>aleshenka_1603@list.ru</v>
      </c>
      <c r="C159" s="15"/>
      <c r="D159" s="15" t="str">
        <f ca="1">IFERROR(__xludf.DUMMYFUNCTION("""COMPUTED_VALUE"""),"Швеция")</f>
        <v>Швеция</v>
      </c>
      <c r="E159" s="14"/>
      <c r="F159" s="8" t="str">
        <f ca="1">IFERROR(__xludf.DUMMYFUNCTION("""COMPUTED_VALUE"""),"- Тишина Челлендж (бесплатная часть)")</f>
        <v>- Тишина Челлендж (бесплатная часть)</v>
      </c>
      <c r="G159" s="1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5.5">
      <c r="A160" s="14" t="str">
        <f ca="1">IFERROR(__xludf.DUMMYFUNCTION("""COMPUTED_VALUE"""),"Артем Летин")</f>
        <v>Артем Летин</v>
      </c>
      <c r="B160" s="14" t="str">
        <f ca="1">IFERROR(__xludf.DUMMYFUNCTION("""COMPUTED_VALUE"""),"aletin@yandex.ru")</f>
        <v>aletin@yandex.ru</v>
      </c>
      <c r="C160" s="15" t="str">
        <f ca="1">IFERROR(__xludf.DUMMYFUNCTION("""COMPUTED_VALUE"""),"79653229185")</f>
        <v>79653229185</v>
      </c>
      <c r="D160" s="15" t="str">
        <f ca="1">IFERROR(__xludf.DUMMYFUNCTION("""COMPUTED_VALUE"""),"Германия")</f>
        <v>Германия</v>
      </c>
      <c r="E160" s="14"/>
      <c r="F160" s="8" t="str">
        <f ca="1">IFERROR(__xludf.DUMMYFUNCTION("""COMPUTED_VALUE"""),"- Онлайн курс Шаг к Пробуждению №15 29.1-8.02.22 Пакет стандартный")</f>
        <v>- Онлайн курс Шаг к Пробуждению №15 29.1-8.02.22 Пакет стандартный</v>
      </c>
      <c r="G160" s="1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>
      <c r="A161" s="14" t="str">
        <f ca="1">IFERROR(__xludf.DUMMYFUNCTION("""COMPUTED_VALUE"""),"alevtina5,  ")</f>
        <v xml:space="preserve">alevtina5,  </v>
      </c>
      <c r="B161" s="14" t="str">
        <f ca="1">IFERROR(__xludf.DUMMYFUNCTION("""COMPUTED_VALUE"""),"alevtina5@yahoo.com")</f>
        <v>alevtina5@yahoo.com</v>
      </c>
      <c r="C161" s="15"/>
      <c r="D161" s="15" t="str">
        <f ca="1">IFERROR(__xludf.DUMMYFUNCTION("""COMPUTED_VALUE"""),"США")</f>
        <v>США</v>
      </c>
      <c r="E161" s="14"/>
      <c r="F161" s="8" t="str">
        <f ca="1">IFERROR(__xludf.DUMMYFUNCTION("""COMPUTED_VALUE"""),"- USA Челлендж Тишина")</f>
        <v>- USA Челлендж Тишина</v>
      </c>
      <c r="G161" s="1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5.5">
      <c r="A162" s="14" t="str">
        <f ca="1">IFERROR(__xludf.DUMMYFUNCTION("""COMPUTED_VALUE"""),"Александр Сэмуэль")</f>
        <v>Александр Сэмуэль</v>
      </c>
      <c r="B162" s="14" t="str">
        <f ca="1">IFERROR(__xludf.DUMMYFUNCTION("""COMPUTED_VALUE"""),"alex_star92@mail.ru")</f>
        <v>alex_star92@mail.ru</v>
      </c>
      <c r="C162" s="15" t="str">
        <f ca="1">IFERROR(__xludf.DUMMYFUNCTION("""COMPUTED_VALUE"""),"903272769")</f>
        <v>903272769</v>
      </c>
      <c r="D162" s="15"/>
      <c r="E162" s="14"/>
      <c r="F16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62" s="1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>
      <c r="A163" s="14" t="str">
        <f ca="1">IFERROR(__xludf.DUMMYFUNCTION("""COMPUTED_VALUE"""),"Александра Журавлева")</f>
        <v>Александра Журавлева</v>
      </c>
      <c r="B163" s="14" t="str">
        <f ca="1">IFERROR(__xludf.DUMMYFUNCTION("""COMPUTED_VALUE"""),"alex.zhurawlewa@yandex.ru")</f>
        <v>alex.zhurawlewa@yandex.ru</v>
      </c>
      <c r="C163" s="15"/>
      <c r="D163" s="15" t="str">
        <f ca="1">IFERROR(__xludf.DUMMYFUNCTION("""COMPUTED_VALUE"""),"Россия")</f>
        <v>Россия</v>
      </c>
      <c r="E163" s="14"/>
      <c r="F163" s="8" t="str">
        <f ca="1">IFERROR(__xludf.DUMMYFUNCTION("""COMPUTED_VALUE"""),"- Базовая бесплатная часть")</f>
        <v>- Базовая бесплатная часть</v>
      </c>
      <c r="G163" s="1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>
      <c r="A164" s="14" t="str">
        <f ca="1">IFERROR(__xludf.DUMMYFUNCTION("""COMPUTED_VALUE"""),"Александра Некрасова")</f>
        <v>Александра Некрасова</v>
      </c>
      <c r="B164" s="14" t="str">
        <f ca="1">IFERROR(__xludf.DUMMYFUNCTION("""COMPUTED_VALUE"""),"alexaa4x4chan@gmail.com")</f>
        <v>alexaa4x4chan@gmail.com</v>
      </c>
      <c r="C164" s="15"/>
      <c r="D164" s="15" t="str">
        <f ca="1">IFERROR(__xludf.DUMMYFUNCTION("""COMPUTED_VALUE"""),"Россия")</f>
        <v>Россия</v>
      </c>
      <c r="E164" s="14"/>
      <c r="F164" s="8" t="str">
        <f ca="1">IFERROR(__xludf.DUMMYFUNCTION("""COMPUTED_VALUE"""),"- Базовая бесплатная часть")</f>
        <v>- Базовая бесплатная часть</v>
      </c>
      <c r="G164" s="1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51">
      <c r="A165" s="14" t="str">
        <f ca="1">IFERROR(__xludf.DUMMYFUNCTION("""COMPUTED_VALUE"""),"Александр Константинов")</f>
        <v>Александр Константинов</v>
      </c>
      <c r="B165" s="14" t="str">
        <f ca="1">IFERROR(__xludf.DUMMYFUNCTION("""COMPUTED_VALUE"""),"alexanderkonst@gmail.com")</f>
        <v>alexanderkonst@gmail.com</v>
      </c>
      <c r="C165" s="15" t="str">
        <f ca="1">IFERROR(__xludf.DUMMYFUNCTION("""COMPUTED_VALUE"""),"+31627390326")</f>
        <v>+31627390326</v>
      </c>
      <c r="D165" s="15" t="str">
        <f ca="1">IFERROR(__xludf.DUMMYFUNCTION("""COMPUTED_VALUE"""),"Голландия")</f>
        <v>Голландия</v>
      </c>
      <c r="E165" s="14" t="str">
        <f ca="1">IFERROR(__xludf.DUMMYFUNCTION("""COMPUTED_VALUE"""),"@alexanderkonst")</f>
        <v>@alexanderkonst</v>
      </c>
      <c r="F165" s="8" t="str">
        <f ca="1">IFERROR(__xludf.DUMMYFUNCTION("""COMPUTED_VALUE"""),"- Ретрит Сочи 14-21 января 2022 (Оплата 25 декабря - 4 января)
- Ретрит ""Проектная деятельность"" для участников ретритов
- Вебинар все о ретрите 12.2.2022
- Заявка на звонок для курса ""Парадентальная медитация""")</f>
        <v>- Ретрит Сочи 14-21 января 2022 (Оплата 25 декабря - 4 января)
- Ретрит "Проектная деятельность" для участников ретритов
- Вебинар все о ретрите 12.2.2022
- Заявка на звонок для курса "Парадентальная медитация"</v>
      </c>
      <c r="G165" s="1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5.5">
      <c r="A166" s="14" t="str">
        <f ca="1">IFERROR(__xludf.DUMMYFUNCTION("""COMPUTED_VALUE"""),"Александра Завражина")</f>
        <v>Александра Завражина</v>
      </c>
      <c r="B166" s="14" t="str">
        <f ca="1">IFERROR(__xludf.DUMMYFUNCTION("""COMPUTED_VALUE"""),"Alexandra.zavrajina@gmail.com")</f>
        <v>Alexandra.zavrajina@gmail.com</v>
      </c>
      <c r="C166" s="15" t="str">
        <f ca="1">IFERROR(__xludf.DUMMYFUNCTION("""COMPUTED_VALUE"""),"+998909966323")</f>
        <v>+998909966323</v>
      </c>
      <c r="D166" s="15"/>
      <c r="E166" s="14"/>
      <c r="F16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66" s="1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>
      <c r="A167" s="14" t="str">
        <f ca="1">IFERROR(__xludf.DUMMYFUNCTION("""COMPUTED_VALUE"""),"Жанна Дятлова")</f>
        <v>Жанна Дятлова</v>
      </c>
      <c r="B167" s="14" t="str">
        <f ca="1">IFERROR(__xludf.DUMMYFUNCTION("""COMPUTED_VALUE"""),"alexandrovna.zhanna2017@yandex.ru")</f>
        <v>alexandrovna.zhanna2017@yandex.ru</v>
      </c>
      <c r="C167" s="15" t="str">
        <f ca="1">IFERROR(__xludf.DUMMYFUNCTION("""COMPUTED_VALUE"""),"+79053712018")</f>
        <v>+79053712018</v>
      </c>
      <c r="D167" s="15" t="str">
        <f ca="1">IFERROR(__xludf.DUMMYFUNCTION("""COMPUTED_VALUE"""),"Россия")</f>
        <v>Россия</v>
      </c>
      <c r="E167" s="14"/>
      <c r="F167" s="8" t="str">
        <f ca="1">IFERROR(__xludf.DUMMYFUNCTION("""COMPUTED_VALUE"""),"- Тишина Челлендж (бесплатная часть)")</f>
        <v>- Тишина Челлендж (бесплатная часть)</v>
      </c>
      <c r="G167" s="1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>
      <c r="A168" s="14" t="str">
        <f ca="1">IFERROR(__xludf.DUMMYFUNCTION("""COMPUTED_VALUE"""),"Alexa Princ")</f>
        <v>Alexa Princ</v>
      </c>
      <c r="B168" s="14" t="str">
        <f ca="1">IFERROR(__xludf.DUMMYFUNCTION("""COMPUTED_VALUE"""),"alexaprinc2021@gmail.com")</f>
        <v>alexaprinc2021@gmail.com</v>
      </c>
      <c r="C168" s="15" t="str">
        <f ca="1">IFERROR(__xludf.DUMMYFUNCTION("""COMPUTED_VALUE"""),"79511558166")</f>
        <v>79511558166</v>
      </c>
      <c r="D168" s="15" t="str">
        <f ca="1">IFERROR(__xludf.DUMMYFUNCTION("""COMPUTED_VALUE"""),"Россия")</f>
        <v>Россия</v>
      </c>
      <c r="E168" s="14"/>
      <c r="F168" s="8" t="str">
        <f ca="1">IFERROR(__xludf.DUMMYFUNCTION("""COMPUTED_VALUE"""),"- Тишина Челлендж (бесплатная часть)")</f>
        <v>- Тишина Челлендж (бесплатная часть)</v>
      </c>
      <c r="G168" s="1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>
      <c r="A169" s="14" t="str">
        <f ca="1">IFERROR(__xludf.DUMMYFUNCTION("""COMPUTED_VALUE"""),"Алексей Чураков, Алексей Чураков1")</f>
        <v>Алексей Чураков, Алексей Чураков1</v>
      </c>
      <c r="B169" s="14" t="str">
        <f ca="1">IFERROR(__xludf.DUMMYFUNCTION("""COMPUTED_VALUE"""),"alexej.maill@yandex.ru")</f>
        <v>alexej.maill@yandex.ru</v>
      </c>
      <c r="C169" s="15"/>
      <c r="D169" s="15" t="str">
        <f ca="1">IFERROR(__xludf.DUMMYFUNCTION("""COMPUTED_VALUE"""),"Россия")</f>
        <v>Россия</v>
      </c>
      <c r="E169" s="14"/>
      <c r="F169" s="8" t="str">
        <f ca="1">IFERROR(__xludf.DUMMYFUNCTION("""COMPUTED_VALUE"""),"- Тишина Челлендж (бесплатная часть)")</f>
        <v>- Тишина Челлендж (бесплатная часть)</v>
      </c>
      <c r="G169" s="1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>
      <c r="A170" s="14" t="str">
        <f ca="1">IFERROR(__xludf.DUMMYFUNCTION("""COMPUTED_VALUE"""),"Александр Крапивко")</f>
        <v>Александр Крапивко</v>
      </c>
      <c r="B170" s="14" t="str">
        <f ca="1">IFERROR(__xludf.DUMMYFUNCTION("""COMPUTED_VALUE"""),"alexk.81@mail.ru")</f>
        <v>alexk.81@mail.ru</v>
      </c>
      <c r="C170" s="15"/>
      <c r="D170" s="15" t="str">
        <f ca="1">IFERROR(__xludf.DUMMYFUNCTION("""COMPUTED_VALUE"""),"Казахстан")</f>
        <v>Казахстан</v>
      </c>
      <c r="E170" s="14"/>
      <c r="F170" s="8" t="str">
        <f ca="1">IFERROR(__xludf.DUMMYFUNCTION("""COMPUTED_VALUE"""),"- Базовая бесплатная часть")</f>
        <v>- Базовая бесплатная часть</v>
      </c>
      <c r="G170" s="1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>
      <c r="A171" s="14" t="str">
        <f ca="1">IFERROR(__xludf.DUMMYFUNCTION("""COMPUTED_VALUE"""),"Инна Козырева")</f>
        <v>Инна Козырева</v>
      </c>
      <c r="B171" s="14" t="str">
        <f ca="1">IFERROR(__xludf.DUMMYFUNCTION("""COMPUTED_VALUE"""),"Alexkozy@mail.ru")</f>
        <v>Alexkozy@mail.ru</v>
      </c>
      <c r="C171" s="15" t="str">
        <f ca="1">IFERROR(__xludf.DUMMYFUNCTION("""COMPUTED_VALUE"""),"79787512092")</f>
        <v>79787512092</v>
      </c>
      <c r="D171" s="15" t="str">
        <f ca="1">IFERROR(__xludf.DUMMYFUNCTION("""COMPUTED_VALUE"""),"Украина")</f>
        <v>Украина</v>
      </c>
      <c r="E171" s="14"/>
      <c r="F171" s="8" t="str">
        <f ca="1">IFERROR(__xludf.DUMMYFUNCTION("""COMPUTED_VALUE"""),"- Однодневный онлайн ретрит Россия 14 мая 2022")</f>
        <v>- Однодневный онлайн ретрит Россия 14 мая 2022</v>
      </c>
      <c r="G171" s="1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>
      <c r="A172" s="14" t="str">
        <f ca="1">IFERROR(__xludf.DUMMYFUNCTION("""COMPUTED_VALUE"""),"Оля Федотова")</f>
        <v>Оля Федотова</v>
      </c>
      <c r="B172" s="14" t="str">
        <f ca="1">IFERROR(__xludf.DUMMYFUNCTION("""COMPUTED_VALUE"""),"alexsandrr7@gmail.com")</f>
        <v>alexsandrr7@gmail.com</v>
      </c>
      <c r="C172" s="15"/>
      <c r="D172" s="15" t="str">
        <f ca="1">IFERROR(__xludf.DUMMYFUNCTION("""COMPUTED_VALUE"""),"Эстония")</f>
        <v>Эстония</v>
      </c>
      <c r="E172" s="14"/>
      <c r="F172" s="8" t="str">
        <f ca="1">IFERROR(__xludf.DUMMYFUNCTION("""COMPUTED_VALUE"""),"- Тишина Челлендж (бесплатная часть)")</f>
        <v>- Тишина Челлендж (бесплатная часть)</v>
      </c>
      <c r="G172" s="1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5.5">
      <c r="A173" s="14" t="str">
        <f ca="1">IFERROR(__xludf.DUMMYFUNCTION("""COMPUTED_VALUE"""),"Александра Слюсарева")</f>
        <v>Александра Слюсарева</v>
      </c>
      <c r="B173" s="14" t="str">
        <f ca="1">IFERROR(__xludf.DUMMYFUNCTION("""COMPUTED_VALUE"""),"alexsasha2475@gmail.com")</f>
        <v>alexsasha2475@gmail.com</v>
      </c>
      <c r="C173" s="15" t="str">
        <f ca="1">IFERROR(__xludf.DUMMYFUNCTION("""COMPUTED_VALUE"""),"+380663473297")</f>
        <v>+380663473297</v>
      </c>
      <c r="D173" s="15" t="str">
        <f ca="1">IFERROR(__xludf.DUMMYFUNCTION("""COMPUTED_VALUE"""),"США")</f>
        <v>США</v>
      </c>
      <c r="E173" s="14"/>
      <c r="F173" s="8" t="str">
        <f ca="1">IFERROR(__xludf.DUMMYFUNCTION("""COMPUTED_VALUE"""),"- Онлайн курс Шаг к Шаг к Пробуждению №18 7-24 мая 2022
- Друзья. Базовый уровень (ежемесячная платная подписка) ")</f>
        <v xml:space="preserve">- Онлайн курс Шаг к Шаг к Пробуждению №18 7-24 мая 2022
- Друзья. Базовый уровень (ежемесячная платная подписка) </v>
      </c>
      <c r="G173" s="1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5.5">
      <c r="A174" s="14" t="str">
        <f ca="1">IFERROR(__xludf.DUMMYFUNCTION("""COMPUTED_VALUE"""),"Алекс Димидов")</f>
        <v>Алекс Димидов</v>
      </c>
      <c r="B174" s="14" t="str">
        <f ca="1">IFERROR(__xludf.DUMMYFUNCTION("""COMPUTED_VALUE"""),"alexvankaliman@icloud.com")</f>
        <v>alexvankaliman@icloud.com</v>
      </c>
      <c r="C174" s="15" t="str">
        <f ca="1">IFERROR(__xludf.DUMMYFUNCTION("""COMPUTED_VALUE"""),"+998909334510")</f>
        <v>+998909334510</v>
      </c>
      <c r="D174" s="15"/>
      <c r="E174" s="14"/>
      <c r="F17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74" s="1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38.25">
      <c r="A175" s="14" t="str">
        <f ca="1">IFERROR(__xludf.DUMMYFUNCTION("""COMPUTED_VALUE"""),"Маргарита Алфёрова")</f>
        <v>Маргарита Алфёрова</v>
      </c>
      <c r="B175" s="14" t="str">
        <f ca="1">IFERROR(__xludf.DUMMYFUNCTION("""COMPUTED_VALUE"""),"alferova.craft@gmail.com")</f>
        <v>alferova.craft@gmail.com</v>
      </c>
      <c r="C175" s="15" t="str">
        <f ca="1">IFERROR(__xludf.DUMMYFUNCTION("""COMPUTED_VALUE"""),"+380977482188")</f>
        <v>+380977482188</v>
      </c>
      <c r="D175" s="15" t="str">
        <f ca="1">IFERROR(__xludf.DUMMYFUNCTION("""COMPUTED_VALUE"""),"Украина")</f>
        <v>Украина</v>
      </c>
      <c r="E175" s="14" t="str">
        <f ca="1">IFERROR(__xludf.DUMMYFUNCTION("""COMPUTED_VALUE"""),"@AlferovaM")</f>
        <v>@AlferovaM</v>
      </c>
      <c r="F175" s="8" t="str">
        <f ca="1">IFERROR(__xludf.DUMMYFUNCTION("""COMPUTED_VALUE"""),"- Международный ретрит 14-21.1.2022 Украина (6500 Гривен) (оплата до 29.12.2021)
- Клуб пробуждения Друзья (2 уровень) - 1 месяц")</f>
        <v>- Международный ретрит 14-21.1.2022 Украина (6500 Гривен) (оплата до 29.12.2021)
- Клуб пробуждения Друзья (2 уровень) - 1 месяц</v>
      </c>
      <c r="G175" s="1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>
      <c r="A176" s="14" t="str">
        <f ca="1">IFERROR(__xludf.DUMMYFUNCTION("""COMPUTED_VALUE"""),"Аля Су")</f>
        <v>Аля Су</v>
      </c>
      <c r="B176" s="14" t="str">
        <f ca="1">IFERROR(__xludf.DUMMYFUNCTION("""COMPUTED_VALUE"""),"alfiadesign@gmail.com")</f>
        <v>alfiadesign@gmail.com</v>
      </c>
      <c r="C176" s="15" t="str">
        <f ca="1">IFERROR(__xludf.DUMMYFUNCTION("""COMPUTED_VALUE"""),"4169931976")</f>
        <v>4169931976</v>
      </c>
      <c r="D176" s="15" t="str">
        <f ca="1">IFERROR(__xludf.DUMMYFUNCTION("""COMPUTED_VALUE"""),"Канада ")</f>
        <v xml:space="preserve">Канада </v>
      </c>
      <c r="E176" s="14"/>
      <c r="F176" s="8" t="str">
        <f ca="1">IFERROR(__xludf.DUMMYFUNCTION("""COMPUTED_VALUE"""),"- USA Челлендж Тишина")</f>
        <v>- USA Челлендж Тишина</v>
      </c>
      <c r="G176" s="1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>
      <c r="A177" s="14" t="str">
        <f ca="1">IFERROR(__xludf.DUMMYFUNCTION("""COMPUTED_VALUE"""),"Альфия Муртазина")</f>
        <v>Альфия Муртазина</v>
      </c>
      <c r="B177" s="14" t="str">
        <f ca="1">IFERROR(__xludf.DUMMYFUNCTION("""COMPUTED_VALUE"""),"Alfiamur24@ya.ru")</f>
        <v>Alfiamur24@ya.ru</v>
      </c>
      <c r="C177" s="15" t="str">
        <f ca="1">IFERROR(__xludf.DUMMYFUNCTION("""COMPUTED_VALUE"""),"79625781831")</f>
        <v>79625781831</v>
      </c>
      <c r="D177" s="15" t="str">
        <f ca="1">IFERROR(__xludf.DUMMYFUNCTION("""COMPUTED_VALUE"""),"Россия")</f>
        <v>Россия</v>
      </c>
      <c r="E177" s="14"/>
      <c r="F177" s="8" t="str">
        <f ca="1">IFERROR(__xludf.DUMMYFUNCTION("""COMPUTED_VALUE"""),"- Тишина Челлендж (бесплатная часть)")</f>
        <v>- Тишина Челлендж (бесплатная часть)</v>
      </c>
      <c r="G177" s="1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>
      <c r="A178" s="14" t="str">
        <f ca="1">IFERROR(__xludf.DUMMYFUNCTION("""COMPUTED_VALUE"""),"Алевтина Сорокина")</f>
        <v>Алевтина Сорокина</v>
      </c>
      <c r="B178" s="14" t="str">
        <f ca="1">IFERROR(__xludf.DUMMYFUNCTION("""COMPUTED_VALUE"""),"alia.sorokina@yandex.ru")</f>
        <v>alia.sorokina@yandex.ru</v>
      </c>
      <c r="C178" s="15" t="str">
        <f ca="1">IFERROR(__xludf.DUMMYFUNCTION("""COMPUTED_VALUE"""),"79158989852")</f>
        <v>79158989852</v>
      </c>
      <c r="D178" s="15"/>
      <c r="E178" s="14"/>
      <c r="F178" s="8" t="str">
        <f ca="1">IFERROR(__xludf.DUMMYFUNCTION("""COMPUTED_VALUE"""),"- Тишина Челлендж (бесплатная часть)")</f>
        <v>- Тишина Челлендж (бесплатная часть)</v>
      </c>
      <c r="G178" s="1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>
      <c r="A179" s="14" t="str">
        <f ca="1">IFERROR(__xludf.DUMMYFUNCTION("""COMPUTED_VALUE"""),"Алиса Дью")</f>
        <v>Алиса Дью</v>
      </c>
      <c r="B179" s="14" t="str">
        <f ca="1">IFERROR(__xludf.DUMMYFUNCTION("""COMPUTED_VALUE"""),"alice.saintp@mail.ru")</f>
        <v>alice.saintp@mail.ru</v>
      </c>
      <c r="C179" s="15" t="str">
        <f ca="1">IFERROR(__xludf.DUMMYFUNCTION("""COMPUTED_VALUE"""),"+79052746913")</f>
        <v>+79052746913</v>
      </c>
      <c r="D179" s="15" t="str">
        <f ca="1">IFERROR(__xludf.DUMMYFUNCTION("""COMPUTED_VALUE"""),"Россия")</f>
        <v>Россия</v>
      </c>
      <c r="E179" s="14"/>
      <c r="F179" s="8" t="str">
        <f ca="1">IFERROR(__xludf.DUMMYFUNCTION("""COMPUTED_VALUE"""),"-  встреча Космос внутри Сочи 5.3.2022")</f>
        <v>-  встреча Космос внутри Сочи 5.3.2022</v>
      </c>
      <c r="G179" s="1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>
      <c r="A180" s="14" t="str">
        <f ca="1">IFERROR(__xludf.DUMMYFUNCTION("""COMPUTED_VALUE"""),"Парвиз Алиев")</f>
        <v>Парвиз Алиев</v>
      </c>
      <c r="B180" s="14" t="str">
        <f ca="1">IFERROR(__xludf.DUMMYFUNCTION("""COMPUTED_VALUE"""),"aliev@parviz.ru")</f>
        <v>aliev@parviz.ru</v>
      </c>
      <c r="C180" s="15" t="str">
        <f ca="1">IFERROR(__xludf.DUMMYFUNCTION("""COMPUTED_VALUE"""),"+79173388424")</f>
        <v>+79173388424</v>
      </c>
      <c r="D180" s="15" t="str">
        <f ca="1">IFERROR(__xludf.DUMMYFUNCTION("""COMPUTED_VALUE"""),"Россия")</f>
        <v>Россия</v>
      </c>
      <c r="E180" s="14"/>
      <c r="F180" s="8" t="str">
        <f ca="1">IFERROR(__xludf.DUMMYFUNCTION("""COMPUTED_VALUE"""),"- Ретрит в РЦ Сочи май 2022  (Оплата с 18 до 29 апреля)")</f>
        <v>- Ретрит в РЦ Сочи май 2022  (Оплата с 18 до 29 апреля)</v>
      </c>
      <c r="G180" s="1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5.5">
      <c r="A181" s="14" t="str">
        <f ca="1">IFERROR(__xludf.DUMMYFUNCTION("""COMPUTED_VALUE"""),"Акмарал Алиева")</f>
        <v>Акмарал Алиева</v>
      </c>
      <c r="B181" s="14" t="str">
        <f ca="1">IFERROR(__xludf.DUMMYFUNCTION("""COMPUTED_VALUE"""),"Alieva_1276@MAIL.RU")</f>
        <v>Alieva_1276@MAIL.RU</v>
      </c>
      <c r="C181" s="15" t="str">
        <f ca="1">IFERROR(__xludf.DUMMYFUNCTION("""COMPUTED_VALUE"""),"87474646376")</f>
        <v>87474646376</v>
      </c>
      <c r="D181" s="15"/>
      <c r="E181" s="14"/>
      <c r="F18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1" s="1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>
      <c r="A182" s="14" t="str">
        <f ca="1">IFERROR(__xludf.DUMMYFUNCTION("""COMPUTED_VALUE"""),"Альберт Цой")</f>
        <v>Альберт Цой</v>
      </c>
      <c r="B182" s="14" t="str">
        <f ca="1">IFERROR(__xludf.DUMMYFUNCTION("""COMPUTED_VALUE"""),"aliksaent@gmail.com")</f>
        <v>aliksaent@gmail.com</v>
      </c>
      <c r="C182" s="15" t="str">
        <f ca="1">IFERROR(__xludf.DUMMYFUNCTION("""COMPUTED_VALUE"""),"+79119252888")</f>
        <v>+79119252888</v>
      </c>
      <c r="D182" s="15" t="str">
        <f ca="1">IFERROR(__xludf.DUMMYFUNCTION("""COMPUTED_VALUE"""),"Россия")</f>
        <v>Россия</v>
      </c>
      <c r="E182" s="14"/>
      <c r="F182" s="8" t="str">
        <f ca="1">IFERROR(__xludf.DUMMYFUNCTION("""COMPUTED_VALUE"""),"- Городской ретрит в Санкт-Петербурге 25-27 февраля")</f>
        <v>- Городской ретрит в Санкт-Петербурге 25-27 февраля</v>
      </c>
      <c r="G182" s="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5.5">
      <c r="A183" s="14" t="str">
        <f ca="1">IFERROR(__xludf.DUMMYFUNCTION("""COMPUTED_VALUE"""),"Алтынгуль Алимжанова")</f>
        <v>Алтынгуль Алимжанова</v>
      </c>
      <c r="B183" s="14" t="str">
        <f ca="1">IFERROR(__xludf.DUMMYFUNCTION("""COMPUTED_VALUE"""),"Alimzhanova.72@mail.ru")</f>
        <v>Alimzhanova.72@mail.ru</v>
      </c>
      <c r="C183" s="15" t="str">
        <f ca="1">IFERROR(__xludf.DUMMYFUNCTION("""COMPUTED_VALUE"""),"87018184159")</f>
        <v>87018184159</v>
      </c>
      <c r="D183" s="15"/>
      <c r="E183" s="14"/>
      <c r="F18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3" s="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5.5">
      <c r="A184" s="14" t="str">
        <f ca="1">IFERROR(__xludf.DUMMYFUNCTION("""COMPUTED_VALUE"""),"Алма Сагдиева")</f>
        <v>Алма Сагдиева</v>
      </c>
      <c r="B184" s="14" t="str">
        <f ca="1">IFERROR(__xludf.DUMMYFUNCTION("""COMPUTED_VALUE"""),"Alina_s7474@mail.ru")</f>
        <v>Alina_s7474@mail.ru</v>
      </c>
      <c r="C184" s="15" t="str">
        <f ca="1">IFERROR(__xludf.DUMMYFUNCTION("""COMPUTED_VALUE"""),"+77015558774")</f>
        <v>+77015558774</v>
      </c>
      <c r="D184" s="15"/>
      <c r="E184" s="14"/>
      <c r="F18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4" s="1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5.5">
      <c r="A185" s="14" t="str">
        <f ca="1">IFERROR(__xludf.DUMMYFUNCTION("""COMPUTED_VALUE"""),"Алина Шахметова")</f>
        <v>Алина Шахметова</v>
      </c>
      <c r="B185" s="14" t="str">
        <f ca="1">IFERROR(__xludf.DUMMYFUNCTION("""COMPUTED_VALUE"""),"Alina.shahkmetova@gmail.com")</f>
        <v>Alina.shahkmetova@gmail.com</v>
      </c>
      <c r="C185" s="15" t="str">
        <f ca="1">IFERROR(__xludf.DUMMYFUNCTION("""COMPUTED_VALUE"""),"+77472515557")</f>
        <v>+77472515557</v>
      </c>
      <c r="D185" s="15" t="str">
        <f ca="1">IFERROR(__xludf.DUMMYFUNCTION("""COMPUTED_VALUE"""),"Казахстан ")</f>
        <v xml:space="preserve">Казахстан </v>
      </c>
      <c r="E185" s="14"/>
      <c r="F18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5" s="1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>
      <c r="A186" s="14" t="str">
        <f ca="1">IFERROR(__xludf.DUMMYFUNCTION("""COMPUTED_VALUE"""),"Алина Неженская")</f>
        <v>Алина Неженская</v>
      </c>
      <c r="B186" s="14" t="str">
        <f ca="1">IFERROR(__xludf.DUMMYFUNCTION("""COMPUTED_VALUE"""),"Alina4ernova@mail.ru")</f>
        <v>Alina4ernova@mail.ru</v>
      </c>
      <c r="C186" s="15" t="str">
        <f ca="1">IFERROR(__xludf.DUMMYFUNCTION("""COMPUTED_VALUE"""),"79288112616")</f>
        <v>79288112616</v>
      </c>
      <c r="D186" s="15"/>
      <c r="E186" s="14"/>
      <c r="F186" s="8" t="str">
        <f ca="1">IFERROR(__xludf.DUMMYFUNCTION("""COMPUTED_VALUE"""),"- Тишина Челлендж (бесплатная часть)")</f>
        <v>- Тишина Челлендж (бесплатная часть)</v>
      </c>
      <c r="G186" s="1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>
      <c r="A187" s="14" t="str">
        <f ca="1">IFERROR(__xludf.DUMMYFUNCTION("""COMPUTED_VALUE"""),"Алина Краснова")</f>
        <v>Алина Краснова</v>
      </c>
      <c r="B187" s="14" t="str">
        <f ca="1">IFERROR(__xludf.DUMMYFUNCTION("""COMPUTED_VALUE"""),"alinaalexkras@gmail.com")</f>
        <v>alinaalexkras@gmail.com</v>
      </c>
      <c r="C187" s="15" t="str">
        <f ca="1">IFERROR(__xludf.DUMMYFUNCTION("""COMPUTED_VALUE"""),"+375299651367")</f>
        <v>+375299651367</v>
      </c>
      <c r="D187" s="15" t="str">
        <f ca="1">IFERROR(__xludf.DUMMYFUNCTION("""COMPUTED_VALUE"""),"Беларусь")</f>
        <v>Беларусь</v>
      </c>
      <c r="E187" s="14"/>
      <c r="F187" s="8" t="str">
        <f ca="1">IFERROR(__xludf.DUMMYFUNCTION("""COMPUTED_VALUE"""),"- Чайная встреча Разговор по душам Минск 9.04.2022")</f>
        <v>- Чайная встреча Разговор по душам Минск 9.04.2022</v>
      </c>
      <c r="G187" s="1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38.25">
      <c r="A188" s="14" t="str">
        <f ca="1">IFERROR(__xludf.DUMMYFUNCTION("""COMPUTED_VALUE"""),"Алина Бутковская")</f>
        <v>Алина Бутковская</v>
      </c>
      <c r="B188" s="14" t="str">
        <f ca="1">IFERROR(__xludf.DUMMYFUNCTION("""COMPUTED_VALUE"""),"alinab1972@mail.ru")</f>
        <v>alinab1972@mail.ru</v>
      </c>
      <c r="C188" s="15" t="str">
        <f ca="1">IFERROR(__xludf.DUMMYFUNCTION("""COMPUTED_VALUE"""),"+79049562845")</f>
        <v>+79049562845</v>
      </c>
      <c r="D188" s="15" t="str">
        <f ca="1">IFERROR(__xludf.DUMMYFUNCTION("""COMPUTED_VALUE"""),"Россия")</f>
        <v>Россия</v>
      </c>
      <c r="E188" s="14"/>
      <c r="F188" s="8" t="str">
        <f ca="1">IFERROR(__xludf.DUMMYFUNCTION("""COMPUTED_VALUE"""),"- Челлендж Тишины
- Онлайн курс Шаг к Пробуждению №16 26.2-5.3.22 Пакет стандартный")</f>
        <v>- Челлендж Тишины
- Онлайн курс Шаг к Пробуждению №16 26.2-5.3.22 Пакет стандартный</v>
      </c>
      <c r="G188" s="1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>
      <c r="A189" s="14" t="str">
        <f ca="1">IFERROR(__xludf.DUMMYFUNCTION("""COMPUTED_VALUE"""),"alinacompy,  ")</f>
        <v xml:space="preserve">alinacompy,  </v>
      </c>
      <c r="B189" s="14" t="str">
        <f ca="1">IFERROR(__xludf.DUMMYFUNCTION("""COMPUTED_VALUE"""),"alinacompy@gmail.com")</f>
        <v>alinacompy@gmail.com</v>
      </c>
      <c r="C189" s="15"/>
      <c r="D189" s="15"/>
      <c r="E189" s="14"/>
      <c r="F189" s="8" t="str">
        <f ca="1">IFERROR(__xludf.DUMMYFUNCTION("""COMPUTED_VALUE"""),"- USA Челлендж Тишина")</f>
        <v>- USA Челлендж Тишина</v>
      </c>
      <c r="G189" s="1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>
      <c r="A190" s="14" t="str">
        <f ca="1">IFERROR(__xludf.DUMMYFUNCTION("""COMPUTED_VALUE"""),"Lee Life")</f>
        <v>Lee Life</v>
      </c>
      <c r="B190" s="14" t="str">
        <f ca="1">IFERROR(__xludf.DUMMYFUNCTION("""COMPUTED_VALUE"""),"alinadolgopolov28@gmail.com")</f>
        <v>alinadolgopolov28@gmail.com</v>
      </c>
      <c r="C190" s="15"/>
      <c r="D190" s="15" t="str">
        <f ca="1">IFERROR(__xludf.DUMMYFUNCTION("""COMPUTED_VALUE"""),"Израиль")</f>
        <v>Израиль</v>
      </c>
      <c r="E190" s="14"/>
      <c r="F190" s="8" t="str">
        <f ca="1">IFERROR(__xludf.DUMMYFUNCTION("""COMPUTED_VALUE"""),"- Тишина Челлендж (бесплатная часть)")</f>
        <v>- Тишина Челлендж (бесплатная часть)</v>
      </c>
      <c r="G190" s="1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>
      <c r="A191" s="14" t="str">
        <f ca="1">IFERROR(__xludf.DUMMYFUNCTION("""COMPUTED_VALUE""")," ")</f>
        <v xml:space="preserve"> </v>
      </c>
      <c r="B191" s="14" t="str">
        <f ca="1">IFERROR(__xludf.DUMMYFUNCTION("""COMPUTED_VALUE"""),"alinah20@yandex.ru")</f>
        <v>alinah20@yandex.ru</v>
      </c>
      <c r="C191" s="15"/>
      <c r="D191" s="15"/>
      <c r="E191" s="14"/>
      <c r="F191" s="8" t="str">
        <f ca="1">IFERROR(__xludf.DUMMYFUNCTION("""COMPUTED_VALUE"""),"Мероприятий не обнаружено")</f>
        <v>Мероприятий не обнаружено</v>
      </c>
      <c r="G191" s="1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>
      <c r="A192" s="14" t="str">
        <f ca="1">IFERROR(__xludf.DUMMYFUNCTION("""COMPUTED_VALUE"""),"Алина Лапина")</f>
        <v>Алина Лапина</v>
      </c>
      <c r="B192" s="14" t="str">
        <f ca="1">IFERROR(__xludf.DUMMYFUNCTION("""COMPUTED_VALUE"""),"alinawtw@gmail.com")</f>
        <v>alinawtw@gmail.com</v>
      </c>
      <c r="C192" s="15" t="str">
        <f ca="1">IFERROR(__xludf.DUMMYFUNCTION("""COMPUTED_VALUE"""),"79042934896")</f>
        <v>79042934896</v>
      </c>
      <c r="D192" s="15" t="str">
        <f ca="1">IFERROR(__xludf.DUMMYFUNCTION("""COMPUTED_VALUE"""),"Россия")</f>
        <v>Россия</v>
      </c>
      <c r="E192" s="14"/>
      <c r="F192" s="8" t="str">
        <f ca="1">IFERROR(__xludf.DUMMYFUNCTION("""COMPUTED_VALUE"""),"- Заявка на СЪЕЗД+ФЕСТИВАЛЬ ""Мы вместе"" 3-8.01.22")</f>
        <v>- Заявка на СЪЕЗД+ФЕСТИВАЛЬ "Мы вместе" 3-8.01.22</v>
      </c>
      <c r="G192" s="1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5.5">
      <c r="A193" s="14" t="str">
        <f ca="1">IFERROR(__xludf.DUMMYFUNCTION("""COMPUTED_VALUE"""),"Алина Удовиченко")</f>
        <v>Алина Удовиченко</v>
      </c>
      <c r="B193" s="14" t="str">
        <f ca="1">IFERROR(__xludf.DUMMYFUNCTION("""COMPUTED_VALUE"""),"alinchk.2@gmail.com")</f>
        <v>alinchk.2@gmail.com</v>
      </c>
      <c r="C193" s="15" t="str">
        <f ca="1">IFERROR(__xludf.DUMMYFUNCTION("""COMPUTED_VALUE"""),"87715925115")</f>
        <v>87715925115</v>
      </c>
      <c r="D193" s="15"/>
      <c r="E193" s="14"/>
      <c r="F19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93" s="1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>
      <c r="A194" s="14" t="str">
        <f ca="1">IFERROR(__xludf.DUMMYFUNCTION("""COMPUTED_VALUE"""),"Алиса Соловых")</f>
        <v>Алиса Соловых</v>
      </c>
      <c r="B194" s="14" t="str">
        <f ca="1">IFERROR(__xludf.DUMMYFUNCTION("""COMPUTED_VALUE"""),"alis.nazarova@yandex.ru")</f>
        <v>alis.nazarova@yandex.ru</v>
      </c>
      <c r="C194" s="15" t="str">
        <f ca="1">IFERROR(__xludf.DUMMYFUNCTION("""COMPUTED_VALUE"""),"+79841838144")</f>
        <v>+79841838144</v>
      </c>
      <c r="D194" s="15" t="str">
        <f ca="1">IFERROR(__xludf.DUMMYFUNCTION("""COMPUTED_VALUE"""),"Россия")</f>
        <v>Россия</v>
      </c>
      <c r="E194" s="14"/>
      <c r="F194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194" s="1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>
      <c r="A195" s="14" t="str">
        <f ca="1">IFERROR(__xludf.DUMMYFUNCTION("""COMPUTED_VALUE"""),"Алия Утутлиева")</f>
        <v>Алия Утутлиева</v>
      </c>
      <c r="B195" s="14" t="str">
        <f ca="1">IFERROR(__xludf.DUMMYFUNCTION("""COMPUTED_VALUE"""),"aliya@g.mailcom")</f>
        <v>aliya@g.mailcom</v>
      </c>
      <c r="C195" s="15" t="str">
        <f ca="1">IFERROR(__xludf.DUMMYFUNCTION("""COMPUTED_VALUE"""),", 87783463409")</f>
        <v>, 87783463409</v>
      </c>
      <c r="D195" s="15"/>
      <c r="E195" s="14"/>
      <c r="F195" s="8" t="str">
        <f ca="1">IFERROR(__xludf.DUMMYFUNCTION("""COMPUTED_VALUE"""),"Мероприятий не обнаружено")</f>
        <v>Мероприятий не обнаружено</v>
      </c>
      <c r="G195" s="1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5.5">
      <c r="A196" s="14" t="str">
        <f ca="1">IFERROR(__xludf.DUMMYFUNCTION("""COMPUTED_VALUE"""),"Алия Динеева")</f>
        <v>Алия Динеева</v>
      </c>
      <c r="B196" s="14" t="str">
        <f ca="1">IFERROR(__xludf.DUMMYFUNCTION("""COMPUTED_VALUE"""),"aliyadineevaa@gmail.com")</f>
        <v>aliyadineevaa@gmail.com</v>
      </c>
      <c r="C196" s="15" t="str">
        <f ca="1">IFERROR(__xludf.DUMMYFUNCTION("""COMPUTED_VALUE"""),"+998946253777")</f>
        <v>+998946253777</v>
      </c>
      <c r="D196" s="15"/>
      <c r="E196" s="14"/>
      <c r="F19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96" s="1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>
      <c r="A197" s="14" t="str">
        <f ca="1">IFERROR(__xludf.DUMMYFUNCTION("""COMPUTED_VALUE"""),"Алтынай Бекжаркенова")</f>
        <v>Алтынай Бекжаркенова</v>
      </c>
      <c r="B197" s="14" t="str">
        <f ca="1">IFERROR(__xludf.DUMMYFUNCTION("""COMPUTED_VALUE"""),"Alka_1987@mail.ru")</f>
        <v>Alka_1987@mail.ru</v>
      </c>
      <c r="C197" s="15"/>
      <c r="D197" s="15" t="str">
        <f ca="1">IFERROR(__xludf.DUMMYFUNCTION("""COMPUTED_VALUE"""),"Турция")</f>
        <v>Турция</v>
      </c>
      <c r="E197" s="14"/>
      <c r="F197" s="8" t="str">
        <f ca="1">IFERROR(__xludf.DUMMYFUNCTION("""COMPUTED_VALUE"""),"- Тишина Челлендж (бесплатная часть)")</f>
        <v>- Тишина Челлендж (бесплатная часть)</v>
      </c>
      <c r="G197" s="1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>
      <c r="A198" s="14" t="str">
        <f ca="1">IFERROR(__xludf.DUMMYFUNCTION("""COMPUTED_VALUE"""),"Лариса Алексеева")</f>
        <v>Лариса Алексеева</v>
      </c>
      <c r="B198" s="14" t="str">
        <f ca="1">IFERROR(__xludf.DUMMYFUNCTION("""COMPUTED_VALUE"""),"allarisa2013@cmail.com")</f>
        <v>allarisa2013@cmail.com</v>
      </c>
      <c r="C198" s="15"/>
      <c r="D198" s="15" t="str">
        <f ca="1">IFERROR(__xludf.DUMMYFUNCTION("""COMPUTED_VALUE"""),"Россия")</f>
        <v>Россия</v>
      </c>
      <c r="E198" s="14"/>
      <c r="F198" s="8" t="str">
        <f ca="1">IFERROR(__xludf.DUMMYFUNCTION("""COMPUTED_VALUE"""),"Мероприятий не обнаружено")</f>
        <v>Мероприятий не обнаружено</v>
      </c>
      <c r="G198" s="1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>
      <c r="A199" s="14" t="str">
        <f ca="1">IFERROR(__xludf.DUMMYFUNCTION("""COMPUTED_VALUE"""),"Алла, Алла ")</f>
        <v xml:space="preserve">Алла, Алла </v>
      </c>
      <c r="B199" s="14" t="str">
        <f ca="1">IFERROR(__xludf.DUMMYFUNCTION("""COMPUTED_VALUE"""),"Alleksi89@bk.ru")</f>
        <v>Alleksi89@bk.ru</v>
      </c>
      <c r="C199" s="15" t="str">
        <f ca="1">IFERROR(__xludf.DUMMYFUNCTION("""COMPUTED_VALUE"""),"+79670484148")</f>
        <v>+79670484148</v>
      </c>
      <c r="D199" s="15" t="str">
        <f ca="1">IFERROR(__xludf.DUMMYFUNCTION("""COMPUTED_VALUE"""),"Россия")</f>
        <v>Россия</v>
      </c>
      <c r="E199" s="14"/>
      <c r="F199" s="8" t="str">
        <f ca="1">IFERROR(__xludf.DUMMYFUNCTION("""COMPUTED_VALUE"""),"- Базовая бесплатная часть")</f>
        <v>- Базовая бесплатная часть</v>
      </c>
      <c r="G199" s="1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38.25">
      <c r="A200" s="14" t="str">
        <f ca="1">IFERROR(__xludf.DUMMYFUNCTION("""COMPUTED_VALUE"""),"Алма Айбасова")</f>
        <v>Алма Айбасова</v>
      </c>
      <c r="B200" s="14" t="str">
        <f ca="1">IFERROR(__xludf.DUMMYFUNCTION("""COMPUTED_VALUE"""),"alma_sharipova@mail.ru")</f>
        <v>alma_sharipova@mail.ru</v>
      </c>
      <c r="C200" s="15" t="str">
        <f ca="1">IFERROR(__xludf.DUMMYFUNCTION("""COMPUTED_VALUE"""),"87776104857")</f>
        <v>87776104857</v>
      </c>
      <c r="D200" s="15" t="str">
        <f ca="1">IFERROR(__xludf.DUMMYFUNCTION("""COMPUTED_VALUE"""),"Казахстан")</f>
        <v>Казахстан</v>
      </c>
      <c r="E200" s="14"/>
      <c r="F200" s="8" t="str">
        <f ca="1">IFERROR(__xludf.DUMMYFUNCTION("""COMPUTED_VALUE"""),"- Марафон Тишины - Тишина челлендж: Урал, Казахстан, Узбекистан 25-29.04.2022
- Интенсив онлайн 21-22.05.2022")</f>
        <v>- Марафон Тишины - Тишина челлендж: Урал, Казахстан, Узбекистан 25-29.04.2022
- Интенсив онлайн 21-22.05.2022</v>
      </c>
      <c r="G200" s="1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>
      <c r="A201" s="14" t="str">
        <f ca="1">IFERROR(__xludf.DUMMYFUNCTION("""COMPUTED_VALUE"""),"ALMA AIBASSOVA")</f>
        <v>ALMA AIBASSOVA</v>
      </c>
      <c r="B201" s="14" t="str">
        <f ca="1">IFERROR(__xludf.DUMMYFUNCTION("""COMPUTED_VALUE"""),"almaaybasova@gmail.com")</f>
        <v>almaaybasova@gmail.com</v>
      </c>
      <c r="C201" s="15" t="str">
        <f ca="1">IFERROR(__xludf.DUMMYFUNCTION("""COMPUTED_VALUE"""),"+77776104857")</f>
        <v>+77776104857</v>
      </c>
      <c r="D201" s="15" t="str">
        <f ca="1">IFERROR(__xludf.DUMMYFUNCTION("""COMPUTED_VALUE"""),"Казахстан")</f>
        <v>Казахстан</v>
      </c>
      <c r="E201" s="14"/>
      <c r="F201" s="8" t="str">
        <f ca="1">IFERROR(__xludf.DUMMYFUNCTION("""COMPUTED_VALUE"""),"- Интенсив онлайн 21-22.05.2022")</f>
        <v>- Интенсив онлайн 21-22.05.2022</v>
      </c>
      <c r="G201" s="1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38.25">
      <c r="A202" s="14" t="str">
        <f ca="1">IFERROR(__xludf.DUMMYFUNCTION("""COMPUTED_VALUE"""),"Гульзат Токталиева")</f>
        <v>Гульзат Токталиева</v>
      </c>
      <c r="B202" s="14" t="str">
        <f ca="1">IFERROR(__xludf.DUMMYFUNCTION("""COMPUTED_VALUE"""),"almabekovna88@bk.ru")</f>
        <v>almabekovna88@bk.ru</v>
      </c>
      <c r="C202" s="15" t="str">
        <f ca="1">IFERROR(__xludf.DUMMYFUNCTION("""COMPUTED_VALUE"""),"+996508828898")</f>
        <v>+996508828898</v>
      </c>
      <c r="D202" s="15" t="str">
        <f ca="1">IFERROR(__xludf.DUMMYFUNCTION("""COMPUTED_VALUE"""),"Кыргызстан ")</f>
        <v xml:space="preserve">Кыргызстан </v>
      </c>
      <c r="E202" s="14"/>
      <c r="F202" s="8" t="str">
        <f ca="1">IFERROR(__xludf.DUMMYFUNCTION("""COMPUTED_VALUE"""),"- Марафон Тишины - Тишина челлендж: Урал, Казахстан, Узбекистан 25-29.04.2022
- Ретрит в Сочи 17-25 июля 2022 (при оплате до 3 июля)")</f>
        <v>- Марафон Тишины - Тишина челлендж: Урал, Казахстан, Узбекистан 25-29.04.2022
- Ретрит в Сочи 17-25 июля 2022 (при оплате до 3 июля)</v>
      </c>
      <c r="G202" s="1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5.5">
      <c r="A203" s="14" t="str">
        <f ca="1">IFERROR(__xludf.DUMMYFUNCTION("""COMPUTED_VALUE"""),"Алма Нуралина in")</f>
        <v>Алма Нуралина in</v>
      </c>
      <c r="B203" s="14" t="str">
        <f ca="1">IFERROR(__xludf.DUMMYFUNCTION("""COMPUTED_VALUE"""),"Almagul_nuralina@mail.ru")</f>
        <v>Almagul_nuralina@mail.ru</v>
      </c>
      <c r="C203" s="15" t="str">
        <f ca="1">IFERROR(__xludf.DUMMYFUNCTION("""COMPUTED_VALUE"""),"77021047208")</f>
        <v>77021047208</v>
      </c>
      <c r="D203" s="15"/>
      <c r="E203" s="14"/>
      <c r="F20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03" s="1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5.5">
      <c r="A204" s="14" t="str">
        <f ca="1">IFERROR(__xludf.DUMMYFUNCTION("""COMPUTED_VALUE"""),"Алмагуль Есенжолова")</f>
        <v>Алмагуль Есенжолова</v>
      </c>
      <c r="B204" s="14" t="str">
        <f ca="1">IFERROR(__xludf.DUMMYFUNCTION("""COMPUTED_VALUE"""),"almagul078@mail.ru")</f>
        <v>almagul078@mail.ru</v>
      </c>
      <c r="C204" s="15" t="str">
        <f ca="1">IFERROR(__xludf.DUMMYFUNCTION("""COMPUTED_VALUE"""),"+77473499378")</f>
        <v>+77473499378</v>
      </c>
      <c r="D204" s="15"/>
      <c r="E204" s="14"/>
      <c r="F20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04" s="1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>
      <c r="A205" s="14" t="str">
        <f ca="1">IFERROR(__xludf.DUMMYFUNCTION("""COMPUTED_VALUE"""),"Rushona KENJAYEVA")</f>
        <v>Rushona KENJAYEVA</v>
      </c>
      <c r="B205" s="14" t="str">
        <f ca="1">IFERROR(__xludf.DUMMYFUNCTION("""COMPUTED_VALUE"""),"almardonovnarusona@gmail.com")</f>
        <v>almardonovnarusona@gmail.com</v>
      </c>
      <c r="C205" s="15" t="str">
        <f ca="1">IFERROR(__xludf.DUMMYFUNCTION("""COMPUTED_VALUE"""),", +998904770808")</f>
        <v>, +998904770808</v>
      </c>
      <c r="D205" s="15"/>
      <c r="E205" s="14"/>
      <c r="F205" s="8" t="str">
        <f ca="1">IFERROR(__xludf.DUMMYFUNCTION("""COMPUTED_VALUE"""),"Мероприятий не обнаружено")</f>
        <v>Мероприятий не обнаружено</v>
      </c>
      <c r="G205" s="1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38.25">
      <c r="A206" s="14" t="str">
        <f ca="1">IFERROR(__xludf.DUMMYFUNCTION("""COMPUTED_VALUE"""),"Mira Alina")</f>
        <v>Mira Alina</v>
      </c>
      <c r="B206" s="14" t="str">
        <f ca="1">IFERROR(__xludf.DUMMYFUNCTION("""COMPUTED_VALUE"""),"almira1601@gmail.com")</f>
        <v>almira1601@gmail.com</v>
      </c>
      <c r="C206" s="15" t="str">
        <f ca="1">IFERROR(__xludf.DUMMYFUNCTION("""COMPUTED_VALUE"""),"+77786200816")</f>
        <v>+77786200816</v>
      </c>
      <c r="D206" s="15" t="str">
        <f ca="1">IFERROR(__xludf.DUMMYFUNCTION("""COMPUTED_VALUE"""),"Казахстан")</f>
        <v>Казахстан</v>
      </c>
      <c r="E206" s="14"/>
      <c r="F206" s="8" t="str">
        <f ca="1">IFERROR(__xludf.DUMMYFUNCTION("""COMPUTED_VALUE"""),"- Марафон Тишины - Тишина челлендж: Урал, Казахстан, Узбекистан 25-29.04.2022
- Тишина Челлендж (бесплатная часть)")</f>
        <v>- Марафон Тишины - Тишина челлендж: Урал, Казахстан, Узбекистан 25-29.04.2022
- Тишина Челлендж (бесплатная часть)</v>
      </c>
      <c r="G206" s="1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5.5">
      <c r="A207" s="14" t="str">
        <f ca="1">IFERROR(__xludf.DUMMYFUNCTION("""COMPUTED_VALUE"""),"Альмира Досова")</f>
        <v>Альмира Досова</v>
      </c>
      <c r="B207" s="14" t="str">
        <f ca="1">IFERROR(__xludf.DUMMYFUNCTION("""COMPUTED_VALUE"""),"Almiranum@mail.ru")</f>
        <v>Almiranum@mail.ru</v>
      </c>
      <c r="C207" s="15" t="str">
        <f ca="1">IFERROR(__xludf.DUMMYFUNCTION("""COMPUTED_VALUE"""),"87772927781")</f>
        <v>87772927781</v>
      </c>
      <c r="D207" s="15"/>
      <c r="E207" s="14"/>
      <c r="F20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07" s="1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5.5">
      <c r="A208" s="14" t="str">
        <f ca="1">IFERROR(__xludf.DUMMYFUNCTION("""COMPUTED_VALUE"""),"Sandra Alm")</f>
        <v>Sandra Alm</v>
      </c>
      <c r="B208" s="14" t="str">
        <f ca="1">IFERROR(__xludf.DUMMYFUNCTION("""COMPUTED_VALUE"""),"almuhametova_1@mail.ru")</f>
        <v>almuhametova_1@mail.ru</v>
      </c>
      <c r="C208" s="15" t="str">
        <f ca="1">IFERROR(__xludf.DUMMYFUNCTION("""COMPUTED_VALUE"""),"87003761206")</f>
        <v>87003761206</v>
      </c>
      <c r="D208" s="15"/>
      <c r="E208" s="14"/>
      <c r="F20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08" s="1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>
      <c r="A209" s="14" t="str">
        <f ca="1">IFERROR(__xludf.DUMMYFUNCTION("""COMPUTED_VALUE"""),"Алена Лизогуб")</f>
        <v>Алена Лизогуб</v>
      </c>
      <c r="B209" s="14" t="str">
        <f ca="1">IFERROR(__xludf.DUMMYFUNCTION("""COMPUTED_VALUE"""),"alna-lizogub@rambler.ru")</f>
        <v>alna-lizogub@rambler.ru</v>
      </c>
      <c r="C209" s="15" t="str">
        <f ca="1">IFERROR(__xludf.DUMMYFUNCTION("""COMPUTED_VALUE"""),"79127026521")</f>
        <v>79127026521</v>
      </c>
      <c r="D209" s="15" t="str">
        <f ca="1">IFERROR(__xludf.DUMMYFUNCTION("""COMPUTED_VALUE"""),"Россия")</f>
        <v>Россия</v>
      </c>
      <c r="E209" s="14"/>
      <c r="F209" s="8" t="str">
        <f ca="1">IFERROR(__xludf.DUMMYFUNCTION("""COMPUTED_VALUE"""),"- Тишина Челлендж (бесплатная часть)")</f>
        <v>- Тишина Челлендж (бесплатная часть)</v>
      </c>
      <c r="G209" s="1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>
      <c r="A210" s="14" t="str">
        <f ca="1">IFERROR(__xludf.DUMMYFUNCTION("""COMPUTED_VALUE"""),"Константин Дубовцев")</f>
        <v>Константин Дубовцев</v>
      </c>
      <c r="B210" s="14" t="str">
        <f ca="1">IFERROR(__xludf.DUMMYFUNCTION("""COMPUTED_VALUE"""),"alon3430@mail.ru")</f>
        <v>alon3430@mail.ru</v>
      </c>
      <c r="C210" s="15" t="str">
        <f ca="1">IFERROR(__xludf.DUMMYFUNCTION("""COMPUTED_VALUE"""),"+79064061670")</f>
        <v>+79064061670</v>
      </c>
      <c r="D210" s="15" t="str">
        <f ca="1">IFERROR(__xludf.DUMMYFUNCTION("""COMPUTED_VALUE"""),"Россия")</f>
        <v>Россия</v>
      </c>
      <c r="E210" s="14"/>
      <c r="F210" s="8" t="str">
        <f ca="1">IFERROR(__xludf.DUMMYFUNCTION("""COMPUTED_VALUE"""),"- Однодневный онлайн ретрит Россия 14 мая 2022")</f>
        <v>- Однодневный онлайн ретрит Россия 14 мая 2022</v>
      </c>
      <c r="G210" s="1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>
      <c r="A211" s="14" t="str">
        <f ca="1">IFERROR(__xludf.DUMMYFUNCTION("""COMPUTED_VALUE"""),"Александр Шаталов")</f>
        <v>Александр Шаталов</v>
      </c>
      <c r="B211" s="14" t="str">
        <f ca="1">IFERROR(__xludf.DUMMYFUNCTION("""COMPUTED_VALUE"""),"alxshatalov@yandex.ru")</f>
        <v>alxshatalov@yandex.ru</v>
      </c>
      <c r="C211" s="15" t="str">
        <f ca="1">IFERROR(__xludf.DUMMYFUNCTION("""COMPUTED_VALUE"""),"+37258589928")</f>
        <v>+37258589928</v>
      </c>
      <c r="D211" s="15" t="str">
        <f ca="1">IFERROR(__xludf.DUMMYFUNCTION("""COMPUTED_VALUE"""),"Эстония")</f>
        <v>Эстония</v>
      </c>
      <c r="E211" s="14"/>
      <c r="F211" s="8" t="str">
        <f ca="1">IFERROR(__xludf.DUMMYFUNCTION("""COMPUTED_VALUE"""),"- Тишина Челлендж (бесплатная часть)")</f>
        <v>- Тишина Челлендж (бесплатная часть)</v>
      </c>
      <c r="G211" s="1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5.5">
      <c r="A212" s="14" t="str">
        <f ca="1">IFERROR(__xludf.DUMMYFUNCTION("""COMPUTED_VALUE"""),"Естегуль Тлеугожина")</f>
        <v>Естегуль Тлеугожина</v>
      </c>
      <c r="B212" s="14" t="str">
        <f ca="1">IFERROR(__xludf.DUMMYFUNCTION("""COMPUTED_VALUE"""),"alya.85.24@inbox.ru")</f>
        <v>alya.85.24@inbox.ru</v>
      </c>
      <c r="C212" s="15" t="str">
        <f ca="1">IFERROR(__xludf.DUMMYFUNCTION("""COMPUTED_VALUE"""),"87479191816")</f>
        <v>87479191816</v>
      </c>
      <c r="D212" s="15" t="str">
        <f ca="1">IFERROR(__xludf.DUMMYFUNCTION("""COMPUTED_VALUE"""),"Казахстан")</f>
        <v>Казахстан</v>
      </c>
      <c r="E212" s="14"/>
      <c r="F21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12" s="1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5.5">
      <c r="A213" s="14" t="str">
        <f ca="1">IFERROR(__xludf.DUMMYFUNCTION("""COMPUTED_VALUE"""),"Александра Засыпкина")</f>
        <v>Александра Засыпкина</v>
      </c>
      <c r="B213" s="14" t="str">
        <f ca="1">IFERROR(__xludf.DUMMYFUNCTION("""COMPUTED_VALUE"""),"alya.zasypkina.90@bk.ru")</f>
        <v>alya.zasypkina.90@bk.ru</v>
      </c>
      <c r="C213" s="15" t="str">
        <f ca="1">IFERROR(__xludf.DUMMYFUNCTION("""COMPUTED_VALUE"""),"79530423449")</f>
        <v>79530423449</v>
      </c>
      <c r="D213" s="15"/>
      <c r="E213" s="14"/>
      <c r="F21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13" s="1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63.75">
      <c r="A214" s="14" t="str">
        <f ca="1">IFERROR(__xludf.DUMMYFUNCTION("""COMPUTED_VALUE"""),"Алена Ткаченко")</f>
        <v>Алена Ткаченко</v>
      </c>
      <c r="B214" s="14" t="str">
        <f ca="1">IFERROR(__xludf.DUMMYFUNCTION("""COMPUTED_VALUE"""),"alyonadaiva@hotmail.co.uk")</f>
        <v>alyonadaiva@hotmail.co.uk</v>
      </c>
      <c r="C214" s="15" t="str">
        <f ca="1">IFERROR(__xludf.DUMMYFUNCTION("""COMPUTED_VALUE"""),"+447596615590")</f>
        <v>+447596615590</v>
      </c>
      <c r="D214" s="15" t="str">
        <f ca="1">IFERROR(__xludf.DUMMYFUNCTION("""COMPUTED_VALUE"""),"США")</f>
        <v>США</v>
      </c>
      <c r="E214" s="14" t="str">
        <f ca="1">IFERROR(__xludf.DUMMYFUNCTION("""COMPUTED_VALUE"""),"Алена Ткаченко @alyonadaiva")</f>
        <v>Алена Ткаченко @alyonadaiva</v>
      </c>
      <c r="F214" s="8" t="str">
        <f ca="1">IFERROR(__xludf.DUMMYFUNCTION("""COMPUTED_VALUE"""),"- Международный ретрит 14-21.1.2022 Украина (6500 Гривен) (оплата до 26.12.2021)
- Ретрит ""Проектная деятельность"" для участников ретритов
- Клуб пробуждения Друзья (2 уровень) - 4 месяца - скидка 7%
- Вебинар с Никитой Бородулиным 11.02.2022 часть1")</f>
        <v>- Международный ретрит 14-21.1.2022 Украина (6500 Гривен) (оплата до 26.12.2021)
- Ретрит "Проектная деятельность" для участников ретритов
- Клуб пробуждения Друзья (2 уровень) - 4 месяца - скидка 7%
- Вебинар с Никитой Бородулиным 11.02.2022 часть1</v>
      </c>
      <c r="G214" s="1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>
      <c r="A215" s="14" t="str">
        <f ca="1">IFERROR(__xludf.DUMMYFUNCTION("""COMPUTED_VALUE"""),"Alyssa WarrenWood")</f>
        <v>Alyssa WarrenWood</v>
      </c>
      <c r="B215" s="14" t="str">
        <f ca="1">IFERROR(__xludf.DUMMYFUNCTION("""COMPUTED_VALUE"""),"alyssacw90@gmail.com")</f>
        <v>alyssacw90@gmail.com</v>
      </c>
      <c r="C215" s="15"/>
      <c r="D215" s="15" t="str">
        <f ca="1">IFERROR(__xludf.DUMMYFUNCTION("""COMPUTED_VALUE"""),"США")</f>
        <v>США</v>
      </c>
      <c r="E215" s="14"/>
      <c r="F215" s="8" t="str">
        <f ca="1">IFERROR(__xludf.DUMMYFUNCTION("""COMPUTED_VALUE"""),"- Awakening challenge")</f>
        <v>- Awakening challenge</v>
      </c>
      <c r="G215" s="1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>
      <c r="A216" s="14" t="str">
        <f ca="1">IFERROR(__xludf.DUMMYFUNCTION("""COMPUTED_VALUE"""),"Андрей  Ан, Андрей Ан")</f>
        <v>Андрей  Ан, Андрей Ан</v>
      </c>
      <c r="B216" s="14" t="str">
        <f ca="1">IFERROR(__xludf.DUMMYFUNCTION("""COMPUTED_VALUE"""),"alznnerbiz@gmail.com")</f>
        <v>alznnerbiz@gmail.com</v>
      </c>
      <c r="C216" s="15" t="str">
        <f ca="1">IFERROR(__xludf.DUMMYFUNCTION("""COMPUTED_VALUE"""),"821073084577")</f>
        <v>821073084577</v>
      </c>
      <c r="D216" s="15" t="str">
        <f ca="1">IFERROR(__xludf.DUMMYFUNCTION("""COMPUTED_VALUE"""),"Южная Корея")</f>
        <v>Южная Корея</v>
      </c>
      <c r="E216" s="14"/>
      <c r="F216" s="8" t="str">
        <f ca="1">IFERROR(__xludf.DUMMYFUNCTION("""COMPUTED_VALUE"""),"- Онлайн Интенсив Дальний Восток 25-27.03.2022 Оплата в Евро €")</f>
        <v>- Онлайн Интенсив Дальний Восток 25-27.03.2022 Оплата в Евро €</v>
      </c>
      <c r="G216" s="1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5.5">
      <c r="A217" s="14" t="str">
        <f ca="1">IFERROR(__xludf.DUMMYFUNCTION("""COMPUTED_VALUE"""),"Амаль Шароипов")</f>
        <v>Амаль Шароипов</v>
      </c>
      <c r="B217" s="14" t="str">
        <f ca="1">IFERROR(__xludf.DUMMYFUNCTION("""COMPUTED_VALUE"""),"amal_sharipov@thermoking.uz")</f>
        <v>amal_sharipov@thermoking.uz</v>
      </c>
      <c r="C217" s="15" t="str">
        <f ca="1">IFERROR(__xludf.DUMMYFUNCTION("""COMPUTED_VALUE"""),"+998990850935")</f>
        <v>+998990850935</v>
      </c>
      <c r="D217" s="15" t="str">
        <f ca="1">IFERROR(__xludf.DUMMYFUNCTION("""COMPUTED_VALUE"""),"Узбекистан")</f>
        <v>Узбекистан</v>
      </c>
      <c r="E217" s="14"/>
      <c r="F21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17" s="1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>
      <c r="A218" s="14" t="str">
        <f ca="1">IFERROR(__xludf.DUMMYFUNCTION("""COMPUTED_VALUE"""),"Амалия Азатян")</f>
        <v>Амалия Азатян</v>
      </c>
      <c r="B218" s="14" t="str">
        <f ca="1">IFERROR(__xludf.DUMMYFUNCTION("""COMPUTED_VALUE"""),"Amalia-rescuer@yandex.by")</f>
        <v>Amalia-rescuer@yandex.by</v>
      </c>
      <c r="C218" s="15" t="str">
        <f ca="1">IFERROR(__xludf.DUMMYFUNCTION("""COMPUTED_VALUE"""),"+79256297551")</f>
        <v>+79256297551</v>
      </c>
      <c r="D218" s="15" t="str">
        <f ca="1">IFERROR(__xludf.DUMMYFUNCTION("""COMPUTED_VALUE"""),"Россия")</f>
        <v>Россия</v>
      </c>
      <c r="E218" s="14"/>
      <c r="F218" s="8" t="str">
        <f ca="1">IFERROR(__xludf.DUMMYFUNCTION("""COMPUTED_VALUE"""),"- Осознанная суббота Сочи регулярное")</f>
        <v>- Осознанная суббота Сочи регулярное</v>
      </c>
      <c r="G218" s="1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>
      <c r="A219" s="14" t="str">
        <f ca="1">IFERROR(__xludf.DUMMYFUNCTION("""COMPUTED_VALUE"""),"Анель Амандосова")</f>
        <v>Анель Амандосова</v>
      </c>
      <c r="B219" s="14" t="str">
        <f ca="1">IFERROR(__xludf.DUMMYFUNCTION("""COMPUTED_VALUE"""),"amandosova.anel@mail.ru")</f>
        <v>amandosova.anel@mail.ru</v>
      </c>
      <c r="C219" s="15" t="str">
        <f ca="1">IFERROR(__xludf.DUMMYFUNCTION("""COMPUTED_VALUE"""),"87018086776")</f>
        <v>87018086776</v>
      </c>
      <c r="D219" s="15" t="str">
        <f ca="1">IFERROR(__xludf.DUMMYFUNCTION("""COMPUTED_VALUE"""),"Швеция")</f>
        <v>Швеция</v>
      </c>
      <c r="E219" s="14"/>
      <c r="F219" s="8" t="str">
        <f ca="1">IFERROR(__xludf.DUMMYFUNCTION("""COMPUTED_VALUE"""),"- Тишина Челлендж (бесплатная часть)")</f>
        <v>- Тишина Челлендж (бесплатная часть)</v>
      </c>
      <c r="G219" s="1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>
      <c r="A220" s="14" t="str">
        <f ca="1">IFERROR(__xludf.DUMMYFUNCTION("""COMPUTED_VALUE"""),"Алла Мастафанова")</f>
        <v>Алла Мастафанова</v>
      </c>
      <c r="B220" s="14" t="str">
        <f ca="1">IFERROR(__xludf.DUMMYFUNCTION("""COMPUTED_VALUE"""),"amastafanova@bk.ru")</f>
        <v>amastafanova@bk.ru</v>
      </c>
      <c r="C220" s="15" t="str">
        <f ca="1">IFERROR(__xludf.DUMMYFUNCTION("""COMPUTED_VALUE"""),"79210193385")</f>
        <v>79210193385</v>
      </c>
      <c r="D220" s="15" t="str">
        <f ca="1">IFERROR(__xludf.DUMMYFUNCTION("""COMPUTED_VALUE"""),"Россия")</f>
        <v>Россия</v>
      </c>
      <c r="E220" s="14"/>
      <c r="F220" s="8" t="str">
        <f ca="1">IFERROR(__xludf.DUMMYFUNCTION("""COMPUTED_VALUE"""),"- Тишина Челлендж (бесплатная часть)")</f>
        <v>- Тишина Челлендж (бесплатная часть)</v>
      </c>
      <c r="G220" s="1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>
      <c r="A221" s="14" t="str">
        <f ca="1">IFERROR(__xludf.DUMMYFUNCTION("""COMPUTED_VALUE"""),"Кристина Ткаченко")</f>
        <v>Кристина Ткаченко</v>
      </c>
      <c r="B221" s="14" t="str">
        <f ca="1">IFERROR(__xludf.DUMMYFUNCTION("""COMPUTED_VALUE"""),"ammalgamma3@gmail.com")</f>
        <v>ammalgamma3@gmail.com</v>
      </c>
      <c r="C221" s="15"/>
      <c r="D221" s="15" t="str">
        <f ca="1">IFERROR(__xludf.DUMMYFUNCTION("""COMPUTED_VALUE"""),"Швеция")</f>
        <v>Швеция</v>
      </c>
      <c r="E221" s="14"/>
      <c r="F221" s="8" t="str">
        <f ca="1">IFERROR(__xludf.DUMMYFUNCTION("""COMPUTED_VALUE"""),"- Тишина Челлендж (бесплатная часть)")</f>
        <v>- Тишина Челлендж (бесплатная часть)</v>
      </c>
      <c r="G221" s="1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>
      <c r="A222" s="14" t="str">
        <f ca="1">IFERROR(__xludf.DUMMYFUNCTION("""COMPUTED_VALUE"""),"Андрей Мокров")</f>
        <v>Андрей Мокров</v>
      </c>
      <c r="B222" s="14" t="str">
        <f ca="1">IFERROR(__xludf.DUMMYFUNCTION("""COMPUTED_VALUE"""),"Amokrov@inbox.ru")</f>
        <v>Amokrov@inbox.ru</v>
      </c>
      <c r="C222" s="15" t="str">
        <f ca="1">IFERROR(__xludf.DUMMYFUNCTION("""COMPUTED_VALUE"""),"+79197662093")</f>
        <v>+79197662093</v>
      </c>
      <c r="D222" s="15" t="str">
        <f ca="1">IFERROR(__xludf.DUMMYFUNCTION("""COMPUTED_VALUE"""),"Россия")</f>
        <v>Россия</v>
      </c>
      <c r="E222" s="14"/>
      <c r="F222" s="8" t="str">
        <f ca="1">IFERROR(__xludf.DUMMYFUNCTION("""COMPUTED_VALUE"""),"- Ретрит в РЦ Сочи 19-27 марта 2022 (Оплата до 6 марта)")</f>
        <v>- Ретрит в РЦ Сочи 19-27 марта 2022 (Оплата до 6 марта)</v>
      </c>
      <c r="G222" s="1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5.5">
      <c r="A223" s="14" t="str">
        <f ca="1">IFERROR(__xludf.DUMMYFUNCTION("""COMPUTED_VALUE"""),"Александра Москотова")</f>
        <v>Александра Москотова</v>
      </c>
      <c r="B223" s="14" t="str">
        <f ca="1">IFERROR(__xludf.DUMMYFUNCTION("""COMPUTED_VALUE"""),"amoskotova@mail.ru")</f>
        <v>amoskotova@mail.ru</v>
      </c>
      <c r="C223" s="15" t="str">
        <f ca="1">IFERROR(__xludf.DUMMYFUNCTION("""COMPUTED_VALUE"""),"87786811983")</f>
        <v>87786811983</v>
      </c>
      <c r="D223" s="15"/>
      <c r="E223" s="14"/>
      <c r="F22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23" s="1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>
      <c r="A224" s="14" t="str">
        <f ca="1">IFERROR(__xludf.DUMMYFUNCTION("""COMPUTED_VALUE"""),"Хамзахон Бекмирзаева")</f>
        <v>Хамзахон Бекмирзаева</v>
      </c>
      <c r="B224" s="14" t="str">
        <f ca="1">IFERROR(__xludf.DUMMYFUNCTION("""COMPUTED_VALUE"""),"amzahonbekmirzaeva@gmail.com")</f>
        <v>amzahonbekmirzaeva@gmail.com</v>
      </c>
      <c r="C224" s="15" t="str">
        <f ca="1">IFERROR(__xludf.DUMMYFUNCTION("""COMPUTED_VALUE"""),", +998911445401")</f>
        <v>, +998911445401</v>
      </c>
      <c r="D224" s="15" t="str">
        <f ca="1">IFERROR(__xludf.DUMMYFUNCTION("""COMPUTED_VALUE"""),"Узбекистан")</f>
        <v>Узбекистан</v>
      </c>
      <c r="E224" s="14"/>
      <c r="F224" s="8" t="str">
        <f ca="1">IFERROR(__xludf.DUMMYFUNCTION("""COMPUTED_VALUE"""),"Мероприятий не обнаружено")</f>
        <v>Мероприятий не обнаружено</v>
      </c>
      <c r="G224" s="1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>
      <c r="A225" s="14" t="str">
        <f ca="1">IFERROR(__xludf.DUMMYFUNCTION("""COMPUTED_VALUE"""),"Анастасія Барабаш")</f>
        <v>Анастасія Барабаш</v>
      </c>
      <c r="B225" s="14" t="str">
        <f ca="1">IFERROR(__xludf.DUMMYFUNCTION("""COMPUTED_VALUE"""),"an.barabash00@gmail.com")</f>
        <v>an.barabash00@gmail.com</v>
      </c>
      <c r="C225" s="15" t="str">
        <f ca="1">IFERROR(__xludf.DUMMYFUNCTION("""COMPUTED_VALUE"""),"+380675543841")</f>
        <v>+380675543841</v>
      </c>
      <c r="D225" s="15"/>
      <c r="E225" s="14" t="str">
        <f ca="1">IFERROR(__xludf.DUMMYFUNCTION("""COMPUTED_VALUE"""),"@iloverabbits00")</f>
        <v>@iloverabbits00</v>
      </c>
      <c r="F225" s="8" t="str">
        <f ca="1">IFERROR(__xludf.DUMMYFUNCTION("""COMPUTED_VALUE"""),"- Клуб пробуждения Друзья (2 уровень) - 1 месяц")</f>
        <v>- Клуб пробуждения Друзья (2 уровень) - 1 месяц</v>
      </c>
      <c r="G225" s="1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>
      <c r="A226" s="14" t="str">
        <f ca="1">IFERROR(__xludf.DUMMYFUNCTION("""COMPUTED_VALUE"""),"ana8luca,  ")</f>
        <v xml:space="preserve">ana8luca,  </v>
      </c>
      <c r="B226" s="14" t="str">
        <f ca="1">IFERROR(__xludf.DUMMYFUNCTION("""COMPUTED_VALUE"""),"ana8luca@gmail.com")</f>
        <v>ana8luca@gmail.com</v>
      </c>
      <c r="C226" s="15"/>
      <c r="D226" s="15"/>
      <c r="E226" s="14"/>
      <c r="F226" s="8" t="str">
        <f ca="1">IFERROR(__xludf.DUMMYFUNCTION("""COMPUTED_VALUE"""),"- USA Челлендж Тишина")</f>
        <v>- USA Челлендж Тишина</v>
      </c>
      <c r="G226" s="1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>
      <c r="A227" s="14" t="str">
        <f ca="1">IFERROR(__xludf.DUMMYFUNCTION("""COMPUTED_VALUE"""),"Ana Vieira")</f>
        <v>Ana Vieira</v>
      </c>
      <c r="B227" s="14" t="str">
        <f ca="1">IFERROR(__xludf.DUMMYFUNCTION("""COMPUTED_VALUE"""),"analerenovieira@gmail.com")</f>
        <v>analerenovieira@gmail.com</v>
      </c>
      <c r="C227" s="15"/>
      <c r="D227" s="15"/>
      <c r="E227" s="14"/>
      <c r="F227" s="8" t="str">
        <f ca="1">IFERROR(__xludf.DUMMYFUNCTION("""COMPUTED_VALUE"""),"- What hides behind anxiety? The quantum leap [EU]")</f>
        <v>- What hides behind anxiety? The quantum leap [EU]</v>
      </c>
      <c r="G227" s="1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>
      <c r="A228" s="14" t="str">
        <f ca="1">IFERROR(__xludf.DUMMYFUNCTION("""COMPUTED_VALUE"""),"Юлия Колесник")</f>
        <v>Юлия Колесник</v>
      </c>
      <c r="B228" s="14" t="str">
        <f ca="1">IFERROR(__xludf.DUMMYFUNCTION("""COMPUTED_VALUE"""),"analitikkjs@gmail.com")</f>
        <v>analitikkjs@gmail.com</v>
      </c>
      <c r="C228" s="15" t="str">
        <f ca="1">IFERROR(__xludf.DUMMYFUNCTION("""COMPUTED_VALUE"""),"+380678073304")</f>
        <v>+380678073304</v>
      </c>
      <c r="D228" s="15" t="str">
        <f ca="1">IFERROR(__xludf.DUMMYFUNCTION("""COMPUTED_VALUE"""),"Украина ")</f>
        <v xml:space="preserve">Украина </v>
      </c>
      <c r="E228" s="14"/>
      <c r="F228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228" s="1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>
      <c r="A229" s="14" t="str">
        <f ca="1">IFERROR(__xludf.DUMMYFUNCTION("""COMPUTED_VALUE"""),"Анара Абдиманапова")</f>
        <v>Анара Абдиманапова</v>
      </c>
      <c r="B229" s="14" t="str">
        <f ca="1">IFERROR(__xludf.DUMMYFUNCTION("""COMPUTED_VALUE"""),"anara.abdimanapova@mail.ru")</f>
        <v>anara.abdimanapova@mail.ru</v>
      </c>
      <c r="C229" s="15"/>
      <c r="D229" s="15" t="str">
        <f ca="1">IFERROR(__xludf.DUMMYFUNCTION("""COMPUTED_VALUE"""),"Швеция")</f>
        <v>Швеция</v>
      </c>
      <c r="E229" s="14"/>
      <c r="F229" s="8" t="str">
        <f ca="1">IFERROR(__xludf.DUMMYFUNCTION("""COMPUTED_VALUE"""),"- Тишина Челлендж (бесплатная часть)")</f>
        <v>- Тишина Челлендж (бесплатная часть)</v>
      </c>
      <c r="G229" s="1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>
      <c r="A230" s="14" t="str">
        <f ca="1">IFERROR(__xludf.DUMMYFUNCTION("""COMPUTED_VALUE"""),"Анара Ускембаева")</f>
        <v>Анара Ускембаева</v>
      </c>
      <c r="B230" s="14" t="str">
        <f ca="1">IFERROR(__xludf.DUMMYFUNCTION("""COMPUTED_VALUE"""),"anara1101@mail.ru")</f>
        <v>anara1101@mail.ru</v>
      </c>
      <c r="C230" s="15" t="str">
        <f ca="1">IFERROR(__xludf.DUMMYFUNCTION("""COMPUTED_VALUE"""),"+77071947087")</f>
        <v>+77071947087</v>
      </c>
      <c r="D230" s="15" t="str">
        <f ca="1">IFERROR(__xludf.DUMMYFUNCTION("""COMPUTED_VALUE"""),"Казахстан")</f>
        <v>Казахстан</v>
      </c>
      <c r="E230" s="14"/>
      <c r="F230" s="8" t="str">
        <f ca="1">IFERROR(__xludf.DUMMYFUNCTION("""COMPUTED_VALUE"""),"- Тишина Челлендж (бесплатная часть)")</f>
        <v>- Тишина Челлендж (бесплатная часть)</v>
      </c>
      <c r="G230" s="1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5.5">
      <c r="A231" s="14" t="str">
        <f ca="1">IFERROR(__xludf.DUMMYFUNCTION("""COMPUTED_VALUE"""),"Анар Нурсиланова")</f>
        <v>Анар Нурсиланова</v>
      </c>
      <c r="B231" s="14" t="str">
        <f ca="1">IFERROR(__xludf.DUMMYFUNCTION("""COMPUTED_VALUE"""),"anaralmaty1976@gmail.com")</f>
        <v>anaralmaty1976@gmail.com</v>
      </c>
      <c r="C231" s="15" t="str">
        <f ca="1">IFERROR(__xludf.DUMMYFUNCTION("""COMPUTED_VALUE"""),"87771688116")</f>
        <v>87771688116</v>
      </c>
      <c r="D231" s="15"/>
      <c r="E231" s="14"/>
      <c r="F23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31" s="1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>
      <c r="A232" s="14" t="str">
        <f ca="1">IFERROR(__xludf.DUMMYFUNCTION("""COMPUTED_VALUE"""),"anargul.nurmukhanova,  ")</f>
        <v xml:space="preserve">anargul.nurmukhanova,  </v>
      </c>
      <c r="B232" s="14" t="str">
        <f ca="1">IFERROR(__xludf.DUMMYFUNCTION("""COMPUTED_VALUE"""),"anargul.nurmukhanova@mail.ru")</f>
        <v>anargul.nurmukhanova@mail.ru</v>
      </c>
      <c r="C232" s="15"/>
      <c r="D232" s="15"/>
      <c r="E232" s="14"/>
      <c r="F232" s="8" t="str">
        <f ca="1">IFERROR(__xludf.DUMMYFUNCTION("""COMPUTED_VALUE"""),"- USA Челлендж Тишина")</f>
        <v>- USA Челлендж Тишина</v>
      </c>
      <c r="G232" s="1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>
      <c r="A233" s="14" t="str">
        <f ca="1">IFERROR(__xludf.DUMMYFUNCTION("""COMPUTED_VALUE"""),"Saskia Drenth")</f>
        <v>Saskia Drenth</v>
      </c>
      <c r="B233" s="14" t="str">
        <f ca="1">IFERROR(__xludf.DUMMYFUNCTION("""COMPUTED_VALUE"""),"anasaxya@gmail.com")</f>
        <v>anasaxya@gmail.com</v>
      </c>
      <c r="C233" s="15"/>
      <c r="D233" s="15"/>
      <c r="E233" s="14"/>
      <c r="F233" s="8" t="str">
        <f ca="1">IFERROR(__xludf.DUMMYFUNCTION("""COMPUTED_VALUE"""),"- What hides behind anxiety? The quantum leap [EU]")</f>
        <v>- What hides behind anxiety? The quantum leap [EU]</v>
      </c>
      <c r="G233" s="1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5.5">
      <c r="A234" s="14" t="str">
        <f ca="1">IFERROR(__xludf.DUMMYFUNCTION("""COMPUTED_VALUE"""),"Стася Бычкова")</f>
        <v>Стася Бычкова</v>
      </c>
      <c r="B234" s="14" t="str">
        <f ca="1">IFERROR(__xludf.DUMMYFUNCTION("""COMPUTED_VALUE"""),"Anastasia28091986@gmail.com")</f>
        <v>Anastasia28091986@gmail.com</v>
      </c>
      <c r="C234" s="15" t="str">
        <f ca="1">IFERROR(__xludf.DUMMYFUNCTION("""COMPUTED_VALUE"""),"870220550666")</f>
        <v>870220550666</v>
      </c>
      <c r="D234" s="15"/>
      <c r="E234" s="14"/>
      <c r="F23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34" s="1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>
      <c r="A235" s="14" t="str">
        <f ca="1">IFERROR(__xludf.DUMMYFUNCTION("""COMPUTED_VALUE"""),"Анастасия Ганзвинд")</f>
        <v>Анастасия Ганзвинд</v>
      </c>
      <c r="B235" s="14" t="str">
        <f ca="1">IFERROR(__xludf.DUMMYFUNCTION("""COMPUTED_VALUE"""),"anastasiaganzvind97@gmail.com")</f>
        <v>anastasiaganzvind97@gmail.com</v>
      </c>
      <c r="C235" s="15"/>
      <c r="D235" s="15" t="str">
        <f ca="1">IFERROR(__xludf.DUMMYFUNCTION("""COMPUTED_VALUE"""),"Россия")</f>
        <v>Россия</v>
      </c>
      <c r="E235" s="14"/>
      <c r="F235" s="8" t="str">
        <f ca="1">IFERROR(__xludf.DUMMYFUNCTION("""COMPUTED_VALUE"""),"- Тишина Челлендж (бесплатная часть)")</f>
        <v>- Тишина Челлендж (бесплатная часть)</v>
      </c>
      <c r="G235" s="1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>
      <c r="A236" s="14" t="str">
        <f ca="1">IFERROR(__xludf.DUMMYFUNCTION("""COMPUTED_VALUE"""),"Анастасия Клопкова")</f>
        <v>Анастасия Клопкова</v>
      </c>
      <c r="B236" s="14" t="str">
        <f ca="1">IFERROR(__xludf.DUMMYFUNCTION("""COMPUTED_VALUE"""),"anastasiya.olegovna5360@gmail.com")</f>
        <v>anastasiya.olegovna5360@gmail.com</v>
      </c>
      <c r="C236" s="15" t="str">
        <f ca="1">IFERROR(__xludf.DUMMYFUNCTION("""COMPUTED_VALUE"""),", +79159937905")</f>
        <v>, +79159937905</v>
      </c>
      <c r="D236" s="15"/>
      <c r="E236" s="14" t="str">
        <f ca="1">IFERROR(__xludf.DUMMYFUNCTION("""COMPUTED_VALUE"""),"Анастасия Валерьевна ")</f>
        <v xml:space="preserve">Анастасия Валерьевна </v>
      </c>
      <c r="F236" s="8" t="str">
        <f ca="1">IFERROR(__xludf.DUMMYFUNCTION("""COMPUTED_VALUE"""),"Мероприятий не обнаружено")</f>
        <v>Мероприятий не обнаружено</v>
      </c>
      <c r="G236" s="1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>
      <c r="A237" s="14" t="str">
        <f ca="1">IFERROR(__xludf.DUMMYFUNCTION("""COMPUTED_VALUE"""),"Анастасия Иванова")</f>
        <v>Анастасия Иванова</v>
      </c>
      <c r="B237" s="14" t="str">
        <f ca="1">IFERROR(__xludf.DUMMYFUNCTION("""COMPUTED_VALUE"""),"anavanka03@gmail.com")</f>
        <v>anavanka03@gmail.com</v>
      </c>
      <c r="C237" s="15" t="str">
        <f ca="1">IFERROR(__xludf.DUMMYFUNCTION("""COMPUTED_VALUE"""),"+79785182775")</f>
        <v>+79785182775</v>
      </c>
      <c r="D237" s="15" t="str">
        <f ca="1">IFERROR(__xludf.DUMMYFUNCTION("""COMPUTED_VALUE"""),"Россия")</f>
        <v>Россия</v>
      </c>
      <c r="E237" s="14"/>
      <c r="F237" s="8" t="str">
        <f ca="1">IFERROR(__xludf.DUMMYFUNCTION("""COMPUTED_VALUE"""),"- Тишина Челлендж (бесплатная часть)")</f>
        <v>- Тишина Челлендж (бесплатная часть)</v>
      </c>
      <c r="G237" s="1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>
      <c r="A238" s="14" t="str">
        <f ca="1">IFERROR(__xludf.DUMMYFUNCTION("""COMPUTED_VALUE"""),"Andy Тонетели")</f>
        <v>Andy Тонетели</v>
      </c>
      <c r="B238" s="14" t="str">
        <f ca="1">IFERROR(__xludf.DUMMYFUNCTION("""COMPUTED_VALUE"""),"andreatoreli@mail.ru")</f>
        <v>andreatoreli@mail.ru</v>
      </c>
      <c r="C238" s="15"/>
      <c r="D238" s="15" t="str">
        <f ca="1">IFERROR(__xludf.DUMMYFUNCTION("""COMPUTED_VALUE"""),"Грузия")</f>
        <v>Грузия</v>
      </c>
      <c r="E238" s="14"/>
      <c r="F238" s="8" t="str">
        <f ca="1">IFERROR(__xludf.DUMMYFUNCTION("""COMPUTED_VALUE"""),"- Базовая бесплатная часть")</f>
        <v>- Базовая бесплатная часть</v>
      </c>
      <c r="G238" s="1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>
      <c r="A239" s="14" t="str">
        <f ca="1">IFERROR(__xludf.DUMMYFUNCTION("""COMPUTED_VALUE"""),"Светлана Андреева")</f>
        <v>Светлана Андреева</v>
      </c>
      <c r="B239" s="14" t="str">
        <f ca="1">IFERROR(__xludf.DUMMYFUNCTION("""COMPUTED_VALUE"""),"andreeva.1981@mail.ru")</f>
        <v>andreeva.1981@mail.ru</v>
      </c>
      <c r="C239" s="15" t="str">
        <f ca="1">IFERROR(__xludf.DUMMYFUNCTION("""COMPUTED_VALUE"""),", 79160536024")</f>
        <v>, 79160536024</v>
      </c>
      <c r="D239" s="15" t="str">
        <f ca="1">IFERROR(__xludf.DUMMYFUNCTION("""COMPUTED_VALUE"""),"Россия")</f>
        <v>Россия</v>
      </c>
      <c r="E239" s="14"/>
      <c r="F239" s="8" t="str">
        <f ca="1">IFERROR(__xludf.DUMMYFUNCTION("""COMPUTED_VALUE"""),"Мероприятий не обнаружено")</f>
        <v>Мероприятий не обнаружено</v>
      </c>
      <c r="G239" s="1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>
      <c r="A240" s="14" t="str">
        <f ca="1">IFERROR(__xludf.DUMMYFUNCTION("""COMPUTED_VALUE"""),"Юлия Андреева")</f>
        <v>Юлия Андреева</v>
      </c>
      <c r="B240" s="14" t="str">
        <f ca="1">IFERROR(__xludf.DUMMYFUNCTION("""COMPUTED_VALUE"""),"andreevaulia1987@gmail.com")</f>
        <v>andreevaulia1987@gmail.com</v>
      </c>
      <c r="C240" s="15" t="str">
        <f ca="1">IFERROR(__xludf.DUMMYFUNCTION("""COMPUTED_VALUE"""),"79675710100")</f>
        <v>79675710100</v>
      </c>
      <c r="D240" s="15" t="str">
        <f ca="1">IFERROR(__xludf.DUMMYFUNCTION("""COMPUTED_VALUE"""),"Россия")</f>
        <v>Россия</v>
      </c>
      <c r="E240" s="14"/>
      <c r="F240" s="8" t="str">
        <f ca="1">IFERROR(__xludf.DUMMYFUNCTION("""COMPUTED_VALUE"""),"- Тишина Челлендж (бесплатная часть)")</f>
        <v>- Тишина Челлендж (бесплатная часть)</v>
      </c>
      <c r="G240" s="1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>
      <c r="A241" s="14" t="str">
        <f ca="1">IFERROR(__xludf.DUMMYFUNCTION("""COMPUTED_VALUE"""),"Андрей Лысов")</f>
        <v>Андрей Лысов</v>
      </c>
      <c r="B241" s="14" t="str">
        <f ca="1">IFERROR(__xludf.DUMMYFUNCTION("""COMPUTED_VALUE"""),"andreilysov1@gmail.com")</f>
        <v>andreilysov1@gmail.com</v>
      </c>
      <c r="C241" s="15" t="str">
        <f ca="1">IFERROR(__xludf.DUMMYFUNCTION("""COMPUTED_VALUE"""),"+79911101313")</f>
        <v>+79911101313</v>
      </c>
      <c r="D241" s="15" t="str">
        <f ca="1">IFERROR(__xludf.DUMMYFUNCTION("""COMPUTED_VALUE"""),"Россия")</f>
        <v>Россия</v>
      </c>
      <c r="E241" s="14"/>
      <c r="F241" s="8" t="str">
        <f ca="1">IFERROR(__xludf.DUMMYFUNCTION("""COMPUTED_VALUE"""),"- Тишина Челлендж (бесплатная часть)")</f>
        <v>- Тишина Челлендж (бесплатная часть)</v>
      </c>
      <c r="G241" s="1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5.5">
      <c r="A242" s="14" t="str">
        <f ca="1">IFERROR(__xludf.DUMMYFUNCTION("""COMPUTED_VALUE"""),"Андрей Кичев")</f>
        <v>Андрей Кичев</v>
      </c>
      <c r="B242" s="14" t="str">
        <f ca="1">IFERROR(__xludf.DUMMYFUNCTION("""COMPUTED_VALUE"""),"andrej-75@mail.ru")</f>
        <v>andrej-75@mail.ru</v>
      </c>
      <c r="C242" s="15" t="str">
        <f ca="1">IFERROR(__xludf.DUMMYFUNCTION("""COMPUTED_VALUE"""),"+79807052010")</f>
        <v>+79807052010</v>
      </c>
      <c r="D242" s="15" t="str">
        <f ca="1">IFERROR(__xludf.DUMMYFUNCTION("""COMPUTED_VALUE"""),"Россия")</f>
        <v>Россия</v>
      </c>
      <c r="E242" s="14"/>
      <c r="F242" s="8" t="str">
        <f ca="1">IFERROR(__xludf.DUMMYFUNCTION("""COMPUTED_VALUE"""),"- Городской ретрит Москва 18-20.02.2022
- Ретрит в РЦ Сочи 19-27 марта 2022 (Оплата до 6 марта)")</f>
        <v>- Городской ретрит Москва 18-20.02.2022
- Ретрит в РЦ Сочи 19-27 марта 2022 (Оплата до 6 марта)</v>
      </c>
      <c r="G242" s="1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>
      <c r="A243" s="14" t="str">
        <f ca="1">IFERROR(__xludf.DUMMYFUNCTION("""COMPUTED_VALUE"""),"Андрей Алесич")</f>
        <v>Андрей Алесич</v>
      </c>
      <c r="B243" s="14" t="str">
        <f ca="1">IFERROR(__xludf.DUMMYFUNCTION("""COMPUTED_VALUE"""),"Andrej.alesicz@gmail.com")</f>
        <v>Andrej.alesicz@gmail.com</v>
      </c>
      <c r="C243" s="15"/>
      <c r="D243" s="15" t="str">
        <f ca="1">IFERROR(__xludf.DUMMYFUNCTION("""COMPUTED_VALUE"""),"Беларусь")</f>
        <v>Беларусь</v>
      </c>
      <c r="E243" s="14"/>
      <c r="F243" s="8" t="str">
        <f ca="1">IFERROR(__xludf.DUMMYFUNCTION("""COMPUTED_VALUE"""),"- Базовая бесплатная часть")</f>
        <v>- Базовая бесплатная часть</v>
      </c>
      <c r="G243" s="1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>
      <c r="A244" s="14" t="str">
        <f ca="1">IFERROR(__xludf.DUMMYFUNCTION("""COMPUTED_VALUE"""),"Андрей Попович")</f>
        <v>Андрей Попович</v>
      </c>
      <c r="B244" s="14" t="str">
        <f ca="1">IFERROR(__xludf.DUMMYFUNCTION("""COMPUTED_VALUE"""),"andrewjr@mail.ru")</f>
        <v>andrewjr@mail.ru</v>
      </c>
      <c r="C244" s="15" t="str">
        <f ca="1">IFERROR(__xludf.DUMMYFUNCTION("""COMPUTED_VALUE"""),"+375259141368")</f>
        <v>+375259141368</v>
      </c>
      <c r="D244" s="15" t="str">
        <f ca="1">IFERROR(__xludf.DUMMYFUNCTION("""COMPUTED_VALUE"""),"Беларусь")</f>
        <v>Беларусь</v>
      </c>
      <c r="E244" s="14"/>
      <c r="F244" s="8" t="str">
        <f ca="1">IFERROR(__xludf.DUMMYFUNCTION("""COMPUTED_VALUE"""),"- Чайная встреча Разговор по душам Минск 11.12.2021")</f>
        <v>- Чайная встреча Разговор по душам Минск 11.12.2021</v>
      </c>
      <c r="G244" s="1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>
      <c r="A245" s="14" t="str">
        <f ca="1">IFERROR(__xludf.DUMMYFUNCTION("""COMPUTED_VALUE"""),"Андрей Климович")</f>
        <v>Андрей Климович</v>
      </c>
      <c r="B245" s="14" t="str">
        <f ca="1">IFERROR(__xludf.DUMMYFUNCTION("""COMPUTED_VALUE"""),"andrey_klim@bk.ru")</f>
        <v>andrey_klim@bk.ru</v>
      </c>
      <c r="C245" s="15" t="str">
        <f ca="1">IFERROR(__xludf.DUMMYFUNCTION("""COMPUTED_VALUE"""),"+375292229971")</f>
        <v>+375292229971</v>
      </c>
      <c r="D245" s="15" t="str">
        <f ca="1">IFERROR(__xludf.DUMMYFUNCTION("""COMPUTED_VALUE"""),"Беларусь")</f>
        <v>Беларусь</v>
      </c>
      <c r="E245" s="14"/>
      <c r="F245" s="8" t="str">
        <f ca="1">IFERROR(__xludf.DUMMYFUNCTION("""COMPUTED_VALUE"""),"- Чайная встреча Разговор по душам 26.2.2022 Минск")</f>
        <v>- Чайная встреча Разговор по душам 26.2.2022 Минск</v>
      </c>
      <c r="G245" s="1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>
      <c r="A246" s="14" t="str">
        <f ca="1">IFERROR(__xludf.DUMMYFUNCTION("""COMPUTED_VALUE"""),"Андрей Медведев")</f>
        <v>Андрей Медведев</v>
      </c>
      <c r="B246" s="14" t="str">
        <f ca="1">IFERROR(__xludf.DUMMYFUNCTION("""COMPUTED_VALUE"""),"andreymedbv6000@gmail.com")</f>
        <v>andreymedbv6000@gmail.com</v>
      </c>
      <c r="C246" s="15" t="str">
        <f ca="1">IFERROR(__xludf.DUMMYFUNCTION("""COMPUTED_VALUE"""),", +79841539421")</f>
        <v>, +79841539421</v>
      </c>
      <c r="D246" s="15" t="str">
        <f ca="1">IFERROR(__xludf.DUMMYFUNCTION("""COMPUTED_VALUE"""),"Россия")</f>
        <v>Россия</v>
      </c>
      <c r="E246" s="14"/>
      <c r="F246" s="8" t="str">
        <f ca="1">IFERROR(__xludf.DUMMYFUNCTION("""COMPUTED_VALUE"""),"Мероприятий не обнаружено")</f>
        <v>Мероприятий не обнаружено</v>
      </c>
      <c r="G246" s="1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5.5">
      <c r="A247" s="14" t="str">
        <f ca="1">IFERROR(__xludf.DUMMYFUNCTION("""COMPUTED_VALUE"""),"Андрей Ростов")</f>
        <v>Андрей Ростов</v>
      </c>
      <c r="B247" s="14" t="str">
        <f ca="1">IFERROR(__xludf.DUMMYFUNCTION("""COMPUTED_VALUE"""),"andris2001@rambler.ru")</f>
        <v>andris2001@rambler.ru</v>
      </c>
      <c r="C247" s="15" t="str">
        <f ca="1">IFERROR(__xludf.DUMMYFUNCTION("""COMPUTED_VALUE"""),"79891661878")</f>
        <v>79891661878</v>
      </c>
      <c r="D247" s="15" t="str">
        <f ca="1">IFERROR(__xludf.DUMMYFUNCTION("""COMPUTED_VALUE"""),"Россия")</f>
        <v>Россия</v>
      </c>
      <c r="E247" s="14"/>
      <c r="F247" s="8" t="str">
        <f ca="1">IFERROR(__xludf.DUMMYFUNCTION("""COMPUTED_VALUE"""),"- Осознанная суббота Сочи регулярное
- Ретрит в РЦ Сочи 19-27 марта 2022 (Оплата до 6 марта)")</f>
        <v>- Осознанная суббота Сочи регулярное
- Ретрит в РЦ Сочи 19-27 марта 2022 (Оплата до 6 марта)</v>
      </c>
      <c r="G247" s="1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>
      <c r="A248" s="14" t="str">
        <f ca="1">IFERROR(__xludf.DUMMYFUNCTION("""COMPUTED_VALUE"""),"Андрей Кот")</f>
        <v>Андрей Кот</v>
      </c>
      <c r="B248" s="14" t="str">
        <f ca="1">IFERROR(__xludf.DUMMYFUNCTION("""COMPUTED_VALUE"""),"andrkot1996@gmail.com")</f>
        <v>andrkot1996@gmail.com</v>
      </c>
      <c r="C248" s="15"/>
      <c r="D248" s="15" t="str">
        <f ca="1">IFERROR(__xludf.DUMMYFUNCTION("""COMPUTED_VALUE"""),"Беларусь")</f>
        <v>Беларусь</v>
      </c>
      <c r="E248" s="14"/>
      <c r="F248" s="8" t="str">
        <f ca="1">IFERROR(__xludf.DUMMYFUNCTION("""COMPUTED_VALUE"""),"- Базовая бесплатная часть")</f>
        <v>- Базовая бесплатная часть</v>
      </c>
      <c r="G248" s="1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>
      <c r="A249" s="14" t="str">
        <f ca="1">IFERROR(__xludf.DUMMYFUNCTION("""COMPUTED_VALUE"""),"Екатерина Карцева")</f>
        <v>Екатерина Карцева</v>
      </c>
      <c r="B249" s="14" t="str">
        <f ca="1">IFERROR(__xludf.DUMMYFUNCTION("""COMPUTED_VALUE"""),"androsenkovakata@gmail.com")</f>
        <v>androsenkovakata@gmail.com</v>
      </c>
      <c r="C249" s="15" t="str">
        <f ca="1">IFERROR(__xludf.DUMMYFUNCTION("""COMPUTED_VALUE"""),"+79215276794")</f>
        <v>+79215276794</v>
      </c>
      <c r="D249" s="15" t="str">
        <f ca="1">IFERROR(__xludf.DUMMYFUNCTION("""COMPUTED_VALUE"""),"Россия")</f>
        <v>Россия</v>
      </c>
      <c r="E249" s="14"/>
      <c r="F249" s="8" t="str">
        <f ca="1">IFERROR(__xludf.DUMMYFUNCTION("""COMPUTED_VALUE"""),"- Ретрит в РЦ Сочи 19-27 марта 2022 (Оплата до 6 марта)")</f>
        <v>- Ретрит в РЦ Сочи 19-27 марта 2022 (Оплата до 6 марта)</v>
      </c>
      <c r="G249" s="1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5.5">
      <c r="A250" s="14" t="str">
        <f ca="1">IFERROR(__xludf.DUMMYFUNCTION("""COMPUTED_VALUE"""),"Владислав Андрушкевич")</f>
        <v>Владислав Андрушкевич</v>
      </c>
      <c r="B250" s="14" t="str">
        <f ca="1">IFERROR(__xludf.DUMMYFUNCTION("""COMPUTED_VALUE"""),"andrushkevych2424@gmail.com")</f>
        <v>andrushkevych2424@gmail.com</v>
      </c>
      <c r="C250" s="15" t="str">
        <f ca="1">IFERROR(__xludf.DUMMYFUNCTION("""COMPUTED_VALUE"""),"+380988622406")</f>
        <v>+380988622406</v>
      </c>
      <c r="D250" s="15"/>
      <c r="E250" s="14"/>
      <c r="F250" s="8" t="str">
        <f ca="1">IFERROR(__xludf.DUMMYFUNCTION("""COMPUTED_VALUE"""),"- Онлайн курс Шаг к Пробуждению №15 29.1-8.02.22 Пакет стандартный")</f>
        <v>- Онлайн курс Шаг к Пробуждению №15 29.1-8.02.22 Пакет стандартный</v>
      </c>
      <c r="G250" s="1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>
      <c r="A251" s="14" t="str">
        <f ca="1">IFERROR(__xludf.DUMMYFUNCTION("""COMPUTED_VALUE"""),"Анжелика Евгенова")</f>
        <v>Анжелика Евгенова</v>
      </c>
      <c r="B251" s="14" t="str">
        <f ca="1">IFERROR(__xludf.DUMMYFUNCTION("""COMPUTED_VALUE"""),"angela.evgenova@gmail.com")</f>
        <v>angela.evgenova@gmail.com</v>
      </c>
      <c r="C251" s="15" t="str">
        <f ca="1">IFERROR(__xludf.DUMMYFUNCTION("""COMPUTED_VALUE"""),"79384402025")</f>
        <v>79384402025</v>
      </c>
      <c r="D251" s="15" t="str">
        <f ca="1">IFERROR(__xludf.DUMMYFUNCTION("""COMPUTED_VALUE"""),"Россия")</f>
        <v>Россия</v>
      </c>
      <c r="E251" s="14"/>
      <c r="F251" s="8" t="str">
        <f ca="1">IFERROR(__xludf.DUMMYFUNCTION("""COMPUTED_VALUE"""),"- Осознанная суббота Сочи регулярное")</f>
        <v>- Осознанная суббота Сочи регулярное</v>
      </c>
      <c r="G251" s="1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>
      <c r="A252" s="14" t="str">
        <f ca="1">IFERROR(__xludf.DUMMYFUNCTION("""COMPUTED_VALUE"""),"Анжела Кудрявцова")</f>
        <v>Анжела Кудрявцова</v>
      </c>
      <c r="B252" s="14" t="str">
        <f ca="1">IFERROR(__xludf.DUMMYFUNCTION("""COMPUTED_VALUE"""),"angelakud@mail.ru")</f>
        <v>angelakud@mail.ru</v>
      </c>
      <c r="C252" s="15" t="str">
        <f ca="1">IFERROR(__xludf.DUMMYFUNCTION("""COMPUTED_VALUE"""),"+79636555851")</f>
        <v>+79636555851</v>
      </c>
      <c r="D252" s="15" t="str">
        <f ca="1">IFERROR(__xludf.DUMMYFUNCTION("""COMPUTED_VALUE"""),"Россия")</f>
        <v>Россия</v>
      </c>
      <c r="E252" s="14"/>
      <c r="F252" s="8" t="str">
        <f ca="1">IFERROR(__xludf.DUMMYFUNCTION("""COMPUTED_VALUE"""),"- Однодневный ретрит Россия 14 мая 2022")</f>
        <v>- Однодневный ретрит Россия 14 мая 2022</v>
      </c>
      <c r="G252" s="1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>
      <c r="A253" s="14" t="str">
        <f ca="1">IFERROR(__xludf.DUMMYFUNCTION("""COMPUTED_VALUE"""),"angelapavlova87,  ")</f>
        <v xml:space="preserve">angelapavlova87,  </v>
      </c>
      <c r="B253" s="14" t="str">
        <f ca="1">IFERROR(__xludf.DUMMYFUNCTION("""COMPUTED_VALUE"""),"angelapavlova87@gmail.com")</f>
        <v>angelapavlova87@gmail.com</v>
      </c>
      <c r="C253" s="15"/>
      <c r="D253" s="15"/>
      <c r="E253" s="14"/>
      <c r="F253" s="8" t="str">
        <f ca="1">IFERROR(__xludf.DUMMYFUNCTION("""COMPUTED_VALUE"""),"- USA Челлендж Тишина")</f>
        <v>- USA Челлендж Тишина</v>
      </c>
      <c r="G253" s="1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89.25">
      <c r="A254" s="14" t="str">
        <f ca="1">IFERROR(__xludf.DUMMYFUNCTION("""COMPUTED_VALUE"""),"Ангелина Костадинова")</f>
        <v>Ангелина Костадинова</v>
      </c>
      <c r="B254" s="14" t="str">
        <f ca="1">IFERROR(__xludf.DUMMYFUNCTION("""COMPUTED_VALUE"""),"angelinakostadinova0703@gmail.com")</f>
        <v>angelinakostadinova0703@gmail.com</v>
      </c>
      <c r="C254" s="15" t="str">
        <f ca="1">IFERROR(__xludf.DUMMYFUNCTION("""COMPUTED_VALUE"""),"+359887995750")</f>
        <v>+359887995750</v>
      </c>
      <c r="D254" s="15" t="str">
        <f ca="1">IFERROR(__xludf.DUMMYFUNCTION("""COMPUTED_VALUE"""),"Болгария")</f>
        <v>Болгария</v>
      </c>
      <c r="E254" s="14"/>
      <c r="F254" s="8" t="str">
        <f ca="1">IFERROR(__xludf.DUMMYFUNCTION("""COMPUTED_VALUE"""),"- Друзья. Базовый уровень (ежемесячная платная подписка) 
- Интенсив онлайн 11-13.02.2022
- Вебинар с Никитой Бородулиным 11.02.2022 часть1
- Европейский Онлайн Интенсив 4-6.03.2022
- Онлайн курс Шаг к Пробуждению №17 2-19.4.22 Пакет стандартный
- Ретрит "&amp;"в Германии 30 апреля-7 мая 2022")</f>
        <v>- Друзья. Базовый уровень (ежемесячная платная подписка) 
- Интенсив онлайн 11-13.02.2022
- Вебинар с Никитой Бородулиным 11.02.2022 часть1
- Европейский Онлайн Интенсив 4-6.03.2022
- Онлайн курс Шаг к Пробуждению №17 2-19.4.22 Пакет стандартный
- Ретрит в Германии 30 апреля-7 мая 2022</v>
      </c>
      <c r="G254" s="1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>
      <c r="A255" s="14" t="str">
        <f ca="1">IFERROR(__xludf.DUMMYFUNCTION("""COMPUTED_VALUE"""),"ania.m.fischer,  ")</f>
        <v xml:space="preserve">ania.m.fischer,  </v>
      </c>
      <c r="B255" s="14" t="str">
        <f ca="1">IFERROR(__xludf.DUMMYFUNCTION("""COMPUTED_VALUE"""),"ania.m.fischer@gmail.com")</f>
        <v>ania.m.fischer@gmail.com</v>
      </c>
      <c r="C255" s="15"/>
      <c r="D255" s="15"/>
      <c r="E255" s="14"/>
      <c r="F255" s="8" t="str">
        <f ca="1">IFERROR(__xludf.DUMMYFUNCTION("""COMPUTED_VALUE"""),"- USA Челлендж Тишина")</f>
        <v>- USA Челлендж Тишина</v>
      </c>
      <c r="G255" s="1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5.5">
      <c r="A256" s="14" t="str">
        <f ca="1">IFERROR(__xludf.DUMMYFUNCTION("""COMPUTED_VALUE"""),"Айнур Ниязгалиева")</f>
        <v>Айнур Ниязгалиева</v>
      </c>
      <c r="B256" s="14" t="str">
        <f ca="1">IFERROR(__xludf.DUMMYFUNCTION("""COMPUTED_VALUE"""),"aniyazgalieva@gmail.com")</f>
        <v>aniyazgalieva@gmail.com</v>
      </c>
      <c r="C256" s="15" t="str">
        <f ca="1">IFERROR(__xludf.DUMMYFUNCTION("""COMPUTED_VALUE"""),"+998933688300")</f>
        <v>+998933688300</v>
      </c>
      <c r="D256" s="15"/>
      <c r="E256" s="14"/>
      <c r="F25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56" s="1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>
      <c r="A257" s="14" t="str">
        <f ca="1">IFERROR(__xludf.DUMMYFUNCTION("""COMPUTED_VALUE"""),"Anja Laugsch")</f>
        <v>Anja Laugsch</v>
      </c>
      <c r="B257" s="14" t="str">
        <f ca="1">IFERROR(__xludf.DUMMYFUNCTION("""COMPUTED_VALUE"""),"anjatanz@aol.com")</f>
        <v>anjatanz@aol.com</v>
      </c>
      <c r="C257" s="15" t="str">
        <f ca="1">IFERROR(__xludf.DUMMYFUNCTION("""COMPUTED_VALUE"""),"017621469371")</f>
        <v>017621469371</v>
      </c>
      <c r="D257" s="15"/>
      <c r="E257" s="14"/>
      <c r="F257" s="8" t="str">
        <f ca="1">IFERROR(__xludf.DUMMYFUNCTION("""COMPUTED_VALUE"""),"- Онлайн курс Шаг к Пробуждению №14 4-14.12.2021 DEU")</f>
        <v>- Онлайн курс Шаг к Пробуждению №14 4-14.12.2021 DEU</v>
      </c>
      <c r="G257" s="1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>
      <c r="A258" s="14" t="str">
        <f ca="1">IFERROR(__xludf.DUMMYFUNCTION("""COMPUTED_VALUE"""),"anjela69,  ")</f>
        <v xml:space="preserve">anjela69,  </v>
      </c>
      <c r="B258" s="14" t="str">
        <f ca="1">IFERROR(__xludf.DUMMYFUNCTION("""COMPUTED_VALUE"""),"anjela69@aim.com")</f>
        <v>anjela69@aim.com</v>
      </c>
      <c r="C258" s="15"/>
      <c r="D258" s="15"/>
      <c r="E258" s="14"/>
      <c r="F258" s="8" t="str">
        <f ca="1">IFERROR(__xludf.DUMMYFUNCTION("""COMPUTED_VALUE"""),"- USA Челлендж Тишина")</f>
        <v>- USA Челлендж Тишина</v>
      </c>
      <c r="G258" s="1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5.5">
      <c r="A259" s="14" t="str">
        <f ca="1">IFERROR(__xludf.DUMMYFUNCTION("""COMPUTED_VALUE"""),"Анж Анж")</f>
        <v>Анж Анж</v>
      </c>
      <c r="B259" s="14" t="str">
        <f ca="1">IFERROR(__xludf.DUMMYFUNCTION("""COMPUTED_VALUE"""),"anju31@bk.ru")</f>
        <v>anju31@bk.ru</v>
      </c>
      <c r="C259" s="15" t="str">
        <f ca="1">IFERROR(__xludf.DUMMYFUNCTION("""COMPUTED_VALUE"""),"998913744878")</f>
        <v>998913744878</v>
      </c>
      <c r="D259" s="15"/>
      <c r="E259" s="14"/>
      <c r="F25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59" s="1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>
      <c r="A260" s="14" t="str">
        <f ca="1">IFERROR(__xludf.DUMMYFUNCTION("""COMPUTED_VALUE"""),"Alexander Huschka")</f>
        <v>Alexander Huschka</v>
      </c>
      <c r="B260" s="14" t="str">
        <f ca="1">IFERROR(__xludf.DUMMYFUNCTION("""COMPUTED_VALUE"""),"ankomeva@gmail.com")</f>
        <v>ankomeva@gmail.com</v>
      </c>
      <c r="C260" s="15" t="str">
        <f ca="1">IFERROR(__xludf.DUMMYFUNCTION("""COMPUTED_VALUE"""),"+4915905878416")</f>
        <v>+4915905878416</v>
      </c>
      <c r="D260" s="15" t="str">
        <f ca="1">IFERROR(__xludf.DUMMYFUNCTION("""COMPUTED_VALUE"""),"Германия")</f>
        <v>Германия</v>
      </c>
      <c r="E260" s="14"/>
      <c r="F260" s="8" t="str">
        <f ca="1">IFERROR(__xludf.DUMMYFUNCTION("""COMPUTED_VALUE"""),"- Новогодний фестиваль 29.12.2021-1.01.2022 Бад Майнберг")</f>
        <v>- Новогодний фестиваль 29.12.2021-1.01.2022 Бад Майнберг</v>
      </c>
      <c r="G260" s="1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>
      <c r="A261" s="14" t="str">
        <f ca="1">IFERROR(__xludf.DUMMYFUNCTION("""COMPUTED_VALUE"""),"Анна Тргебова")</f>
        <v>Анна Тргебова</v>
      </c>
      <c r="B261" s="14" t="str">
        <f ca="1">IFERROR(__xludf.DUMMYFUNCTION("""COMPUTED_VALUE"""),"anna_chance@mail.ru")</f>
        <v>anna_chance@mail.ru</v>
      </c>
      <c r="C261" s="15" t="str">
        <f ca="1">IFERROR(__xludf.DUMMYFUNCTION("""COMPUTED_VALUE"""),"79897098175")</f>
        <v>79897098175</v>
      </c>
      <c r="D261" s="15" t="str">
        <f ca="1">IFERROR(__xludf.DUMMYFUNCTION("""COMPUTED_VALUE"""),"Россия")</f>
        <v>Россия</v>
      </c>
      <c r="E261" s="14"/>
      <c r="F261" s="8" t="str">
        <f ca="1">IFERROR(__xludf.DUMMYFUNCTION("""COMPUTED_VALUE"""),"- Тишина Челлендж (бесплатная часть)")</f>
        <v>- Тишина Челлендж (бесплатная часть)</v>
      </c>
      <c r="G261" s="1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>
      <c r="A262" s="14" t="str">
        <f ca="1">IFERROR(__xludf.DUMMYFUNCTION("""COMPUTED_VALUE"""),"Анна Дыбова")</f>
        <v>Анна Дыбова</v>
      </c>
      <c r="B262" s="14" t="str">
        <f ca="1">IFERROR(__xludf.DUMMYFUNCTION("""COMPUTED_VALUE"""),"anna.lipnevich@mail.ru")</f>
        <v>anna.lipnevich@mail.ru</v>
      </c>
      <c r="C262" s="15" t="str">
        <f ca="1">IFERROR(__xludf.DUMMYFUNCTION("""COMPUTED_VALUE"""),"+375293794594")</f>
        <v>+375293794594</v>
      </c>
      <c r="D262" s="15" t="str">
        <f ca="1">IFERROR(__xludf.DUMMYFUNCTION("""COMPUTED_VALUE"""),"Беларусь")</f>
        <v>Беларусь</v>
      </c>
      <c r="E262" s="14"/>
      <c r="F262" s="8" t="str">
        <f ca="1">IFERROR(__xludf.DUMMYFUNCTION("""COMPUTED_VALUE"""),"- Чайная встреча в Минске 8.1.22")</f>
        <v>- Чайная встреча в Минске 8.1.22</v>
      </c>
      <c r="G262" s="1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>
      <c r="A263" s="14" t="str">
        <f ca="1">IFERROR(__xludf.DUMMYFUNCTION("""COMPUTED_VALUE"""),"ANNA NAPRASNIKOVA")</f>
        <v>ANNA NAPRASNIKOVA</v>
      </c>
      <c r="B263" s="14" t="str">
        <f ca="1">IFERROR(__xludf.DUMMYFUNCTION("""COMPUTED_VALUE"""),"anna.paralegal@gmail.com")</f>
        <v>anna.paralegal@gmail.com</v>
      </c>
      <c r="C263" s="15" t="str">
        <f ca="1">IFERROR(__xludf.DUMMYFUNCTION("""COMPUTED_VALUE"""),"8479622660")</f>
        <v>8479622660</v>
      </c>
      <c r="D263" s="15" t="str">
        <f ca="1">IFERROR(__xludf.DUMMYFUNCTION("""COMPUTED_VALUE"""),"USA")</f>
        <v>USA</v>
      </c>
      <c r="E263" s="14"/>
      <c r="F263" s="8" t="str">
        <f ca="1">IFERROR(__xludf.DUMMYFUNCTION("""COMPUTED_VALUE"""),"- USA Челлендж Тишина")</f>
        <v>- USA Челлендж Тишина</v>
      </c>
      <c r="G263" s="1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>
      <c r="A264" s="14" t="str">
        <f ca="1">IFERROR(__xludf.DUMMYFUNCTION("""COMPUTED_VALUE"""),"Анна Шумейко")</f>
        <v>Анна Шумейко</v>
      </c>
      <c r="B264" s="14" t="str">
        <f ca="1">IFERROR(__xludf.DUMMYFUNCTION("""COMPUTED_VALUE"""),"anna.shum88@mail.ru")</f>
        <v>anna.shum88@mail.ru</v>
      </c>
      <c r="C264" s="15"/>
      <c r="D264" s="15" t="str">
        <f ca="1">IFERROR(__xludf.DUMMYFUNCTION("""COMPUTED_VALUE"""),"Казахстан")</f>
        <v>Казахстан</v>
      </c>
      <c r="E264" s="14"/>
      <c r="F264" s="8" t="str">
        <f ca="1">IFERROR(__xludf.DUMMYFUNCTION("""COMPUTED_VALUE"""),"Мероприятий не обнаружено")</f>
        <v>Мероприятий не обнаружено</v>
      </c>
      <c r="G264" s="1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>
      <c r="A265" s="14" t="str">
        <f ca="1">IFERROR(__xludf.DUMMYFUNCTION("""COMPUTED_VALUE"""),"Анна Розынко")</f>
        <v>Анна Розынко</v>
      </c>
      <c r="B265" s="14" t="str">
        <f ca="1">IFERROR(__xludf.DUMMYFUNCTION("""COMPUTED_VALUE"""),"anna19950413@gmail.com")</f>
        <v>anna19950413@gmail.com</v>
      </c>
      <c r="C265" s="15" t="str">
        <f ca="1">IFERROR(__xludf.DUMMYFUNCTION("""COMPUTED_VALUE"""),"+375447178981")</f>
        <v>+375447178981</v>
      </c>
      <c r="D265" s="15"/>
      <c r="E265" s="14"/>
      <c r="F265" s="8" t="str">
        <f ca="1">IFERROR(__xludf.DUMMYFUNCTION("""COMPUTED_VALUE"""),"- Тишина Челлендж (бесплатная часть)")</f>
        <v>- Тишина Челлендж (бесплатная часть)</v>
      </c>
      <c r="G265" s="1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5.5">
      <c r="A266" s="14" t="str">
        <f ca="1">IFERROR(__xludf.DUMMYFUNCTION("""COMPUTED_VALUE"""),"Анна Васильева")</f>
        <v>Анна Васильева</v>
      </c>
      <c r="B266" s="14" t="str">
        <f ca="1">IFERROR(__xludf.DUMMYFUNCTION("""COMPUTED_VALUE"""),"anna777eva@yandex.ru")</f>
        <v>anna777eva@yandex.ru</v>
      </c>
      <c r="C266" s="15" t="str">
        <f ca="1">IFERROR(__xludf.DUMMYFUNCTION("""COMPUTED_VALUE"""),"79250796033")</f>
        <v>79250796033</v>
      </c>
      <c r="D266" s="15" t="str">
        <f ca="1">IFERROR(__xludf.DUMMYFUNCTION("""COMPUTED_VALUE"""),"Россия")</f>
        <v>Россия</v>
      </c>
      <c r="E266" s="14"/>
      <c r="F266" s="8" t="str">
        <f ca="1">IFERROR(__xludf.DUMMYFUNCTION("""COMPUTED_VALUE"""),"- Ретрит в РЦ Сочи 19-27 марта 2022 (Оплата до 6 марта)
- Интенсив 15-17 апреля Москва")</f>
        <v>- Ретрит в РЦ Сочи 19-27 марта 2022 (Оплата до 6 марта)
- Интенсив 15-17 апреля Москва</v>
      </c>
      <c r="G266" s="1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>
      <c r="A267" s="14" t="str">
        <f ca="1">IFERROR(__xludf.DUMMYFUNCTION("""COMPUTED_VALUE"""),"annagul07,  ")</f>
        <v xml:space="preserve">annagul07,  </v>
      </c>
      <c r="B267" s="14" t="str">
        <f ca="1">IFERROR(__xludf.DUMMYFUNCTION("""COMPUTED_VALUE"""),"annagul07@mail.ru")</f>
        <v>annagul07@mail.ru</v>
      </c>
      <c r="C267" s="15"/>
      <c r="D267" s="15"/>
      <c r="E267" s="14"/>
      <c r="F267" s="8" t="str">
        <f ca="1">IFERROR(__xludf.DUMMYFUNCTION("""COMPUTED_VALUE"""),"- USA Челлендж Тишина")</f>
        <v>- USA Челлендж Тишина</v>
      </c>
      <c r="G267" s="1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38.25">
      <c r="A268" s="14" t="str">
        <f ca="1">IFERROR(__xludf.DUMMYFUNCTION("""COMPUTED_VALUE"""),"Yona Yokay")</f>
        <v>Yona Yokay</v>
      </c>
      <c r="B268" s="14" t="str">
        <f ca="1">IFERROR(__xludf.DUMMYFUNCTION("""COMPUTED_VALUE"""),"annakaipova@mail.ru")</f>
        <v>annakaipova@mail.ru</v>
      </c>
      <c r="C268" s="15" t="str">
        <f ca="1">IFERROR(__xludf.DUMMYFUNCTION("""COMPUTED_VALUE"""),"87766007520")</f>
        <v>87766007520</v>
      </c>
      <c r="D268" s="15" t="str">
        <f ca="1">IFERROR(__xludf.DUMMYFUNCTION("""COMPUTED_VALUE"""),"Казахстан")</f>
        <v>Казахстан</v>
      </c>
      <c r="E268" s="14"/>
      <c r="F268" s="8" t="str">
        <f ca="1">IFERROR(__xludf.DUMMYFUNCTION("""COMPUTED_VALUE"""),"- Марафон Тишины - Тишина челлендж: Урал, Казахстан, Узбекистан 25-29.04.2022
- Тишина Челлендж (бесплатная часть)")</f>
        <v>- Марафон Тишины - Тишина челлендж: Урал, Казахстан, Узбекистан 25-29.04.2022
- Тишина Челлендж (бесплатная часть)</v>
      </c>
      <c r="G268" s="1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>
      <c r="A269" s="14" t="str">
        <f ca="1">IFERROR(__xludf.DUMMYFUNCTION("""COMPUTED_VALUE"""),"Анна Филиппова")</f>
        <v>Анна Филиппова</v>
      </c>
      <c r="B269" s="14" t="str">
        <f ca="1">IFERROR(__xludf.DUMMYFUNCTION("""COMPUTED_VALUE"""),"annamour2009@yandex.ru")</f>
        <v>annamour2009@yandex.ru</v>
      </c>
      <c r="C269" s="15" t="str">
        <f ca="1">IFERROR(__xludf.DUMMYFUNCTION("""COMPUTED_VALUE"""),"+79037434338")</f>
        <v>+79037434338</v>
      </c>
      <c r="D269" s="15" t="str">
        <f ca="1">IFERROR(__xludf.DUMMYFUNCTION("""COMPUTED_VALUE"""),"Россия")</f>
        <v>Россия</v>
      </c>
      <c r="E269" s="14"/>
      <c r="F269" s="8" t="str">
        <f ca="1">IFERROR(__xludf.DUMMYFUNCTION("""COMPUTED_VALUE"""),"- Вебинар все о ретрите 12.2.2022")</f>
        <v>- Вебинар все о ретрите 12.2.2022</v>
      </c>
      <c r="G269" s="1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5.5">
      <c r="A270" s="14" t="str">
        <f ca="1">IFERROR(__xludf.DUMMYFUNCTION("""COMPUTED_VALUE"""),"Анна Романова")</f>
        <v>Анна Романова</v>
      </c>
      <c r="B270" s="14" t="str">
        <f ca="1">IFERROR(__xludf.DUMMYFUNCTION("""COMPUTED_VALUE"""),"annapiskakis@gmail.com")</f>
        <v>annapiskakis@gmail.com</v>
      </c>
      <c r="C270" s="15" t="str">
        <f ca="1">IFERROR(__xludf.DUMMYFUNCTION("""COMPUTED_VALUE"""),"+998909905520")</f>
        <v>+998909905520</v>
      </c>
      <c r="D270" s="15" t="str">
        <f ca="1">IFERROR(__xludf.DUMMYFUNCTION("""COMPUTED_VALUE"""),"УЗбекистан")</f>
        <v>УЗбекистан</v>
      </c>
      <c r="E270" s="14"/>
      <c r="F27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70" s="1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5.5">
      <c r="A271" s="14" t="str">
        <f ca="1">IFERROR(__xludf.DUMMYFUNCTION("""COMPUTED_VALUE"""),"Анна Шипкова")</f>
        <v>Анна Шипкова</v>
      </c>
      <c r="B271" s="14" t="str">
        <f ca="1">IFERROR(__xludf.DUMMYFUNCTION("""COMPUTED_VALUE"""),"annashipka7@yandex.ru")</f>
        <v>annashipka7@yandex.ru</v>
      </c>
      <c r="C271" s="15" t="str">
        <f ca="1">IFERROR(__xludf.DUMMYFUNCTION("""COMPUTED_VALUE"""),"79297921406")</f>
        <v>79297921406</v>
      </c>
      <c r="D271" s="15" t="str">
        <f ca="1">IFERROR(__xludf.DUMMYFUNCTION("""COMPUTED_VALUE"""),"Россия")</f>
        <v>Россия</v>
      </c>
      <c r="E271" s="14"/>
      <c r="F271" s="8" t="str">
        <f ca="1">IFERROR(__xludf.DUMMYFUNCTION("""COMPUTED_VALUE"""),"- Тишина Челлендж (бесплатная часть)
- Мастер-класс ""Скульптура и Керамика""")</f>
        <v>- Тишина Челлендж (бесплатная часть)
- Мастер-класс "Скульптура и Керамика"</v>
      </c>
      <c r="G271" s="1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>
      <c r="A272" s="14" t="str">
        <f ca="1">IFERROR(__xludf.DUMMYFUNCTION("""COMPUTED_VALUE"""),"Анна Д")</f>
        <v>Анна Д</v>
      </c>
      <c r="B272" s="14" t="str">
        <f ca="1">IFERROR(__xludf.DUMMYFUNCTION("""COMPUTED_VALUE"""),"Annaukr@yandex.ru")</f>
        <v>Annaukr@yandex.ru</v>
      </c>
      <c r="C272" s="15" t="str">
        <f ca="1">IFERROR(__xludf.DUMMYFUNCTION("""COMPUTED_VALUE"""),"+375296637550")</f>
        <v>+375296637550</v>
      </c>
      <c r="D272" s="15" t="str">
        <f ca="1">IFERROR(__xludf.DUMMYFUNCTION("""COMPUTED_VALUE"""),"Беларусь")</f>
        <v>Беларусь</v>
      </c>
      <c r="E272" s="14"/>
      <c r="F272" s="8" t="str">
        <f ca="1">IFERROR(__xludf.DUMMYFUNCTION("""COMPUTED_VALUE"""),"- Чайная встреча в Минске")</f>
        <v>- Чайная встреча в Минске</v>
      </c>
      <c r="G272" s="1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>
      <c r="A273" s="14" t="str">
        <f ca="1">IFERROR(__xludf.DUMMYFUNCTION("""COMPUTED_VALUE"""),"Анна Мартыненко")</f>
        <v>Анна Мартыненко</v>
      </c>
      <c r="B273" s="14" t="str">
        <f ca="1">IFERROR(__xludf.DUMMYFUNCTION("""COMPUTED_VALUE"""),"anndzenn@gmail.com")</f>
        <v>anndzenn@gmail.com</v>
      </c>
      <c r="C273" s="15" t="str">
        <f ca="1">IFERROR(__xludf.DUMMYFUNCTION("""COMPUTED_VALUE"""),"+380953563502")</f>
        <v>+380953563502</v>
      </c>
      <c r="D273" s="15" t="str">
        <f ca="1">IFERROR(__xludf.DUMMYFUNCTION("""COMPUTED_VALUE"""),"Украина")</f>
        <v>Украина</v>
      </c>
      <c r="E273" s="14"/>
      <c r="F273" s="8" t="str">
        <f ca="1">IFERROR(__xludf.DUMMYFUNCTION("""COMPUTED_VALUE"""),"- Интенсив онлайн 11-13.02.2022")</f>
        <v>- Интенсив онлайн 11-13.02.2022</v>
      </c>
      <c r="G273" s="1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>
      <c r="A274" s="14" t="str">
        <f ca="1">IFERROR(__xludf.DUMMYFUNCTION("""COMPUTED_VALUE"""),"Irina Аносова")</f>
        <v>Irina Аносова</v>
      </c>
      <c r="B274" s="14" t="str">
        <f ca="1">IFERROR(__xludf.DUMMYFUNCTION("""COMPUTED_VALUE"""),"anosovairina77@yandex.ru")</f>
        <v>anosovairina77@yandex.ru</v>
      </c>
      <c r="C274" s="15" t="str">
        <f ca="1">IFERROR(__xludf.DUMMYFUNCTION("""COMPUTED_VALUE"""),"+79042129666")</f>
        <v>+79042129666</v>
      </c>
      <c r="D274" s="15" t="str">
        <f ca="1">IFERROR(__xludf.DUMMYFUNCTION("""COMPUTED_VALUE"""),"Россия")</f>
        <v>Россия</v>
      </c>
      <c r="E274" s="14"/>
      <c r="F274" s="8" t="str">
        <f ca="1">IFERROR(__xludf.DUMMYFUNCTION("""COMPUTED_VALUE"""),"- Выездной ретрит Воронеж-Липецк 25-27.2.2022")</f>
        <v>- Выездной ретрит Воронеж-Липецк 25-27.2.2022</v>
      </c>
      <c r="G274" s="1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>
      <c r="A275" s="14" t="str">
        <f ca="1">IFERROR(__xludf.DUMMYFUNCTION("""COMPUTED_VALUE"""),"Анастасия Чертович")</f>
        <v>Анастасия Чертович</v>
      </c>
      <c r="B275" s="14" t="str">
        <f ca="1">IFERROR(__xludf.DUMMYFUNCTION("""COMPUTED_VALUE"""),"anskoraa@gmail.com")</f>
        <v>anskoraa@gmail.com</v>
      </c>
      <c r="C275" s="15" t="str">
        <f ca="1">IFERROR(__xludf.DUMMYFUNCTION("""COMPUTED_VALUE"""),"375293890916")</f>
        <v>375293890916</v>
      </c>
      <c r="D275" s="15" t="str">
        <f ca="1">IFERROR(__xludf.DUMMYFUNCTION("""COMPUTED_VALUE"""),"Беларусь")</f>
        <v>Беларусь</v>
      </c>
      <c r="E275" s="14"/>
      <c r="F275" s="8" t="str">
        <f ca="1">IFERROR(__xludf.DUMMYFUNCTION("""COMPUTED_VALUE"""),"- Чайная встреча Разговор по душам Минск 12.03.2022")</f>
        <v>- Чайная встреча Разговор по душам Минск 12.03.2022</v>
      </c>
      <c r="G275" s="1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>
      <c r="A276" s="14" t="str">
        <f ca="1">IFERROR(__xludf.DUMMYFUNCTION("""COMPUTED_VALUE"""),"Светлана Юшманова")</f>
        <v>Светлана Юшманова</v>
      </c>
      <c r="B276" s="14" t="str">
        <f ca="1">IFERROR(__xludf.DUMMYFUNCTION("""COMPUTED_VALUE"""),"antey-2015@mail.ru")</f>
        <v>antey-2015@mail.ru</v>
      </c>
      <c r="C276" s="15" t="str">
        <f ca="1">IFERROR(__xludf.DUMMYFUNCTION("""COMPUTED_VALUE"""),"+79807099933")</f>
        <v>+79807099933</v>
      </c>
      <c r="D276" s="15" t="str">
        <f ca="1">IFERROR(__xludf.DUMMYFUNCTION("""COMPUTED_VALUE"""),"Россия")</f>
        <v>Россия</v>
      </c>
      <c r="E276" s="14"/>
      <c r="F276" s="8" t="str">
        <f ca="1">IFERROR(__xludf.DUMMYFUNCTION("""COMPUTED_VALUE"""),"- Регулярная практика тишины в Москве ")</f>
        <v xml:space="preserve">- Регулярная практика тишины в Москве </v>
      </c>
      <c r="G276" s="1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63.75">
      <c r="A277" s="14" t="str">
        <f ca="1">IFERROR(__xludf.DUMMYFUNCTION("""COMPUTED_VALUE"""),"Антон Белобородов")</f>
        <v>Антон Белобородов</v>
      </c>
      <c r="B277" s="14" t="str">
        <f ca="1">IFERROR(__xludf.DUMMYFUNCTION("""COMPUTED_VALUE"""),"anton.a.beloborodov@gmail.com")</f>
        <v>anton.a.beloborodov@gmail.com</v>
      </c>
      <c r="C277" s="15" t="str">
        <f ca="1">IFERROR(__xludf.DUMMYFUNCTION("""COMPUTED_VALUE"""),"79679611111")</f>
        <v>79679611111</v>
      </c>
      <c r="D277" s="15" t="str">
        <f ca="1">IFERROR(__xludf.DUMMYFUNCTION("""COMPUTED_VALUE"""),"РФ")</f>
        <v>РФ</v>
      </c>
      <c r="E277" s="14"/>
      <c r="F277" s="8" t="str">
        <f ca="1">IFERROR(__xludf.DUMMYFUNCTION("""COMPUTED_VALUE"""),"- КОНСПЕКТИРОВАНИЕ лекций ГЕНАДИЯ - Декабрь ""21
- КОНСПЕКТИРОВАНИЕ лекций ГЕНАДИЯ - Январь""22
- КОНСПЕКТИРОВАНИЕ лекций ГЕНАДИЯ - Февраль ""22
- КОНСПЕКТИРОВАНИЕ лекций ГЕНАДИЯ - Март ""22
- КОНСПЕКТИРОВАНИЕ лекций ГЕНАДИЯ - Апрель ""22")</f>
        <v>- КОНСПЕКТИРОВАНИЕ лекций ГЕНАДИЯ - Декабрь "21
- КОНСПЕКТИРОВАНИЕ лекций ГЕНАДИЯ - Январь"22
- КОНСПЕКТИРОВАНИЕ лекций ГЕНАДИЯ - Февраль "22
- КОНСПЕКТИРОВАНИЕ лекций ГЕНАДИЯ - Март "22
- КОНСПЕКТИРОВАНИЕ лекций ГЕНАДИЯ - Апрель "22</v>
      </c>
      <c r="G277" s="1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>
      <c r="A278" s="14" t="str">
        <f ca="1">IFERROR(__xludf.DUMMYFUNCTION("""COMPUTED_VALUE"""),"Антон Голубев")</f>
        <v>Антон Голубев</v>
      </c>
      <c r="B278" s="14" t="str">
        <f ca="1">IFERROR(__xludf.DUMMYFUNCTION("""COMPUTED_VALUE"""),"anton.m.golubev@gmail.com")</f>
        <v>anton.m.golubev@gmail.com</v>
      </c>
      <c r="C278" s="15" t="str">
        <f ca="1">IFERROR(__xludf.DUMMYFUNCTION("""COMPUTED_VALUE"""),"+79111260887")</f>
        <v>+79111260887</v>
      </c>
      <c r="D278" s="15" t="str">
        <f ca="1">IFERROR(__xludf.DUMMYFUNCTION("""COMPUTED_VALUE"""),"Россия")</f>
        <v>Россия</v>
      </c>
      <c r="E278" s="14"/>
      <c r="F278" s="8" t="str">
        <f ca="1">IFERROR(__xludf.DUMMYFUNCTION("""COMPUTED_VALUE"""),"- Заявка на СЪЕЗД+ФЕСТИВАЛЬ ""Мы вместе"" 3-8.01.22")</f>
        <v>- Заявка на СЪЕЗД+ФЕСТИВАЛЬ "Мы вместе" 3-8.01.22</v>
      </c>
      <c r="G278" s="1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>
      <c r="A279" s="14" t="str">
        <f ca="1">IFERROR(__xludf.DUMMYFUNCTION("""COMPUTED_VALUE"""),"Антон Ольшванг")</f>
        <v>Антон Ольшванг</v>
      </c>
      <c r="B279" s="14" t="str">
        <f ca="1">IFERROR(__xludf.DUMMYFUNCTION("""COMPUTED_VALUE"""),"anton.olshvang@gmail.com")</f>
        <v>anton.olshvang@gmail.com</v>
      </c>
      <c r="C279" s="15" t="str">
        <f ca="1">IFERROR(__xludf.DUMMYFUNCTION("""COMPUTED_VALUE"""),"+79262680161")</f>
        <v>+79262680161</v>
      </c>
      <c r="D279" s="15" t="str">
        <f ca="1">IFERROR(__xludf.DUMMYFUNCTION("""COMPUTED_VALUE"""),"США")</f>
        <v>США</v>
      </c>
      <c r="E279" s="14"/>
      <c r="F279" s="8" t="str">
        <f ca="1">IFERROR(__xludf.DUMMYFUNCTION("""COMPUTED_VALUE"""),"- Мастер-класс ""Скульптура и Керамика""")</f>
        <v>- Мастер-класс "Скульптура и Керамика"</v>
      </c>
      <c r="G279" s="1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>
      <c r="A280" s="14" t="str">
        <f ca="1">IFERROR(__xludf.DUMMYFUNCTION("""COMPUTED_VALUE"""),"Антон Мурыгин")</f>
        <v>Антон Мурыгин</v>
      </c>
      <c r="B280" s="14" t="str">
        <f ca="1">IFERROR(__xludf.DUMMYFUNCTION("""COMPUTED_VALUE"""),"Antonmurigin@gmail.com")</f>
        <v>Antonmurigin@gmail.com</v>
      </c>
      <c r="C280" s="15" t="str">
        <f ca="1">IFERROR(__xludf.DUMMYFUNCTION("""COMPUTED_VALUE"""),"79998524589")</f>
        <v>79998524589</v>
      </c>
      <c r="D280" s="15" t="str">
        <f ca="1">IFERROR(__xludf.DUMMYFUNCTION("""COMPUTED_VALUE"""),"Россия")</f>
        <v>Россия</v>
      </c>
      <c r="E280" s="14"/>
      <c r="F280" s="8" t="str">
        <f ca="1">IFERROR(__xludf.DUMMYFUNCTION("""COMPUTED_VALUE"""),"- Медитация без стереотипов")</f>
        <v>- Медитация без стереотипов</v>
      </c>
      <c r="G280" s="1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38.25">
      <c r="A281" s="14" t="str">
        <f ca="1">IFERROR(__xludf.DUMMYFUNCTION("""COMPUTED_VALUE"""),"Екатерина Антонова")</f>
        <v>Екатерина Антонова</v>
      </c>
      <c r="B281" s="14" t="str">
        <f ca="1">IFERROR(__xludf.DUMMYFUNCTION("""COMPUTED_VALUE"""),"antonovakatherine@gmail.com")</f>
        <v>antonovakatherine@gmail.com</v>
      </c>
      <c r="C281" s="15" t="str">
        <f ca="1">IFERROR(__xludf.DUMMYFUNCTION("""COMPUTED_VALUE"""),"+529983459542")</f>
        <v>+529983459542</v>
      </c>
      <c r="D281" s="15" t="str">
        <f ca="1">IFERROR(__xludf.DUMMYFUNCTION("""COMPUTED_VALUE"""),"Мексика")</f>
        <v>Мексика</v>
      </c>
      <c r="E281" s="14"/>
      <c r="F281" s="8" t="str">
        <f ca="1">IFERROR(__xludf.DUMMYFUNCTION("""COMPUTED_VALUE"""),"- Онлайн курс Шаг к Пробуждению №16 24.2-5.3.22 Пакет стандартный
- Друзья. Базовый уровень (ежемесячная платная подписка) ")</f>
        <v xml:space="preserve">- Онлайн курс Шаг к Пробуждению №16 24.2-5.3.22 Пакет стандартный
- Друзья. Базовый уровень (ежемесячная платная подписка) </v>
      </c>
      <c r="G281" s="1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38.25">
      <c r="A282" s="14" t="str">
        <f ca="1">IFERROR(__xludf.DUMMYFUNCTION("""COMPUTED_VALUE"""),"Татьяна Анциферова")</f>
        <v>Татьяна Анциферова</v>
      </c>
      <c r="B282" s="14" t="str">
        <f ca="1">IFERROR(__xludf.DUMMYFUNCTION("""COMPUTED_VALUE"""),"Antsiferova81@list.ru")</f>
        <v>Antsiferova81@list.ru</v>
      </c>
      <c r="C282" s="15" t="str">
        <f ca="1">IFERROR(__xludf.DUMMYFUNCTION("""COMPUTED_VALUE"""),"+79123221626")</f>
        <v>+79123221626</v>
      </c>
      <c r="D282" s="15" t="str">
        <f ca="1">IFERROR(__xludf.DUMMYFUNCTION("""COMPUTED_VALUE"""),"США")</f>
        <v>США</v>
      </c>
      <c r="E282" s="14"/>
      <c r="F282" s="8" t="str">
        <f ca="1">IFERROR(__xludf.DUMMYFUNCTION("""COMPUTED_VALUE"""),"- Практика тишины Магнитогорск 19.02.2022
- Интенсив Магнитогорск 20.02.2022
- Ретрит в РЦ Сочи 19-27 марта 2022 (Оплата до 6 марта)")</f>
        <v>- Практика тишины Магнитогорск 19.02.2022
- Интенсив Магнитогорск 20.02.2022
- Ретрит в РЦ Сочи 19-27 марта 2022 (Оплата до 6 марта)</v>
      </c>
      <c r="G282" s="1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>
      <c r="A283" s="14" t="str">
        <f ca="1">IFERROR(__xludf.DUMMYFUNCTION("""COMPUTED_VALUE"""),"Анна Шпак")</f>
        <v>Анна Шпак</v>
      </c>
      <c r="B283" s="14" t="str">
        <f ca="1">IFERROR(__xludf.DUMMYFUNCTION("""COMPUTED_VALUE"""),"anuta_azov@mail.ru")</f>
        <v>anuta_azov@mail.ru</v>
      </c>
      <c r="C283" s="15" t="str">
        <f ca="1">IFERROR(__xludf.DUMMYFUNCTION("""COMPUTED_VALUE"""),"+375447589765")</f>
        <v>+375447589765</v>
      </c>
      <c r="D283" s="15"/>
      <c r="E283" s="14"/>
      <c r="F283" s="8" t="str">
        <f ca="1">IFERROR(__xludf.DUMMYFUNCTION("""COMPUTED_VALUE"""),"- Тишина Челлендж (бесплатная часть)")</f>
        <v>- Тишина Челлендж (бесплатная часть)</v>
      </c>
      <c r="G283" s="1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>
      <c r="A284" s="14" t="str">
        <f ca="1">IFERROR(__xludf.DUMMYFUNCTION("""COMPUTED_VALUE"""),"Анна Ларионова")</f>
        <v>Анна Ларионова</v>
      </c>
      <c r="B284" s="14" t="str">
        <f ca="1">IFERROR(__xludf.DUMMYFUNCTION("""COMPUTED_VALUE"""),"anutasmood@gmail.com")</f>
        <v>anutasmood@gmail.com</v>
      </c>
      <c r="C284" s="15" t="str">
        <f ca="1">IFERROR(__xludf.DUMMYFUNCTION("""COMPUTED_VALUE"""),"+365293418089")</f>
        <v>+365293418089</v>
      </c>
      <c r="D284" s="15" t="str">
        <f ca="1">IFERROR(__xludf.DUMMYFUNCTION("""COMPUTED_VALUE"""),"Беларусь")</f>
        <v>Беларусь</v>
      </c>
      <c r="E284" s="14"/>
      <c r="F284" s="8" t="str">
        <f ca="1">IFERROR(__xludf.DUMMYFUNCTION("""COMPUTED_VALUE"""),"- Чайная встреча Разговор по душам 26.2.2022 Минск")</f>
        <v>- Чайная встреча Разговор по душам 26.2.2022 Минск</v>
      </c>
      <c r="G284" s="1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>
      <c r="A285" s="14" t="str">
        <f ca="1">IFERROR(__xludf.DUMMYFUNCTION("""COMPUTED_VALUE"""),"anutik.love,  ")</f>
        <v xml:space="preserve">anutik.love,  </v>
      </c>
      <c r="B285" s="14" t="str">
        <f ca="1">IFERROR(__xludf.DUMMYFUNCTION("""COMPUTED_VALUE"""),"anutik.love@mail.ru")</f>
        <v>anutik.love@mail.ru</v>
      </c>
      <c r="C285" s="15"/>
      <c r="D285" s="15"/>
      <c r="E285" s="14"/>
      <c r="F285" s="8" t="str">
        <f ca="1">IFERROR(__xludf.DUMMYFUNCTION("""COMPUTED_VALUE"""),"- USA Челлендж Тишина")</f>
        <v>- USA Челлендж Тишина</v>
      </c>
      <c r="G285" s="1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>
      <c r="A286" s="14" t="str">
        <f ca="1">IFERROR(__xludf.DUMMYFUNCTION("""COMPUTED_VALUE"""),"Анна Зайцева")</f>
        <v>Анна Зайцева</v>
      </c>
      <c r="B286" s="14" t="str">
        <f ca="1">IFERROR(__xludf.DUMMYFUNCTION("""COMPUTED_VALUE"""),"anya.bunny@mail.ru")</f>
        <v>anya.bunny@mail.ru</v>
      </c>
      <c r="C286" s="15" t="str">
        <f ca="1">IFERROR(__xludf.DUMMYFUNCTION("""COMPUTED_VALUE"""),"79169069467")</f>
        <v>79169069467</v>
      </c>
      <c r="D286" s="15" t="str">
        <f ca="1">IFERROR(__xludf.DUMMYFUNCTION("""COMPUTED_VALUE"""),"Россия")</f>
        <v>Россия</v>
      </c>
      <c r="E286" s="14"/>
      <c r="F286" s="8" t="str">
        <f ca="1">IFERROR(__xludf.DUMMYFUNCTION("""COMPUTED_VALUE"""),"- Тишина Челлендж (бесплатная часть)")</f>
        <v>- Тишина Челлендж (бесплатная часть)</v>
      </c>
      <c r="G286" s="1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>
      <c r="A287" s="14" t="str">
        <f ca="1">IFERROR(__xludf.DUMMYFUNCTION("""COMPUTED_VALUE"""),"Анна Лалетина")</f>
        <v>Анна Лалетина</v>
      </c>
      <c r="B287" s="14" t="str">
        <f ca="1">IFERROR(__xludf.DUMMYFUNCTION("""COMPUTED_VALUE"""),"anyavorobyeva@icloud.com")</f>
        <v>anyavorobyeva@icloud.com</v>
      </c>
      <c r="C287" s="15"/>
      <c r="D287" s="15" t="str">
        <f ca="1">IFERROR(__xludf.DUMMYFUNCTION("""COMPUTED_VALUE"""),"Россия")</f>
        <v>Россия</v>
      </c>
      <c r="E287" s="14"/>
      <c r="F287" s="8" t="str">
        <f ca="1">IFERROR(__xludf.DUMMYFUNCTION("""COMPUTED_VALUE"""),"- Тишина Челлендж (бесплатная часть)")</f>
        <v>- Тишина Челлендж (бесплатная часть)</v>
      </c>
      <c r="G287" s="1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>
      <c r="A288" s="14" t="str">
        <f ca="1">IFERROR(__xludf.DUMMYFUNCTION("""COMPUTED_VALUE"""),"Анна Зорина")</f>
        <v>Анна Зорина</v>
      </c>
      <c r="B288" s="14" t="str">
        <f ca="1">IFERROR(__xludf.DUMMYFUNCTION("""COMPUTED_VALUE"""),"anyi_80@mail.ru")</f>
        <v>anyi_80@mail.ru</v>
      </c>
      <c r="C288" s="15"/>
      <c r="D288" s="15" t="str">
        <f ca="1">IFERROR(__xludf.DUMMYFUNCTION("""COMPUTED_VALUE"""),"Россия")</f>
        <v>Россия</v>
      </c>
      <c r="E288" s="14"/>
      <c r="F288" s="8" t="str">
        <f ca="1">IFERROR(__xludf.DUMMYFUNCTION("""COMPUTED_VALUE"""),"- Тишина Челлендж (бесплатная часть)")</f>
        <v>- Тишина Челлендж (бесплатная часть)</v>
      </c>
      <c r="G288" s="1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5.5">
      <c r="A289" s="14" t="str">
        <f ca="1">IFERROR(__xludf.DUMMYFUNCTION("""COMPUTED_VALUE"""),"Рушана Мусаева")</f>
        <v>Рушана Мусаева</v>
      </c>
      <c r="B289" s="14" t="str">
        <f ca="1">IFERROR(__xludf.DUMMYFUNCTION("""COMPUTED_VALUE"""),"anyma666.rm@gmail.com")</f>
        <v>anyma666.rm@gmail.com</v>
      </c>
      <c r="C289" s="15" t="str">
        <f ca="1">IFERROR(__xludf.DUMMYFUNCTION("""COMPUTED_VALUE"""),"+998911653238")</f>
        <v>+998911653238</v>
      </c>
      <c r="D289" s="15"/>
      <c r="E289" s="14"/>
      <c r="F28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89" s="1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>
      <c r="A290" s="14" t="str">
        <f ca="1">IFERROR(__xludf.DUMMYFUNCTION("""COMPUTED_VALUE"""),"anyuta_ussr,  ")</f>
        <v xml:space="preserve">anyuta_ussr,  </v>
      </c>
      <c r="B290" s="14" t="str">
        <f ca="1">IFERROR(__xludf.DUMMYFUNCTION("""COMPUTED_VALUE"""),"anyuta_ussr@yahoo.com")</f>
        <v>anyuta_ussr@yahoo.com</v>
      </c>
      <c r="C290" s="15"/>
      <c r="D290" s="15"/>
      <c r="E290" s="14"/>
      <c r="F290" s="8" t="str">
        <f ca="1">IFERROR(__xludf.DUMMYFUNCTION("""COMPUTED_VALUE"""),"- USA Челлендж Тишина")</f>
        <v>- USA Челлендж Тишина</v>
      </c>
      <c r="G290" s="1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>
      <c r="A291" s="14" t="str">
        <f ca="1">IFERROR(__xludf.DUMMYFUNCTION("""COMPUTED_VALUE"""),"Анна Викторовна")</f>
        <v>Анна Викторовна</v>
      </c>
      <c r="B291" s="14" t="str">
        <f ca="1">IFERROR(__xludf.DUMMYFUNCTION("""COMPUTED_VALUE"""),"anyuta.shakti@yandex.ru")</f>
        <v>anyuta.shakti@yandex.ru</v>
      </c>
      <c r="C291" s="15" t="str">
        <f ca="1">IFERROR(__xludf.DUMMYFUNCTION("""COMPUTED_VALUE"""),", +79831448605")</f>
        <v>, +79831448605</v>
      </c>
      <c r="D291" s="15" t="str">
        <f ca="1">IFERROR(__xludf.DUMMYFUNCTION("""COMPUTED_VALUE"""),"Россия")</f>
        <v>Россия</v>
      </c>
      <c r="E291" s="14"/>
      <c r="F291" s="8" t="str">
        <f ca="1">IFERROR(__xludf.DUMMYFUNCTION("""COMPUTED_VALUE"""),"Мероприятий не обнаружено")</f>
        <v>Мероприятий не обнаружено</v>
      </c>
      <c r="G291" s="1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>
      <c r="A292" s="14" t="str">
        <f ca="1">IFERROR(__xludf.DUMMYFUNCTION("""COMPUTED_VALUE"""),"anyvayner1112,  ")</f>
        <v xml:space="preserve">anyvayner1112,  </v>
      </c>
      <c r="B292" s="14" t="str">
        <f ca="1">IFERROR(__xludf.DUMMYFUNCTION("""COMPUTED_VALUE"""),"anyvayner1112@gmail.com")</f>
        <v>anyvayner1112@gmail.com</v>
      </c>
      <c r="C292" s="15"/>
      <c r="D292" s="15"/>
      <c r="E292" s="14"/>
      <c r="F292" s="8" t="str">
        <f ca="1">IFERROR(__xludf.DUMMYFUNCTION("""COMPUTED_VALUE"""),"- USA Челлендж Тишина")</f>
        <v>- USA Челлендж Тишина</v>
      </c>
      <c r="G292" s="1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5.5">
      <c r="A293" s="14" t="str">
        <f ca="1">IFERROR(__xludf.DUMMYFUNCTION("""COMPUTED_VALUE"""),"Dı Arıpovna")</f>
        <v>Dı Arıpovna</v>
      </c>
      <c r="B293" s="14" t="str">
        <f ca="1">IFERROR(__xludf.DUMMYFUNCTION("""COMPUTED_VALUE"""),"aranid2012@yandex.ru")</f>
        <v>aranid2012@yandex.ru</v>
      </c>
      <c r="C293" s="15" t="str">
        <f ca="1">IFERROR(__xludf.DUMMYFUNCTION("""COMPUTED_VALUE"""),"9098909085002")</f>
        <v>9098909085002</v>
      </c>
      <c r="D293" s="15"/>
      <c r="E293" s="14"/>
      <c r="F29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93" s="1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>
      <c r="A294" s="14" t="str">
        <f ca="1">IFERROR(__xludf.DUMMYFUNCTION("""COMPUTED_VALUE"""),"arash_nami,  ")</f>
        <v xml:space="preserve">arash_nami,  </v>
      </c>
      <c r="B294" s="14" t="str">
        <f ca="1">IFERROR(__xludf.DUMMYFUNCTION("""COMPUTED_VALUE"""),"arash_nami@yahoo.com")</f>
        <v>arash_nami@yahoo.com</v>
      </c>
      <c r="C294" s="15"/>
      <c r="D294" s="15"/>
      <c r="E294" s="14"/>
      <c r="F294" s="8" t="str">
        <f ca="1">IFERROR(__xludf.DUMMYFUNCTION("""COMPUTED_VALUE"""),"- USA Челлендж Тишина")</f>
        <v>- USA Челлендж Тишина</v>
      </c>
      <c r="G294" s="1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51">
      <c r="A295" s="14" t="str">
        <f ca="1">IFERROR(__xludf.DUMMYFUNCTION("""COMPUTED_VALUE"""),"Leila Letin")</f>
        <v>Leila Letin</v>
      </c>
      <c r="B295" s="14" t="str">
        <f ca="1">IFERROR(__xludf.DUMMYFUNCTION("""COMPUTED_VALUE"""),"arekhova@mail.ru")</f>
        <v>arekhova@mail.ru</v>
      </c>
      <c r="C295" s="15" t="str">
        <f ca="1">IFERROR(__xludf.DUMMYFUNCTION("""COMPUTED_VALUE"""),"+4915788281999")</f>
        <v>+4915788281999</v>
      </c>
      <c r="D295" s="15" t="str">
        <f ca="1">IFERROR(__xludf.DUMMYFUNCTION("""COMPUTED_VALUE"""),"Германия")</f>
        <v>Германия</v>
      </c>
      <c r="E295" s="14"/>
      <c r="F295" s="8" t="str">
        <f ca="1">IFERROR(__xludf.DUMMYFUNCTION("""COMPUTED_VALUE"""),"- Беседа - сатсанг с Екатериной Сосниной: Счастье внутри нас 15.1.22
- Онлайн курс Шаг к Пробуждению №15 29.1-8.02.22 Пакет стандартный")</f>
        <v>- Беседа - сатсанг с Екатериной Сосниной: Счастье внутри нас 15.1.22
- Онлайн курс Шаг к Пробуждению №15 29.1-8.02.22 Пакет стандартный</v>
      </c>
      <c r="G295" s="1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5.5">
      <c r="A296" s="14" t="str">
        <f ca="1">IFERROR(__xludf.DUMMYFUNCTION("""COMPUTED_VALUE"""),"Алишер Арифджанов")</f>
        <v>Алишер Арифджанов</v>
      </c>
      <c r="B296" s="14" t="str">
        <f ca="1">IFERROR(__xludf.DUMMYFUNCTION("""COMPUTED_VALUE"""),"Arifdjanovalishernigmatovich@gmail.com")</f>
        <v>Arifdjanovalishernigmatovich@gmail.com</v>
      </c>
      <c r="C296" s="15" t="str">
        <f ca="1">IFERROR(__xludf.DUMMYFUNCTION("""COMPUTED_VALUE"""),"+998970053005")</f>
        <v>+998970053005</v>
      </c>
      <c r="D296" s="15"/>
      <c r="E296" s="14"/>
      <c r="F29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96" s="1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76.5">
      <c r="A297" s="14" t="str">
        <f ca="1">IFERROR(__xludf.DUMMYFUNCTION("""COMPUTED_VALUE"""),"Арина Баранова")</f>
        <v>Арина Баранова</v>
      </c>
      <c r="B297" s="14" t="str">
        <f ca="1">IFERROR(__xludf.DUMMYFUNCTION("""COMPUTED_VALUE"""),"Arina-baranova@rambler.ru")</f>
        <v>Arina-baranova@rambler.ru</v>
      </c>
      <c r="C297" s="15" t="str">
        <f ca="1">IFERROR(__xludf.DUMMYFUNCTION("""COMPUTED_VALUE"""),"+79043302468")</f>
        <v>+79043302468</v>
      </c>
      <c r="D297" s="15" t="str">
        <f ca="1">IFERROR(__xludf.DUMMYFUNCTION("""COMPUTED_VALUE"""),"Италия")</f>
        <v>Италия</v>
      </c>
      <c r="E297" s="14" t="str">
        <f ca="1">IFERROR(__xludf.DUMMYFUNCTION("""COMPUTED_VALUE"""),"Arina_spb")</f>
        <v>Arina_spb</v>
      </c>
      <c r="F297" s="8" t="str">
        <f ca="1">IFERROR(__xludf.DUMMYFUNCTION("""COMPUTED_VALUE"""),"- Онлайн курс Шаг к Пробуждению №15 29.1-8.02.22 Пакет стандартный
- Вебинар с Никитой Бородулиным 11.02.2022 часть1
- Вебинар все о ретрите 12.2.2022
- АнтиЭго 2.0 ""Пакет Базовый"" 19.02 - 13.03.2022 (поток 1)
- Клуб пробуждения Друзья (2 уровень) - 1 м"&amp;"есяц (евро)")</f>
        <v>- Онлайн курс Шаг к Пробуждению №15 29.1-8.02.22 Пакет стандартный
- Вебинар с Никитой Бородулиным 11.02.2022 часть1
- Вебинар все о ретрите 12.2.2022
- АнтиЭго 2.0 "Пакет Базовый" 19.02 - 13.03.2022 (поток 1)
- Клуб пробуждения Друзья (2 уровень) - 1 месяц (евро)</v>
      </c>
      <c r="G297" s="1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5.5">
      <c r="A298" s="14" t="str">
        <f ca="1">IFERROR(__xludf.DUMMYFUNCTION("""COMPUTED_VALUE"""),"Арина Я")</f>
        <v>Арина Я</v>
      </c>
      <c r="B298" s="14" t="str">
        <f ca="1">IFERROR(__xludf.DUMMYFUNCTION("""COMPUTED_VALUE"""),"arina.gordienko.88@mail.ru")</f>
        <v>arina.gordienko.88@mail.ru</v>
      </c>
      <c r="C298" s="15" t="str">
        <f ca="1">IFERROR(__xludf.DUMMYFUNCTION("""COMPUTED_VALUE"""),"87055053768")</f>
        <v>87055053768</v>
      </c>
      <c r="D298" s="15"/>
      <c r="E298" s="14"/>
      <c r="F29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98" s="1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38.25">
      <c r="A299" s="14" t="str">
        <f ca="1">IFERROR(__xludf.DUMMYFUNCTION("""COMPUTED_VALUE"""),"Арина Медведева")</f>
        <v>Арина Медведева</v>
      </c>
      <c r="B299" s="14" t="str">
        <f ca="1">IFERROR(__xludf.DUMMYFUNCTION("""COMPUTED_VALUE"""),"arina220898@gmail.com")</f>
        <v>arina220898@gmail.com</v>
      </c>
      <c r="C299" s="15" t="str">
        <f ca="1">IFERROR(__xludf.DUMMYFUNCTION("""COMPUTED_VALUE"""),"+9778399330")</f>
        <v>+9778399330</v>
      </c>
      <c r="D299" s="15" t="str">
        <f ca="1">IFERROR(__xludf.DUMMYFUNCTION("""COMPUTED_VALUE"""),"США")</f>
        <v>США</v>
      </c>
      <c r="E299" s="14"/>
      <c r="F299" s="8" t="str">
        <f ca="1">IFERROR(__xludf.DUMMYFUNCTION("""COMPUTED_VALUE"""),"- Ретрит Дальний Восток Хабаровск 19-27.03.2022 (Оплата со 2 по 7 марта) 
- Ретрит в РЦ Сочи 19-27 марта 2022 (Оплата до 6 марта)")</f>
        <v>- Ретрит Дальний Восток Хабаровск 19-27.03.2022 (Оплата со 2 по 7 марта) 
- Ретрит в РЦ Сочи 19-27 марта 2022 (Оплата до 6 марта)</v>
      </c>
      <c r="G299" s="1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5.5">
      <c r="A300" s="14" t="str">
        <f ca="1">IFERROR(__xludf.DUMMYFUNCTION("""COMPUTED_VALUE"""),"Игорь Иванов")</f>
        <v>Игорь Иванов</v>
      </c>
      <c r="B300" s="14" t="str">
        <f ca="1">IFERROR(__xludf.DUMMYFUNCTION("""COMPUTED_VALUE"""),"aristotelevich@mail.ru")</f>
        <v>aristotelevich@mail.ru</v>
      </c>
      <c r="C300" s="15" t="str">
        <f ca="1">IFERROR(__xludf.DUMMYFUNCTION("""COMPUTED_VALUE"""),"+79104642417")</f>
        <v>+79104642417</v>
      </c>
      <c r="D300" s="15" t="str">
        <f ca="1">IFERROR(__xludf.DUMMYFUNCTION("""COMPUTED_VALUE"""),"Россия")</f>
        <v>Россия</v>
      </c>
      <c r="E300" s="14"/>
      <c r="F300" s="8" t="str">
        <f ca="1">IFERROR(__xludf.DUMMYFUNCTION("""COMPUTED_VALUE"""),"- Онлайн курс Шаг к Пробуждению №15 29.1-8.02.22 Пакет стандартный")</f>
        <v>- Онлайн курс Шаг к Пробуждению №15 29.1-8.02.22 Пакет стандартный</v>
      </c>
      <c r="G300" s="1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5.5">
      <c r="A301" s="14" t="str">
        <f ca="1">IFERROR(__xludf.DUMMYFUNCTION("""COMPUTED_VALUE"""),"Viktorija Ginko")</f>
        <v>Viktorija Ginko</v>
      </c>
      <c r="B301" s="14" t="str">
        <f ca="1">IFERROR(__xludf.DUMMYFUNCTION("""COMPUTED_VALUE"""),"aromaoil@mail.ru")</f>
        <v>aromaoil@mail.ru</v>
      </c>
      <c r="C301" s="15" t="str">
        <f ca="1">IFERROR(__xludf.DUMMYFUNCTION("""COMPUTED_VALUE"""),"+37126061852")</f>
        <v>+37126061852</v>
      </c>
      <c r="D301" s="15" t="str">
        <f ca="1">IFERROR(__xludf.DUMMYFUNCTION("""COMPUTED_VALUE"""),"Латвия")</f>
        <v>Латвия</v>
      </c>
      <c r="E301" s="14"/>
      <c r="F301" s="8" t="str">
        <f ca="1">IFERROR(__xludf.DUMMYFUNCTION("""COMPUTED_VALUE"""),"- Ретрит в Германии 30 апреля-7 мая 2022 (590€)
- Однодневный онлайн ретрит 14 мая 2022 (6€)")</f>
        <v>- Ретрит в Германии 30 апреля-7 мая 2022 (590€)
- Однодневный онлайн ретрит 14 мая 2022 (6€)</v>
      </c>
      <c r="G301" s="1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63.75">
      <c r="A302" s="14" t="str">
        <f ca="1">IFERROR(__xludf.DUMMYFUNCTION("""COMPUTED_VALUE"""),"Юлия Ильина")</f>
        <v>Юлия Ильина</v>
      </c>
      <c r="B302" s="14" t="str">
        <f ca="1">IFERROR(__xludf.DUMMYFUNCTION("""COMPUTED_VALUE"""),"arsegental@gmail.com")</f>
        <v>arsegental@gmail.com</v>
      </c>
      <c r="C302" s="15" t="str">
        <f ca="1">IFERROR(__xludf.DUMMYFUNCTION("""COMPUTED_VALUE"""),"+79243035277")</f>
        <v>+79243035277</v>
      </c>
      <c r="D302" s="15" t="str">
        <f ca="1">IFERROR(__xludf.DUMMYFUNCTION("""COMPUTED_VALUE"""),"Россия")</f>
        <v>Россия</v>
      </c>
      <c r="E302" s="14"/>
      <c r="F302" s="8" t="str">
        <f ca="1">IFERROR(__xludf.DUMMYFUNCTION("""COMPUTED_VALUE"""),"- Вебинар все о ретрите 12.2.2022
- Онлайн Интенсив Дальний Восток 25-27.02.2022 
- Чайная встреча - Сочи-Хабаровск 19.2.2022
- Сообщество ДВ внутренний чат
- Онлайн Интенсив Дальний Восток 25-27.03.2022 Оплата в рублях")</f>
        <v>- Вебинар все о ретрите 12.2.2022
- Онлайн Интенсив Дальний Восток 25-27.02.2022 
- Чайная встреча - Сочи-Хабаровск 19.2.2022
- Сообщество ДВ внутренний чат
- Онлайн Интенсив Дальний Восток 25-27.03.2022 Оплата в рублях</v>
      </c>
      <c r="G302" s="1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5.5">
      <c r="A303" s="14" t="str">
        <f ca="1">IFERROR(__xludf.DUMMYFUNCTION("""COMPUTED_VALUE"""),"Арслан А")</f>
        <v>Арслан А</v>
      </c>
      <c r="B303" s="14" t="str">
        <f ca="1">IFERROR(__xludf.DUMMYFUNCTION("""COMPUTED_VALUE"""),"arser.kz@mail.ru")</f>
        <v>arser.kz@mail.ru</v>
      </c>
      <c r="C303" s="15" t="str">
        <f ca="1">IFERROR(__xludf.DUMMYFUNCTION("""COMPUTED_VALUE"""),"87085857725")</f>
        <v>87085857725</v>
      </c>
      <c r="D303" s="15"/>
      <c r="E303" s="14"/>
      <c r="F30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303" s="1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>
      <c r="A304" s="14" t="str">
        <f ca="1">IFERROR(__xludf.DUMMYFUNCTION("""COMPUTED_VALUE"""),"Елена Менделеева")</f>
        <v>Елена Менделеева</v>
      </c>
      <c r="B304" s="14" t="str">
        <f ca="1">IFERROR(__xludf.DUMMYFUNCTION("""COMPUTED_VALUE"""),"artdesign36.ru@yandex.ru")</f>
        <v>artdesign36.ru@yandex.ru</v>
      </c>
      <c r="C304" s="15" t="str">
        <f ca="1">IFERROR(__xludf.DUMMYFUNCTION("""COMPUTED_VALUE"""),"+79507519242")</f>
        <v>+79507519242</v>
      </c>
      <c r="D304" s="15" t="str">
        <f ca="1">IFERROR(__xludf.DUMMYFUNCTION("""COMPUTED_VALUE"""),"Россия")</f>
        <v>Россия</v>
      </c>
      <c r="E304" s="14"/>
      <c r="F304" s="8" t="str">
        <f ca="1">IFERROR(__xludf.DUMMYFUNCTION("""COMPUTED_VALUE"""),"- Выездной ретрит Воронеж-Липецк 25-27.2.2022")</f>
        <v>- Выездной ретрит Воронеж-Липецк 25-27.2.2022</v>
      </c>
      <c r="G304" s="1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>
      <c r="A305" s="14" t="str">
        <f ca="1">IFERROR(__xludf.DUMMYFUNCTION("""COMPUTED_VALUE"""),"Артём Исайкин")</f>
        <v>Артём Исайкин</v>
      </c>
      <c r="B305" s="14" t="str">
        <f ca="1">IFERROR(__xludf.DUMMYFUNCTION("""COMPUTED_VALUE"""),"artisgrays@yandex.ru")</f>
        <v>artisgrays@yandex.ru</v>
      </c>
      <c r="C305" s="15" t="str">
        <f ca="1">IFERROR(__xludf.DUMMYFUNCTION("""COMPUTED_VALUE"""),"+79296474627")</f>
        <v>+79296474627</v>
      </c>
      <c r="D305" s="15" t="str">
        <f ca="1">IFERROR(__xludf.DUMMYFUNCTION("""COMPUTED_VALUE"""),"Россия")</f>
        <v>Россия</v>
      </c>
      <c r="E305" s="14"/>
      <c r="F305" s="8" t="str">
        <f ca="1">IFERROR(__xludf.DUMMYFUNCTION("""COMPUTED_VALUE"""),"- Партнерская программа")</f>
        <v>- Партнерская программа</v>
      </c>
      <c r="G305" s="1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>
      <c r="A306" s="14" t="str">
        <f ca="1">IFERROR(__xludf.DUMMYFUNCTION("""COMPUTED_VALUE"""),"Елена Голубь")</f>
        <v>Елена Голубь</v>
      </c>
      <c r="B306" s="14" t="str">
        <f ca="1">IFERROR(__xludf.DUMMYFUNCTION("""COMPUTED_VALUE"""),"artmakarov2902@gmail.com")</f>
        <v>artmakarov2902@gmail.com</v>
      </c>
      <c r="C306" s="15" t="str">
        <f ca="1">IFERROR(__xludf.DUMMYFUNCTION("""COMPUTED_VALUE"""),"+79615949053")</f>
        <v>+79615949053</v>
      </c>
      <c r="D306" s="15" t="str">
        <f ca="1">IFERROR(__xludf.DUMMYFUNCTION("""COMPUTED_VALUE"""),"Россия")</f>
        <v>Россия</v>
      </c>
      <c r="E306" s="14"/>
      <c r="F306" s="8" t="str">
        <f ca="1">IFERROR(__xludf.DUMMYFUNCTION("""COMPUTED_VALUE"""),"-  встреча Космос внутри Сочи 5.3.2022")</f>
        <v>-  встреча Космос внутри Сочи 5.3.2022</v>
      </c>
      <c r="G306" s="1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>
      <c r="A307" s="14" t="str">
        <f ca="1">IFERROR(__xludf.DUMMYFUNCTION("""COMPUTED_VALUE"""),"Елена Филина")</f>
        <v>Елена Филина</v>
      </c>
      <c r="B307" s="14" t="str">
        <f ca="1">IFERROR(__xludf.DUMMYFUNCTION("""COMPUTED_VALUE"""),"as.derbina@gmail.com")</f>
        <v>as.derbina@gmail.com</v>
      </c>
      <c r="C307" s="15" t="str">
        <f ca="1">IFERROR(__xludf.DUMMYFUNCTION("""COMPUTED_VALUE"""),"+79591738441")</f>
        <v>+79591738441</v>
      </c>
      <c r="D307" s="15" t="str">
        <f ca="1">IFERROR(__xludf.DUMMYFUNCTION("""COMPUTED_VALUE"""),"Украина")</f>
        <v>Украина</v>
      </c>
      <c r="E307" s="14"/>
      <c r="F307" s="8" t="str">
        <f ca="1">IFERROR(__xludf.DUMMYFUNCTION("""COMPUTED_VALUE"""),"- Тишина Челлендж (бесплатная часть)")</f>
        <v>- Тишина Челлендж (бесплатная часть)</v>
      </c>
      <c r="G307" s="1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5.5">
      <c r="A308" s="14" t="str">
        <f ca="1">IFERROR(__xludf.DUMMYFUNCTION("""COMPUTED_VALUE"""),"Saya Abylova")</f>
        <v>Saya Abylova</v>
      </c>
      <c r="B308" s="14" t="str">
        <f ca="1">IFERROR(__xludf.DUMMYFUNCTION("""COMPUTED_VALUE"""),"asaika37@gmail.com")</f>
        <v>asaika37@gmail.com</v>
      </c>
      <c r="C308" s="15" t="str">
        <f ca="1">IFERROR(__xludf.DUMMYFUNCTION("""COMPUTED_VALUE"""),"996500181800")</f>
        <v>996500181800</v>
      </c>
      <c r="D308" s="15"/>
      <c r="E308" s="14"/>
      <c r="F30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308" s="1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5.5">
      <c r="A309" s="14" t="str">
        <f ca="1">IFERROR(__xludf.DUMMYFUNCTION("""COMPUTED_VALUE"""),"Пулатова Шахноза")</f>
        <v>Пулатова Шахноза</v>
      </c>
      <c r="B309" s="14" t="str">
        <f ca="1">IFERROR(__xludf.DUMMYFUNCTION("""COMPUTED_VALUE"""),"Asalchiksh@mail.ru")</f>
        <v>Asalchiksh@mail.ru</v>
      </c>
      <c r="C309" s="15" t="str">
        <f ca="1">IFERROR(__xludf.DUMMYFUNCTION("""COMPUTED_VALUE"""),"998914135090")</f>
        <v>998914135090</v>
      </c>
      <c r="D309" s="15"/>
      <c r="E309" s="14"/>
      <c r="F30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309" s="1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>
      <c r="A310" s="14" t="str">
        <f ca="1">IFERROR(__xludf.DUMMYFUNCTION("""COMPUTED_VALUE"""),"Baxitli Asemetdinova")</f>
        <v>Baxitli Asemetdinova</v>
      </c>
      <c r="B310" s="14" t="str">
        <f ca="1">IFERROR(__xludf.DUMMYFUNCTION("""COMPUTED_VALUE"""),"asamatdinovabaxitli@gmail.com")</f>
        <v>asamatdinovabaxitli@gmail.com</v>
      </c>
      <c r="C310" s="15" t="str">
        <f ca="1">IFERROR(__xludf.DUMMYFUNCTION("""COMPUTED_VALUE"""),"+998905944649")</f>
        <v>+998905944649</v>
      </c>
      <c r="D310" s="15" t="str">
        <f ca="1">IFERROR(__xludf.DUMMYFUNCTION("""COMPUTED_VALUE"""),"Узбекистан")</f>
        <v>Узбекистан</v>
      </c>
      <c r="E310" s="14"/>
      <c r="F310" s="8" t="str">
        <f ca="1">IFERROR(__xludf.DUMMYFUNCTION("""COMPUTED_VALUE"""),"- Новогодний Интенсив Алматы-онлайн 17-19.12.2021")</f>
        <v>- Новогодний Интенсив Алматы-онлайн 17-19.12.2021</v>
      </c>
      <c r="G310" s="1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5.5">
      <c r="A311" s="14" t="str">
        <f ca="1">IFERROR(__xludf.DUMMYFUNCTION("""COMPUTED_VALUE"""),"Асель Омарова")</f>
        <v>Асель Омарова</v>
      </c>
      <c r="B311" s="14" t="str">
        <f ca="1">IFERROR(__xludf.DUMMYFUNCTION("""COMPUTED_VALUE"""),"Asel_gogo@mail.ru")</f>
        <v>Asel_gogo@mail.ru</v>
      </c>
      <c r="C311" s="15" t="str">
        <f ca="1">IFERROR(__xludf.DUMMYFUNCTION("""COMPUTED_VALUE"""),"+77089698811")</f>
        <v>+77089698811</v>
      </c>
      <c r="D311" s="15"/>
      <c r="E311" s="14"/>
      <c r="F31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311" s="1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>
      <c r="A312" s="14" t="str">
        <f ca="1">IFERROR(__xludf.DUMMYFUNCTION("""COMPUTED_VALUE"""),"Асель Атагелдиева")</f>
        <v>Асель Атагелдиева</v>
      </c>
      <c r="B312" s="14" t="str">
        <f ca="1">IFERROR(__xludf.DUMMYFUNCTION("""COMPUTED_VALUE"""),"aselatageldieva83@gmail.com")</f>
        <v>aselatageldieva83@gmail.com</v>
      </c>
      <c r="C312" s="15"/>
      <c r="D312" s="15" t="str">
        <f ca="1">IFERROR(__xludf.DUMMYFUNCTION("""COMPUTED_VALUE"""),"Панама")</f>
        <v>Панама</v>
      </c>
      <c r="E312" s="14"/>
      <c r="F312" s="8" t="str">
        <f ca="1">IFERROR(__xludf.DUMMYFUNCTION("""COMPUTED_VALUE"""),"- Тишина Челлендж (бесплатная часть)")</f>
        <v>- Тишина Челлендж (бесплатная часть)</v>
      </c>
      <c r="G312" s="1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>
      <c r="A313" s="14" t="str">
        <f ca="1">IFERROR(__xludf.DUMMYFUNCTION("""COMPUTED_VALUE"""),"Asel Алиахмеь")</f>
        <v>Asel Алиахмеь</v>
      </c>
      <c r="B313" s="14" t="str">
        <f ca="1">IFERROR(__xludf.DUMMYFUNCTION("""COMPUTED_VALUE"""),"aselek_42@mail.ru")</f>
        <v>aselek_42@mail.ru</v>
      </c>
      <c r="C313" s="15" t="str">
        <f ca="1">IFERROR(__xludf.DUMMYFUNCTION("""COMPUTED_VALUE"""),"420776298778")</f>
        <v>420776298778</v>
      </c>
      <c r="D313" s="15" t="str">
        <f ca="1">IFERROR(__xludf.DUMMYFUNCTION("""COMPUTED_VALUE"""),"Казахстан")</f>
        <v>Казахстан</v>
      </c>
      <c r="E313" s="14"/>
      <c r="F313" s="8" t="str">
        <f ca="1">IFERROR(__xludf.DUMMYFUNCTION("""COMPUTED_VALUE"""),"- Тишина Челлендж (бесплатная часть)")</f>
        <v>- Тишина Челлендж (бесплатная часть)</v>
      </c>
      <c r="G313" s="1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>
      <c r="A314" s="14" t="str">
        <f ca="1">IFERROR(__xludf.DUMMYFUNCTION("""COMPUTED_VALUE"""),"Assem Nurlanbekova")</f>
        <v>Assem Nurlanbekova</v>
      </c>
      <c r="B314" s="14" t="str">
        <f ca="1">IFERROR(__xludf.DUMMYFUNCTION("""COMPUTED_VALUE"""),"asem.nurlanbekova@gmail.com")</f>
        <v>asem.nurlanbekova@gmail.com</v>
      </c>
      <c r="C314" s="15" t="str">
        <f ca="1">IFERROR(__xludf.DUMMYFUNCTION("""COMPUTED_VALUE"""),"+14159303330")</f>
        <v>+14159303330</v>
      </c>
      <c r="D314" s="15" t="str">
        <f ca="1">IFERROR(__xludf.DUMMYFUNCTION("""COMPUTED_VALUE"""),"United States")</f>
        <v>United States</v>
      </c>
      <c r="E314" s="14"/>
      <c r="F314" s="8" t="str">
        <f ca="1">IFERROR(__xludf.DUMMYFUNCTION("""COMPUTED_VALUE"""),"- USA Челлендж Тишина")</f>
        <v>- USA Челлендж Тишина</v>
      </c>
      <c r="G314" s="1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>
      <c r="A315" s="14" t="str">
        <f ca="1">IFERROR(__xludf.DUMMYFUNCTION("""COMPUTED_VALUE"""),"Елена Мошкова")</f>
        <v>Елена Мошкова</v>
      </c>
      <c r="B315" s="14" t="str">
        <f ca="1">IFERROR(__xludf.DUMMYFUNCTION("""COMPUTED_VALUE"""),"Ashalina@mail.ru")</f>
        <v>Ashalina@mail.ru</v>
      </c>
      <c r="C315" s="15"/>
      <c r="D315" s="15" t="str">
        <f ca="1">IFERROR(__xludf.DUMMYFUNCTION("""COMPUTED_VALUE"""),"Россия")</f>
        <v>Россия</v>
      </c>
      <c r="E315" s="14"/>
      <c r="F315" s="8" t="str">
        <f ca="1">IFERROR(__xludf.DUMMYFUNCTION("""COMPUTED_VALUE"""),"- Базовая бесплатная часть")</f>
        <v>- Базовая бесплатная часть</v>
      </c>
      <c r="G315" s="1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5.5">
      <c r="A316" s="14" t="str">
        <f ca="1">IFERROR(__xludf.DUMMYFUNCTION("""COMPUTED_VALUE"""),"Ася Даневич")</f>
        <v>Ася Даневич</v>
      </c>
      <c r="B316" s="14" t="str">
        <f ca="1">IFERROR(__xludf.DUMMYFUNCTION("""COMPUTED_VALUE"""),"Asia_1984@mail.ru")</f>
        <v>Asia_1984@mail.ru</v>
      </c>
      <c r="C316" s="15" t="str">
        <f ca="1">IFERROR(__xludf.DUMMYFUNCTION("""COMPUTED_VALUE"""),"+972546849232")</f>
        <v>+972546849232</v>
      </c>
      <c r="D316" s="15" t="str">
        <f ca="1">IFERROR(__xludf.DUMMYFUNCTION("""COMPUTED_VALUE"""),"Израиль")</f>
        <v>Израиль</v>
      </c>
      <c r="E316" s="14"/>
      <c r="F316" s="8" t="str">
        <f ca="1">IFERROR(__xludf.DUMMYFUNCTION("""COMPUTED_VALUE"""),"- Вебинар с Никитой Бородулиным 11.02.2022 часть1
- Однодневный ретрит Израиль 14 мая 2022")</f>
        <v>- Вебинар с Никитой Бородулиным 11.02.2022 часть1
- Однодневный ретрит Израиль 14 мая 2022</v>
      </c>
      <c r="G316" s="1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5.5">
      <c r="A317" s="14" t="str">
        <f ca="1">IFERROR(__xludf.DUMMYFUNCTION("""COMPUTED_VALUE"""),"Мухайё Дониерова")</f>
        <v>Мухайё Дониерова</v>
      </c>
      <c r="B317" s="14" t="str">
        <f ca="1">IFERROR(__xludf.DUMMYFUNCTION("""COMPUTED_VALUE"""),"asibonu2013@yahoo.com")</f>
        <v>asibonu2013@yahoo.com</v>
      </c>
      <c r="C317" s="15" t="str">
        <f ca="1">IFERROR(__xludf.DUMMYFUNCTION("""COMPUTED_VALUE"""),"998974551860")</f>
        <v>998974551860</v>
      </c>
      <c r="D317" s="15" t="str">
        <f ca="1">IFERROR(__xludf.DUMMYFUNCTION("""COMPUTED_VALUE"""),"Uzbekistan")</f>
        <v>Uzbekistan</v>
      </c>
      <c r="E317" s="14"/>
      <c r="F31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317" s="1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5.5">
      <c r="A318" s="14" t="str">
        <f ca="1">IFERROR(__xludf.DUMMYFUNCTION("""COMPUTED_VALUE"""),"Анастасия Силаева")</f>
        <v>Анастасия Силаева</v>
      </c>
      <c r="B318" s="14" t="str">
        <f ca="1">IFERROR(__xludf.DUMMYFUNCTION("""COMPUTED_VALUE"""),"Asilaeva1984@gmail.com")</f>
        <v>Asilaeva1984@gmail.com</v>
      </c>
      <c r="C318" s="15" t="str">
        <f ca="1">IFERROR(__xludf.DUMMYFUNCTION("""COMPUTED_VALUE"""),"87024339064")</f>
        <v>87024339064</v>
      </c>
      <c r="D318" s="15"/>
      <c r="E318" s="14"/>
      <c r="F31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318" s="1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5.5">
      <c r="A319" s="14" t="str">
        <f ca="1">IFERROR(__xludf.DUMMYFUNCTION("""COMPUTED_VALUE"""),"Асия Асия")</f>
        <v>Асия Асия</v>
      </c>
      <c r="B319" s="14" t="str">
        <f ca="1">IFERROR(__xludf.DUMMYFUNCTION("""COMPUTED_VALUE"""),"asiy_1980@mail.ru")</f>
        <v>asiy_1980@mail.ru</v>
      </c>
      <c r="C319" s="15" t="str">
        <f ca="1">IFERROR(__xludf.DUMMYFUNCTION("""COMPUTED_VALUE"""),"87028063346")</f>
        <v>87028063346</v>
      </c>
      <c r="D319" s="15"/>
      <c r="E319" s="14"/>
      <c r="F31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319" s="1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>
      <c r="A320" s="14" t="str">
        <f ca="1">IFERROR(__xludf.DUMMYFUNCTION("""COMPUTED_VALUE"""),"askergaliyevag,  ")</f>
        <v xml:space="preserve">askergaliyevag,  </v>
      </c>
      <c r="B320" s="14" t="str">
        <f ca="1">IFERROR(__xludf.DUMMYFUNCTION("""COMPUTED_VALUE"""),"askergaliyevag@gmail.com")</f>
        <v>askergaliyevag@gmail.com</v>
      </c>
      <c r="C320" s="15"/>
      <c r="D320" s="15"/>
      <c r="E320" s="14"/>
      <c r="F320" s="8" t="str">
        <f ca="1">IFERROR(__xludf.DUMMYFUNCTION("""COMPUTED_VALUE"""),"- USA Челлендж Тишина")</f>
        <v>- USA Челлендж Тишина</v>
      </c>
      <c r="G320" s="1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>
      <c r="A321" s="14" t="str">
        <f ca="1">IFERROR(__xludf.DUMMYFUNCTION("""COMPUTED_VALUE"""),"Константин Борисов")</f>
        <v>Константин Борисов</v>
      </c>
      <c r="B321" s="14" t="str">
        <f ca="1">IFERROR(__xludf.DUMMYFUNCTION("""COMPUTED_VALUE"""),"askin91@bk.ru")</f>
        <v>askin91@bk.ru</v>
      </c>
      <c r="C321" s="15" t="str">
        <f ca="1">IFERROR(__xludf.DUMMYFUNCTION("""COMPUTED_VALUE"""),"79194067073")</f>
        <v>79194067073</v>
      </c>
      <c r="D321" s="15" t="str">
        <f ca="1">IFERROR(__xludf.DUMMYFUNCTION("""COMPUTED_VALUE"""),"Россия ")</f>
        <v xml:space="preserve">Россия </v>
      </c>
      <c r="E321" s="14"/>
      <c r="F321" s="8" t="str">
        <f ca="1">IFERROR(__xludf.DUMMYFUNCTION("""COMPUTED_VALUE"""),"- Тишина Челлендж (бесплатная часть)")</f>
        <v>- Тишина Челлендж (бесплатная часть)</v>
      </c>
      <c r="G321" s="1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5.5">
      <c r="A322" s="14" t="str">
        <f ca="1">IFERROR(__xludf.DUMMYFUNCTION("""COMPUTED_VALUE"""),"Андрей Соломкин")</f>
        <v>Андрей Соломкин</v>
      </c>
      <c r="B322" s="14" t="str">
        <f ca="1">IFERROR(__xludf.DUMMYFUNCTION("""COMPUTED_VALUE"""),"asolomko@bk.ru")</f>
        <v>asolomko@bk.ru</v>
      </c>
      <c r="C322" s="15" t="str">
        <f ca="1">IFERROR(__xludf.DUMMYFUNCTION("""COMPUTED_VALUE"""),"+79509796909")</f>
        <v>+79509796909</v>
      </c>
      <c r="D322" s="15" t="str">
        <f ca="1">IFERROR(__xludf.DUMMYFUNCTION("""COMPUTED_VALUE"""),"Россия")</f>
        <v>Россия</v>
      </c>
      <c r="E322" s="14"/>
      <c r="F322" s="8" t="str">
        <f ca="1">IFERROR(__xludf.DUMMYFUNCTION("""COMPUTED_VALUE"""),"- Запись на ""Беседу по душам""
- Интенсив 15-17 апреля Москва")</f>
        <v>- Запись на "Беседу по душам"
- Интенсив 15-17 апреля Москва</v>
      </c>
      <c r="G322" s="1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>
      <c r="A323" s="14" t="str">
        <f ca="1">IFERROR(__xludf.DUMMYFUNCTION("""COMPUTED_VALUE"""),"Андрей Санников")</f>
        <v>Андрей Санников</v>
      </c>
      <c r="B323" s="14" t="str">
        <f ca="1">IFERROR(__xludf.DUMMYFUNCTION("""COMPUTED_VALUE"""),"aspect-15@yandex.ru")</f>
        <v>aspect-15@yandex.ru</v>
      </c>
      <c r="C323" s="15"/>
      <c r="D323" s="15" t="str">
        <f ca="1">IFERROR(__xludf.DUMMYFUNCTION("""COMPUTED_VALUE"""),"Россия")</f>
        <v>Россия</v>
      </c>
      <c r="E323" s="14"/>
      <c r="F323" s="8" t="str">
        <f ca="1">IFERROR(__xludf.DUMMYFUNCTION("""COMPUTED_VALUE"""),"- Тишина Челлендж (бесплатная часть)")</f>
        <v>- Тишина Челлендж (бесплатная часть)</v>
      </c>
      <c r="G323" s="1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>
      <c r="A324" s="14" t="str">
        <f ca="1">IFERROR(__xludf.DUMMYFUNCTION("""COMPUTED_VALUE"""),"Анна Руд")</f>
        <v>Анна Руд</v>
      </c>
      <c r="B324" s="14" t="str">
        <f ca="1">IFERROR(__xludf.DUMMYFUNCTION("""COMPUTED_VALUE"""),"Assalanka@gmail.com")</f>
        <v>Assalanka@gmail.com</v>
      </c>
      <c r="C324" s="15" t="str">
        <f ca="1">IFERROR(__xludf.DUMMYFUNCTION("""COMPUTED_VALUE"""),"79031000501")</f>
        <v>79031000501</v>
      </c>
      <c r="D324" s="15" t="str">
        <f ca="1">IFERROR(__xludf.DUMMYFUNCTION("""COMPUTED_VALUE"""),"Россия")</f>
        <v>Россия</v>
      </c>
      <c r="E324" s="14"/>
      <c r="F324" s="8" t="str">
        <f ca="1">IFERROR(__xludf.DUMMYFUNCTION("""COMPUTED_VALUE"""),"- Тишина Челлендж (бесплатная часть)")</f>
        <v>- Тишина Челлендж (бесплатная часть)</v>
      </c>
      <c r="G324" s="1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>
      <c r="A325" s="14" t="str">
        <f ca="1">IFERROR(__xludf.DUMMYFUNCTION("""COMPUTED_VALUE"""),"Airo Fr")</f>
        <v>Airo Fr</v>
      </c>
      <c r="B325" s="14" t="str">
        <f ca="1">IFERROR(__xludf.DUMMYFUNCTION("""COMPUTED_VALUE"""),"assay1988@mail.ru")</f>
        <v>assay1988@mail.ru</v>
      </c>
      <c r="C325" s="15"/>
      <c r="D325" s="15" t="str">
        <f ca="1">IFERROR(__xludf.DUMMYFUNCTION("""COMPUTED_VALUE"""),"Швеция")</f>
        <v>Швеция</v>
      </c>
      <c r="E325" s="14"/>
      <c r="F325" s="8" t="str">
        <f ca="1">IFERROR(__xludf.DUMMYFUNCTION("""COMPUTED_VALUE"""),"- Тишина Челлендж (бесплатная часть)")</f>
        <v>- Тишина Челлендж (бесплатная часть)</v>
      </c>
      <c r="G325" s="1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5.5">
      <c r="A326" s="14" t="str">
        <f ca="1">IFERROR(__xludf.DUMMYFUNCTION("""COMPUTED_VALUE"""),"Асель А")</f>
        <v>Асель А</v>
      </c>
      <c r="B326" s="14" t="str">
        <f ca="1">IFERROR(__xludf.DUMMYFUNCTION("""COMPUTED_VALUE"""),"Assel.amankeldy@mail.ru")</f>
        <v>Assel.amankeldy@mail.ru</v>
      </c>
      <c r="C326" s="15" t="str">
        <f ca="1">IFERROR(__xludf.DUMMYFUNCTION("""COMPUTED_VALUE"""),"87081599579")</f>
        <v>87081599579</v>
      </c>
      <c r="D326" s="15" t="str">
        <f ca="1">IFERROR(__xludf.DUMMYFUNCTION("""COMPUTED_VALUE"""),"Чешская Республика")</f>
        <v>Чешская Республика</v>
      </c>
      <c r="E326" s="14"/>
      <c r="F32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326" s="1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5.5">
      <c r="A327" s="14" t="str">
        <f ca="1">IFERROR(__xludf.DUMMYFUNCTION("""COMPUTED_VALUE"""),"Асель Зернова")</f>
        <v>Асель Зернова</v>
      </c>
      <c r="B327" s="14" t="str">
        <f ca="1">IFERROR(__xludf.DUMMYFUNCTION("""COMPUTED_VALUE"""),"asselzernova1987@mail.ru")</f>
        <v>asselzernova1987@mail.ru</v>
      </c>
      <c r="C327" s="15" t="str">
        <f ca="1">IFERROR(__xludf.DUMMYFUNCTION("""COMPUTED_VALUE"""),"87771091979")</f>
        <v>87771091979</v>
      </c>
      <c r="D327" s="15"/>
      <c r="E327" s="14"/>
      <c r="F32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327" s="1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>
      <c r="A328" s="14" t="str">
        <f ca="1">IFERROR(__xludf.DUMMYFUNCTION("""COMPUTED_VALUE"""),"astepenko,  ")</f>
        <v xml:space="preserve">astepenko,  </v>
      </c>
      <c r="B328" s="14" t="str">
        <f ca="1">IFERROR(__xludf.DUMMYFUNCTION("""COMPUTED_VALUE"""),"astepenko@yandex.ru")</f>
        <v>astepenko@yandex.ru</v>
      </c>
      <c r="C328" s="15"/>
      <c r="D328" s="15"/>
      <c r="E328" s="14"/>
      <c r="F328" s="8" t="str">
        <f ca="1">IFERROR(__xludf.DUMMYFUNCTION("""COMPUTED_VALUE"""),"- Челлендж Тишины")</f>
        <v>- Челлендж Тишины</v>
      </c>
      <c r="G328" s="1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5.5">
      <c r="A329" s="14" t="str">
        <f ca="1">IFERROR(__xludf.DUMMYFUNCTION("""COMPUTED_VALUE"""),"Ася Саргужиева")</f>
        <v>Ася Саргужиева</v>
      </c>
      <c r="B329" s="14" t="str">
        <f ca="1">IFERROR(__xludf.DUMMYFUNCTION("""COMPUTED_VALUE"""),"Asya_094@mail.ru")</f>
        <v>Asya_094@mail.ru</v>
      </c>
      <c r="C329" s="15" t="str">
        <f ca="1">IFERROR(__xludf.DUMMYFUNCTION("""COMPUTED_VALUE"""),"87750696475")</f>
        <v>87750696475</v>
      </c>
      <c r="D329" s="15"/>
      <c r="E329" s="14"/>
      <c r="F32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329" s="1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>
      <c r="A330" s="14" t="str">
        <f ca="1">IFERROR(__xludf.DUMMYFUNCTION("""COMPUTED_VALUE"""),"Александра Шашкова")</f>
        <v>Александра Шашкова</v>
      </c>
      <c r="B330" s="14" t="str">
        <f ca="1">IFERROR(__xludf.DUMMYFUNCTION("""COMPUTED_VALUE"""),"asya.shashkova.03@bk.ru")</f>
        <v>asya.shashkova.03@bk.ru</v>
      </c>
      <c r="C330" s="15" t="str">
        <f ca="1">IFERROR(__xludf.DUMMYFUNCTION("""COMPUTED_VALUE"""),"+375291661552")</f>
        <v>+375291661552</v>
      </c>
      <c r="D330" s="15" t="str">
        <f ca="1">IFERROR(__xludf.DUMMYFUNCTION("""COMPUTED_VALUE"""),"Беларусь")</f>
        <v>Беларусь</v>
      </c>
      <c r="E330" s="14"/>
      <c r="F330" s="8" t="str">
        <f ca="1">IFERROR(__xludf.DUMMYFUNCTION("""COMPUTED_VALUE"""),"- Чайная встреча в Минске")</f>
        <v>- Чайная встреча в Минске</v>
      </c>
      <c r="G330" s="1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5.5">
      <c r="A331" s="14" t="str">
        <f ca="1">IFERROR(__xludf.DUMMYFUNCTION("""COMPUTED_VALUE"""),"Асылбек Мухамбеткереев")</f>
        <v>Асылбек Мухамбеткереев</v>
      </c>
      <c r="B331" s="14" t="str">
        <f ca="1">IFERROR(__xludf.DUMMYFUNCTION("""COMPUTED_VALUE"""),"asyl080@gmail.com")</f>
        <v>asyl080@gmail.com</v>
      </c>
      <c r="C331" s="15" t="str">
        <f ca="1">IFERROR(__xludf.DUMMYFUNCTION("""COMPUTED_VALUE"""),"+77472449449")</f>
        <v>+77472449449</v>
      </c>
      <c r="D331" s="15"/>
      <c r="E331" s="14"/>
      <c r="F33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331" s="1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>
      <c r="A332" s="14" t="str">
        <f ca="1">IFERROR(__xludf.DUMMYFUNCTION("""COMPUTED_VALUE"""),"Алёна Тихонова")</f>
        <v>Алёна Тихонова</v>
      </c>
      <c r="B332" s="14" t="str">
        <f ca="1">IFERROR(__xludf.DUMMYFUNCTION("""COMPUTED_VALUE"""),"at4950992@yandex.ru")</f>
        <v>at4950992@yandex.ru</v>
      </c>
      <c r="C332" s="15" t="str">
        <f ca="1">IFERROR(__xludf.DUMMYFUNCTION("""COMPUTED_VALUE"""),", +79089356501")</f>
        <v>, +79089356501</v>
      </c>
      <c r="D332" s="15"/>
      <c r="E332" s="14"/>
      <c r="F332" s="8" t="str">
        <f ca="1">IFERROR(__xludf.DUMMYFUNCTION("""COMPUTED_VALUE"""),"Мероприятий не обнаружено")</f>
        <v>Мероприятий не обнаружено</v>
      </c>
      <c r="G332" s="1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5.5">
      <c r="A333" s="14" t="str">
        <f ca="1">IFERROR(__xludf.DUMMYFUNCTION("""COMPUTED_VALUE"""),"Атоулло Назаров")</f>
        <v>Атоулло Назаров</v>
      </c>
      <c r="B333" s="14" t="str">
        <f ca="1">IFERROR(__xludf.DUMMYFUNCTION("""COMPUTED_VALUE"""),"atoxa97@gmail.com")</f>
        <v>atoxa97@gmail.com</v>
      </c>
      <c r="C333" s="15" t="str">
        <f ca="1">IFERROR(__xludf.DUMMYFUNCTION("""COMPUTED_VALUE"""),"+998900008777")</f>
        <v>+998900008777</v>
      </c>
      <c r="D333" s="15"/>
      <c r="E333" s="14"/>
      <c r="F33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333" s="1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>
      <c r="A334" s="14" t="str">
        <f ca="1">IFERROR(__xludf.DUMMYFUNCTION("""COMPUTED_VALUE"""),"Михаил Дунаев")</f>
        <v>Михаил Дунаев</v>
      </c>
      <c r="B334" s="14" t="str">
        <f ca="1">IFERROR(__xludf.DUMMYFUNCTION("""COMPUTED_VALUE"""),"atributvl72@gmail.com")</f>
        <v>atributvl72@gmail.com</v>
      </c>
      <c r="C334" s="15" t="str">
        <f ca="1">IFERROR(__xludf.DUMMYFUNCTION("""COMPUTED_VALUE"""),"+79147072708")</f>
        <v>+79147072708</v>
      </c>
      <c r="D334" s="15" t="str">
        <f ca="1">IFERROR(__xludf.DUMMYFUNCTION("""COMPUTED_VALUE"""),"Россия")</f>
        <v>Россия</v>
      </c>
      <c r="E334" s="14"/>
      <c r="F334" s="8" t="str">
        <f ca="1">IFERROR(__xludf.DUMMYFUNCTION("""COMPUTED_VALUE"""),"- Онлайн Интенсив Дальний Восток 25-27.03.2022 Оплата в рублях")</f>
        <v>- Онлайн Интенсив Дальний Восток 25-27.03.2022 Оплата в рублях</v>
      </c>
      <c r="G334" s="1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>
      <c r="A335" s="14" t="str">
        <f ca="1">IFERROR(__xludf.DUMMYFUNCTION("""COMPUTED_VALUE"""),"Август Якушин")</f>
        <v>Август Якушин</v>
      </c>
      <c r="B335" s="14" t="str">
        <f ca="1">IFERROR(__xludf.DUMMYFUNCTION("""COMPUTED_VALUE"""),"august_ru@mail.ru")</f>
        <v>august_ru@mail.ru</v>
      </c>
      <c r="C335" s="15" t="str">
        <f ca="1">IFERROR(__xludf.DUMMYFUNCTION("""COMPUTED_VALUE"""),"+79653499993")</f>
        <v>+79653499993</v>
      </c>
      <c r="D335" s="15" t="str">
        <f ca="1">IFERROR(__xludf.DUMMYFUNCTION("""COMPUTED_VALUE"""),"Россия")</f>
        <v>Россия</v>
      </c>
      <c r="E335" s="14"/>
      <c r="F335" s="8" t="str">
        <f ca="1">IFERROR(__xludf.DUMMYFUNCTION("""COMPUTED_VALUE"""),"-  встреча Космос внутри Сочи 5.3.2022")</f>
        <v>-  встреча Космос внутри Сочи 5.3.2022</v>
      </c>
      <c r="G335" s="1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>
      <c r="A336" s="14" t="str">
        <f ca="1">IFERROR(__xludf.DUMMYFUNCTION("""COMPUTED_VALUE"""),"aureus84,  ")</f>
        <v xml:space="preserve">aureus84,  </v>
      </c>
      <c r="B336" s="14" t="str">
        <f ca="1">IFERROR(__xludf.DUMMYFUNCTION("""COMPUTED_VALUE"""),"aureus84@mail.ru")</f>
        <v>aureus84@mail.ru</v>
      </c>
      <c r="C336" s="15"/>
      <c r="D336" s="15"/>
      <c r="E336" s="14"/>
      <c r="F336" s="8" t="str">
        <f ca="1">IFERROR(__xludf.DUMMYFUNCTION("""COMPUTED_VALUE"""),"- USA Челлендж Тишина")</f>
        <v>- USA Челлендж Тишина</v>
      </c>
      <c r="G336" s="1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>
      <c r="A337" s="14" t="str">
        <f ca="1">IFERROR(__xludf.DUMMYFUNCTION("""COMPUTED_VALUE"""),"Павел Когут")</f>
        <v>Павел Когут</v>
      </c>
      <c r="B337" s="14" t="str">
        <f ca="1">IFERROR(__xludf.DUMMYFUNCTION("""COMPUTED_VALUE"""),"ausydasd@sdasd.net")</f>
        <v>ausydasd@sdasd.net</v>
      </c>
      <c r="C337" s="15" t="str">
        <f ca="1">IFERROR(__xludf.DUMMYFUNCTION("""COMPUTED_VALUE"""),", 128398938")</f>
        <v>, 128398938</v>
      </c>
      <c r="D337" s="15" t="str">
        <f ca="1">IFERROR(__xludf.DUMMYFUNCTION("""COMPUTED_VALUE"""),"Россия")</f>
        <v>Россия</v>
      </c>
      <c r="E337" s="14"/>
      <c r="F337" s="8" t="str">
        <f ca="1">IFERROR(__xludf.DUMMYFUNCTION("""COMPUTED_VALUE"""),"Мероприятий не обнаружено")</f>
        <v>Мероприятий не обнаружено</v>
      </c>
      <c r="G337" s="1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>
      <c r="A338" s="14" t="str">
        <f ca="1">IFERROR(__xludf.DUMMYFUNCTION("""COMPUTED_VALUE"""),"Наталья Кооль")</f>
        <v>Наталья Кооль</v>
      </c>
      <c r="B338" s="14" t="str">
        <f ca="1">IFERROR(__xludf.DUMMYFUNCTION("""COMPUTED_VALUE"""),"avarija02@mail.ru")</f>
        <v>avarija02@mail.ru</v>
      </c>
      <c r="C338" s="15" t="str">
        <f ca="1">IFERROR(__xludf.DUMMYFUNCTION("""COMPUTED_VALUE"""),"87776380782")</f>
        <v>87776380782</v>
      </c>
      <c r="D338" s="15" t="str">
        <f ca="1">IFERROR(__xludf.DUMMYFUNCTION("""COMPUTED_VALUE"""),"Казахстан")</f>
        <v>Казахстан</v>
      </c>
      <c r="E338" s="14"/>
      <c r="F338" s="8" t="str">
        <f ca="1">IFERROR(__xludf.DUMMYFUNCTION("""COMPUTED_VALUE"""),"- Тишина Челлендж (бесплатная часть)")</f>
        <v>- Тишина Челлендж (бесплатная часть)</v>
      </c>
      <c r="G338" s="1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>
      <c r="A339" s="14" t="str">
        <f ca="1">IFERROR(__xludf.DUMMYFUNCTION("""COMPUTED_VALUE"""),"Айджемал Айджемал")</f>
        <v>Айджемал Айджемал</v>
      </c>
      <c r="B339" s="14" t="str">
        <f ca="1">IFERROR(__xludf.DUMMYFUNCTION("""COMPUTED_VALUE"""),"ayjml@mail.ru")</f>
        <v>ayjml@mail.ru</v>
      </c>
      <c r="C339" s="15" t="str">
        <f ca="1">IFERROR(__xludf.DUMMYFUNCTION("""COMPUTED_VALUE"""),"+375257619979")</f>
        <v>+375257619979</v>
      </c>
      <c r="D339" s="15" t="str">
        <f ca="1">IFERROR(__xludf.DUMMYFUNCTION("""COMPUTED_VALUE"""),"Беларусь")</f>
        <v>Беларусь</v>
      </c>
      <c r="E339" s="14"/>
      <c r="F339" s="8" t="str">
        <f ca="1">IFERROR(__xludf.DUMMYFUNCTION("""COMPUTED_VALUE"""),"- Чайная встреча в Минске")</f>
        <v>- Чайная встреча в Минске</v>
      </c>
      <c r="G339" s="1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>
      <c r="A340" s="14" t="str">
        <f ca="1">IFERROR(__xludf.DUMMYFUNCTION("""COMPUTED_VALUE"""),"Аюма Ахмедова")</f>
        <v>Аюма Ахмедова</v>
      </c>
      <c r="B340" s="14" t="str">
        <f ca="1">IFERROR(__xludf.DUMMYFUNCTION("""COMPUTED_VALUE"""),"ayumabegin@gmail.com")</f>
        <v>ayumabegin@gmail.com</v>
      </c>
      <c r="C340" s="15" t="str">
        <f ca="1">IFERROR(__xludf.DUMMYFUNCTION("""COMPUTED_VALUE"""),", +998935873111")</f>
        <v>, +998935873111</v>
      </c>
      <c r="D340" s="15"/>
      <c r="E340" s="14"/>
      <c r="F340" s="8" t="str">
        <f ca="1">IFERROR(__xludf.DUMMYFUNCTION("""COMPUTED_VALUE"""),"Мероприятий не обнаружено")</f>
        <v>Мероприятий не обнаружено</v>
      </c>
      <c r="G340" s="1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>
      <c r="A341" s="14" t="str">
        <f ca="1">IFERROR(__xludf.DUMMYFUNCTION("""COMPUTED_VALUE"""),"Айжамал Даулеткулова")</f>
        <v>Айжамал Даулеткулова</v>
      </c>
      <c r="B341" s="14" t="str">
        <f ca="1">IFERROR(__xludf.DUMMYFUNCTION("""COMPUTED_VALUE"""),"ayzhamaldauletkulova@gmail.com")</f>
        <v>ayzhamaldauletkulova@gmail.com</v>
      </c>
      <c r="C341" s="15"/>
      <c r="D341" s="15" t="str">
        <f ca="1">IFERROR(__xludf.DUMMYFUNCTION("""COMPUTED_VALUE"""),"Швеция")</f>
        <v>Швеция</v>
      </c>
      <c r="E341" s="14"/>
      <c r="F341" s="8" t="str">
        <f ca="1">IFERROR(__xludf.DUMMYFUNCTION("""COMPUTED_VALUE"""),"- Тишина Челлендж (бесплатная часть)")</f>
        <v>- Тишина Челлендж (бесплатная часть)</v>
      </c>
      <c r="G341" s="1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5.5">
      <c r="A342" s="14" t="str">
        <f ca="1">IFERROR(__xludf.DUMMYFUNCTION("""COMPUTED_VALUE"""),"Шахло Кахорова")</f>
        <v>Шахло Кахорова</v>
      </c>
      <c r="B342" s="14" t="str">
        <f ca="1">IFERROR(__xludf.DUMMYFUNCTION("""COMPUTED_VALUE"""),"azamatdjalilov28@gmail.com")</f>
        <v>azamatdjalilov28@gmail.com</v>
      </c>
      <c r="C342" s="15" t="str">
        <f ca="1">IFERROR(__xludf.DUMMYFUNCTION("""COMPUTED_VALUE"""),"+79675979699")</f>
        <v>+79675979699</v>
      </c>
      <c r="D342" s="15"/>
      <c r="E342" s="14"/>
      <c r="F34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342" s="1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>
      <c r="A343" s="14" t="str">
        <f ca="1">IFERROR(__xludf.DUMMYFUNCTION("""COMPUTED_VALUE"""),"Азиз Мадрахимов")</f>
        <v>Азиз Мадрахимов</v>
      </c>
      <c r="B343" s="14" t="str">
        <f ca="1">IFERROR(__xludf.DUMMYFUNCTION("""COMPUTED_VALUE"""),"Aziz.madrakhimov@gmail.com")</f>
        <v>Aziz.madrakhimov@gmail.com</v>
      </c>
      <c r="C343" s="15" t="str">
        <f ca="1">IFERROR(__xludf.DUMMYFUNCTION("""COMPUTED_VALUE"""),", +998970701000")</f>
        <v>, +998970701000</v>
      </c>
      <c r="D343" s="15"/>
      <c r="E343" s="14"/>
      <c r="F343" s="8" t="str">
        <f ca="1">IFERROR(__xludf.DUMMYFUNCTION("""COMPUTED_VALUE"""),"Мероприятий не обнаружено")</f>
        <v>Мероприятий не обнаружено</v>
      </c>
      <c r="G343" s="1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5.5">
      <c r="A344" s="14" t="str">
        <f ca="1">IFERROR(__xludf.DUMMYFUNCTION("""COMPUTED_VALUE"""),"Aziza Duysebaeva")</f>
        <v>Aziza Duysebaeva</v>
      </c>
      <c r="B344" s="14" t="str">
        <f ca="1">IFERROR(__xludf.DUMMYFUNCTION("""COMPUTED_VALUE"""),"azizaduysebaeva87@gmail.com")</f>
        <v>azizaduysebaeva87@gmail.com</v>
      </c>
      <c r="C344" s="15" t="str">
        <f ca="1">IFERROR(__xludf.DUMMYFUNCTION("""COMPUTED_VALUE"""),"998850646")</f>
        <v>998850646</v>
      </c>
      <c r="D344" s="15" t="str">
        <f ca="1">IFERROR(__xludf.DUMMYFUNCTION("""COMPUTED_VALUE"""),"Uzbekistan")</f>
        <v>Uzbekistan</v>
      </c>
      <c r="E344" s="14"/>
      <c r="F34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344" s="1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>
      <c r="A345" s="14" t="str">
        <f ca="1">IFERROR(__xludf.DUMMYFUNCTION("""COMPUTED_VALUE"""),"Aziza Farhodova")</f>
        <v>Aziza Farhodova</v>
      </c>
      <c r="B345" s="14" t="str">
        <f ca="1">IFERROR(__xludf.DUMMYFUNCTION("""COMPUTED_VALUE"""),"Azizafarhodova3232@mail.com")</f>
        <v>Azizafarhodova3232@mail.com</v>
      </c>
      <c r="C345" s="15" t="str">
        <f ca="1">IFERROR(__xludf.DUMMYFUNCTION("""COMPUTED_VALUE"""),", +998909365999")</f>
        <v>, +998909365999</v>
      </c>
      <c r="D345" s="15"/>
      <c r="E345" s="14"/>
      <c r="F345" s="8" t="str">
        <f ca="1">IFERROR(__xludf.DUMMYFUNCTION("""COMPUTED_VALUE"""),"Мероприятий не обнаружено")</f>
        <v>Мероприятий не обнаружено</v>
      </c>
      <c r="G345" s="1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5.5">
      <c r="A346" s="14" t="str">
        <f ca="1">IFERROR(__xludf.DUMMYFUNCTION("""COMPUTED_VALUE"""),"Азиза Лукманова")</f>
        <v>Азиза Лукманова</v>
      </c>
      <c r="B346" s="14" t="str">
        <f ca="1">IFERROR(__xludf.DUMMYFUNCTION("""COMPUTED_VALUE"""),"azizalucky999@gmail.com")</f>
        <v>azizalucky999@gmail.com</v>
      </c>
      <c r="C346" s="15" t="str">
        <f ca="1">IFERROR(__xludf.DUMMYFUNCTION("""COMPUTED_VALUE"""),"+998909993888")</f>
        <v>+998909993888</v>
      </c>
      <c r="D346" s="15"/>
      <c r="E346" s="14"/>
      <c r="F34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346" s="1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5.5">
      <c r="A347" s="14" t="str">
        <f ca="1">IFERROR(__xludf.DUMMYFUNCTION("""COMPUTED_VALUE"""),"Анора Иргашева")</f>
        <v>Анора Иргашева</v>
      </c>
      <c r="B347" s="14" t="str">
        <f ca="1">IFERROR(__xludf.DUMMYFUNCTION("""COMPUTED_VALUE"""),"azizamahmudova993@gmail.com")</f>
        <v>azizamahmudova993@gmail.com</v>
      </c>
      <c r="C347" s="15" t="str">
        <f ca="1">IFERROR(__xludf.DUMMYFUNCTION("""COMPUTED_VALUE"""),"903023325")</f>
        <v>903023325</v>
      </c>
      <c r="D347" s="15"/>
      <c r="E347" s="14"/>
      <c r="F34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347" s="1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>
      <c r="A348" s="14" t="str">
        <f ca="1">IFERROR(__xludf.DUMMYFUNCTION("""COMPUTED_VALUE"""),"Azizbek Yuldashev")</f>
        <v>Azizbek Yuldashev</v>
      </c>
      <c r="B348" s="14" t="str">
        <f ca="1">IFERROR(__xludf.DUMMYFUNCTION("""COMPUTED_VALUE"""),"Azizbek.yuldashev@bk.ru")</f>
        <v>Azizbek.yuldashev@bk.ru</v>
      </c>
      <c r="C348" s="15" t="str">
        <f ca="1">IFERROR(__xludf.DUMMYFUNCTION("""COMPUTED_VALUE"""),", 79030077773")</f>
        <v>, 79030077773</v>
      </c>
      <c r="D348" s="15"/>
      <c r="E348" s="14"/>
      <c r="F348" s="8" t="str">
        <f ca="1">IFERROR(__xludf.DUMMYFUNCTION("""COMPUTED_VALUE"""),"Мероприятий не обнаружено")</f>
        <v>Мероприятий не обнаружено</v>
      </c>
      <c r="G348" s="1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38.25">
      <c r="A349" s="14" t="str">
        <f ca="1">IFERROR(__xludf.DUMMYFUNCTION("""COMPUTED_VALUE"""),"Faleeva Karina")</f>
        <v>Faleeva Karina</v>
      </c>
      <c r="B349" s="14" t="str">
        <f ca="1">IFERROR(__xludf.DUMMYFUNCTION("""COMPUTED_VALUE"""),"b.minnie.g@bk.ru")</f>
        <v>b.minnie.g@bk.ru</v>
      </c>
      <c r="C349" s="15" t="str">
        <f ca="1">IFERROR(__xludf.DUMMYFUNCTION("""COMPUTED_VALUE"""),"+79118381258")</f>
        <v>+79118381258</v>
      </c>
      <c r="D349" s="15" t="str">
        <f ca="1">IFERROR(__xludf.DUMMYFUNCTION("""COMPUTED_VALUE"""),"Россия")</f>
        <v>Россия</v>
      </c>
      <c r="E349" s="14"/>
      <c r="F349" s="8" t="str">
        <f ca="1">IFERROR(__xludf.DUMMYFUNCTION("""COMPUTED_VALUE"""),"- Интенсив Дальний Восток 28-30.01.2022
- Онлайн Интенсив Дальний Восток 25-27.02.2022 (80€)
- Онлайн Интенсив Дальний Восток 25-27.02.2022 ")</f>
        <v xml:space="preserve">- Интенсив Дальний Восток 28-30.01.2022
- Онлайн Интенсив Дальний Восток 25-27.02.2022 (80€)
- Онлайн Интенсив Дальний Восток 25-27.02.2022 </v>
      </c>
      <c r="G349" s="1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>
      <c r="A350" s="14" t="str">
        <f ca="1">IFERROR(__xludf.DUMMYFUNCTION("""COMPUTED_VALUE"""),"Надя Бабанова")</f>
        <v>Надя Бабанова</v>
      </c>
      <c r="B350" s="14" t="str">
        <f ca="1">IFERROR(__xludf.DUMMYFUNCTION("""COMPUTED_VALUE"""),"babanova.73@inbox.ru")</f>
        <v>babanova.73@inbox.ru</v>
      </c>
      <c r="C350" s="15" t="str">
        <f ca="1">IFERROR(__xludf.DUMMYFUNCTION("""COMPUTED_VALUE"""),"+79213177003")</f>
        <v>+79213177003</v>
      </c>
      <c r="D350" s="15" t="str">
        <f ca="1">IFERROR(__xludf.DUMMYFUNCTION("""COMPUTED_VALUE"""),"Россия")</f>
        <v>Россия</v>
      </c>
      <c r="E350" s="14"/>
      <c r="F350" s="8" t="str">
        <f ca="1">IFERROR(__xludf.DUMMYFUNCTION("""COMPUTED_VALUE"""),"- Тишина Челлендж (бесплатная часть)")</f>
        <v>- Тишина Челлендж (бесплатная часть)</v>
      </c>
      <c r="G350" s="1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5.5">
      <c r="A351" s="14" t="str">
        <f ca="1">IFERROR(__xludf.DUMMYFUNCTION("""COMPUTED_VALUE"""),"Эльвира Багеева")</f>
        <v>Эльвира Багеева</v>
      </c>
      <c r="B351" s="14" t="str">
        <f ca="1">IFERROR(__xludf.DUMMYFUNCTION("""COMPUTED_VALUE"""),"bageeva@mail.ru")</f>
        <v>bageeva@mail.ru</v>
      </c>
      <c r="C351" s="15" t="str">
        <f ca="1">IFERROR(__xludf.DUMMYFUNCTION("""COMPUTED_VALUE"""),"79270892210")</f>
        <v>79270892210</v>
      </c>
      <c r="D351" s="15" t="str">
        <f ca="1">IFERROR(__xludf.DUMMYFUNCTION("""COMPUTED_VALUE"""),"Россия")</f>
        <v>Россия</v>
      </c>
      <c r="E351" s="14"/>
      <c r="F351" s="8" t="str">
        <f ca="1">IFERROR(__xludf.DUMMYFUNCTION("""COMPUTED_VALUE"""),"- Тишина Челлендж (бесплатная часть)
- Вводный вебинар 3.5.22 на Шаг к Пробуждению")</f>
        <v>- Тишина Челлендж (бесплатная часть)
- Вводный вебинар 3.5.22 на Шаг к Пробуждению</v>
      </c>
      <c r="G351" s="1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>
      <c r="A352" s="14" t="str">
        <f ca="1">IFERROR(__xludf.DUMMYFUNCTION("""COMPUTED_VALUE"""),"Наталья Багриева")</f>
        <v>Наталья Багриева</v>
      </c>
      <c r="B352" s="14" t="str">
        <f ca="1">IFERROR(__xludf.DUMMYFUNCTION("""COMPUTED_VALUE"""),"bagrieva73@gmail.com")</f>
        <v>bagrieva73@gmail.com</v>
      </c>
      <c r="C352" s="15" t="str">
        <f ca="1">IFERROR(__xludf.DUMMYFUNCTION("""COMPUTED_VALUE"""),"+79183391031")</f>
        <v>+79183391031</v>
      </c>
      <c r="D352" s="15" t="str">
        <f ca="1">IFERROR(__xludf.DUMMYFUNCTION("""COMPUTED_VALUE"""),"Россия")</f>
        <v>Россия</v>
      </c>
      <c r="E352" s="14"/>
      <c r="F352" s="8" t="str">
        <f ca="1">IFERROR(__xludf.DUMMYFUNCTION("""COMPUTED_VALUE"""),"- Вебинар все о ретрите 12.2.2022")</f>
        <v>- Вебинар все о ретрите 12.2.2022</v>
      </c>
      <c r="G352" s="1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>
      <c r="A353" s="14" t="str">
        <f ca="1">IFERROR(__xludf.DUMMYFUNCTION("""COMPUTED_VALUE"""),"Гульнур Асанбекова")</f>
        <v>Гульнур Асанбекова</v>
      </c>
      <c r="B353" s="14" t="str">
        <f ca="1">IFERROR(__xludf.DUMMYFUNCTION("""COMPUTED_VALUE"""),"Baibulova.g@mail.ru")</f>
        <v>Baibulova.g@mail.ru</v>
      </c>
      <c r="C353" s="15"/>
      <c r="D353" s="15" t="str">
        <f ca="1">IFERROR(__xludf.DUMMYFUNCTION("""COMPUTED_VALUE"""),"Швеция")</f>
        <v>Швеция</v>
      </c>
      <c r="E353" s="14"/>
      <c r="F353" s="8" t="str">
        <f ca="1">IFERROR(__xludf.DUMMYFUNCTION("""COMPUTED_VALUE"""),"- Тишина Челлендж (бесплатная часть)")</f>
        <v>- Тишина Челлендж (бесплатная часть)</v>
      </c>
      <c r="G353" s="1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5.5">
      <c r="A354" s="14" t="str">
        <f ca="1">IFERROR(__xludf.DUMMYFUNCTION("""COMPUTED_VALUE"""),"Байдулла Торекожа")</f>
        <v>Байдулла Торекожа</v>
      </c>
      <c r="B354" s="14" t="str">
        <f ca="1">IFERROR(__xludf.DUMMYFUNCTION("""COMPUTED_VALUE"""),"baidulla1661996@gmail.com")</f>
        <v>baidulla1661996@gmail.com</v>
      </c>
      <c r="C354" s="15" t="str">
        <f ca="1">IFERROR(__xludf.DUMMYFUNCTION("""COMPUTED_VALUE"""),"87087007498")</f>
        <v>87087007498</v>
      </c>
      <c r="D354" s="15"/>
      <c r="E354" s="14"/>
      <c r="F35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354" s="1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5.5">
      <c r="A355" s="14" t="str">
        <f ca="1">IFERROR(__xludf.DUMMYFUNCTION("""COMPUTED_VALUE"""),"Алия Балатуева")</f>
        <v>Алия Балатуева</v>
      </c>
      <c r="B355" s="14" t="str">
        <f ca="1">IFERROR(__xludf.DUMMYFUNCTION("""COMPUTED_VALUE"""),"Balatuevaa@gmail.com")</f>
        <v>Balatuevaa@gmail.com</v>
      </c>
      <c r="C355" s="15" t="str">
        <f ca="1">IFERROR(__xludf.DUMMYFUNCTION("""COMPUTED_VALUE"""),"87011814445")</f>
        <v>87011814445</v>
      </c>
      <c r="D355" s="15"/>
      <c r="E355" s="14"/>
      <c r="F35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355" s="1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>
      <c r="A356" s="14" t="str">
        <f ca="1">IFERROR(__xludf.DUMMYFUNCTION("""COMPUTED_VALUE"""),"Ирина Ашуркова")</f>
        <v>Ирина Ашуркова</v>
      </c>
      <c r="B356" s="14" t="str">
        <f ca="1">IFERROR(__xludf.DUMMYFUNCTION("""COMPUTED_VALUE"""),"balirinka306@gmail.com")</f>
        <v>balirinka306@gmail.com</v>
      </c>
      <c r="C356" s="15"/>
      <c r="D356" s="15" t="str">
        <f ca="1">IFERROR(__xludf.DUMMYFUNCTION("""COMPUTED_VALUE"""),"Россия")</f>
        <v>Россия</v>
      </c>
      <c r="E356" s="14"/>
      <c r="F356" s="8" t="str">
        <f ca="1">IFERROR(__xludf.DUMMYFUNCTION("""COMPUTED_VALUE"""),"- Тишина Челлендж (бесплатная часть)")</f>
        <v>- Тишина Челлендж (бесплатная часть)</v>
      </c>
      <c r="G356" s="1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>
      <c r="A357" s="14" t="str">
        <f ca="1">IFERROR(__xludf.DUMMYFUNCTION("""COMPUTED_VALUE"""),"Rasuolė Balsevičiūtė")</f>
        <v>Rasuolė Balsevičiūtė</v>
      </c>
      <c r="B357" s="14" t="str">
        <f ca="1">IFERROR(__xludf.DUMMYFUNCTION("""COMPUTED_VALUE"""),"balseviciute.rasuole@gmail.com")</f>
        <v>balseviciute.rasuole@gmail.com</v>
      </c>
      <c r="C357" s="15" t="str">
        <f ca="1">IFERROR(__xludf.DUMMYFUNCTION("""COMPUTED_VALUE"""),"862676155")</f>
        <v>862676155</v>
      </c>
      <c r="D357" s="15" t="str">
        <f ca="1">IFERROR(__xludf.DUMMYFUNCTION("""COMPUTED_VALUE"""),"Литва")</f>
        <v>Литва</v>
      </c>
      <c r="E357" s="14"/>
      <c r="F357" s="8" t="str">
        <f ca="1">IFERROR(__xludf.DUMMYFUNCTION("""COMPUTED_VALUE"""),"- АнтиЭго 2.0 29.3 - 12.04.2022 (поток 2) 70€")</f>
        <v>- АнтиЭго 2.0 29.3 - 12.04.2022 (поток 2) 70€</v>
      </c>
      <c r="G357" s="1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>
      <c r="A358" s="14" t="str">
        <f ca="1">IFERROR(__xludf.DUMMYFUNCTION("""COMPUTED_VALUE"""),"Оксана Балшикбаева")</f>
        <v>Оксана Балшикбаева</v>
      </c>
      <c r="B358" s="14" t="str">
        <f ca="1">IFERROR(__xludf.DUMMYFUNCTION("""COMPUTED_VALUE"""),"Balshikbaeva@yandex.ru")</f>
        <v>Balshikbaeva@yandex.ru</v>
      </c>
      <c r="C358" s="15" t="str">
        <f ca="1">IFERROR(__xludf.DUMMYFUNCTION("""COMPUTED_VALUE"""),"79220319160")</f>
        <v>79220319160</v>
      </c>
      <c r="D358" s="15" t="str">
        <f ca="1">IFERROR(__xludf.DUMMYFUNCTION("""COMPUTED_VALUE"""),"Россия")</f>
        <v>Россия</v>
      </c>
      <c r="E358" s="14"/>
      <c r="F358" s="8" t="str">
        <f ca="1">IFERROR(__xludf.DUMMYFUNCTION("""COMPUTED_VALUE"""),"- Сатсанг и чайная встреча Екатеринбург 17.2 2022")</f>
        <v>- Сатсанг и чайная встреча Екатеринбург 17.2 2022</v>
      </c>
      <c r="G358" s="1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>
      <c r="A359" s="14" t="str">
        <f ca="1">IFERROR(__xludf.DUMMYFUNCTION("""COMPUTED_VALUE"""),"Kara Desu")</f>
        <v>Kara Desu</v>
      </c>
      <c r="B359" s="14" t="str">
        <f ca="1">IFERROR(__xludf.DUMMYFUNCTION("""COMPUTED_VALUE"""),"Balybinavaleriy@gmail.com")</f>
        <v>Balybinavaleriy@gmail.com</v>
      </c>
      <c r="C359" s="15"/>
      <c r="D359" s="15" t="str">
        <f ca="1">IFERROR(__xludf.DUMMYFUNCTION("""COMPUTED_VALUE"""),"Россия")</f>
        <v>Россия</v>
      </c>
      <c r="E359" s="14"/>
      <c r="F359" s="8" t="str">
        <f ca="1">IFERROR(__xludf.DUMMYFUNCTION("""COMPUTED_VALUE"""),"- Базовая бесплатная часть")</f>
        <v>- Базовая бесплатная часть</v>
      </c>
      <c r="G359" s="1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5.5">
      <c r="A360" s="14" t="str">
        <f ca="1">IFERROR(__xludf.DUMMYFUNCTION("""COMPUTED_VALUE"""),"Балжан Аяпова")</f>
        <v>Балжан Аяпова</v>
      </c>
      <c r="B360" s="14" t="str">
        <f ca="1">IFERROR(__xludf.DUMMYFUNCTION("""COMPUTED_VALUE"""),"Balzhanayapova85@mail.ru")</f>
        <v>Balzhanayapova85@mail.ru</v>
      </c>
      <c r="C360" s="15" t="str">
        <f ca="1">IFERROR(__xludf.DUMMYFUNCTION("""COMPUTED_VALUE"""),"8701909885")</f>
        <v>8701909885</v>
      </c>
      <c r="D360" s="15"/>
      <c r="E360" s="14"/>
      <c r="F36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360" s="1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>
      <c r="A361" s="14" t="str">
        <f ca="1">IFERROR(__xludf.DUMMYFUNCTION("""COMPUTED_VALUE"""),"Татьяна Белкина")</f>
        <v>Татьяна Белкина</v>
      </c>
      <c r="B361" s="14" t="str">
        <f ca="1">IFERROR(__xludf.DUMMYFUNCTION("""COMPUTED_VALUE"""),"bandrianov@yandex.ru")</f>
        <v>bandrianov@yandex.ru</v>
      </c>
      <c r="C361" s="15"/>
      <c r="D361" s="15" t="str">
        <f ca="1">IFERROR(__xludf.DUMMYFUNCTION("""COMPUTED_VALUE"""),"Россия")</f>
        <v>Россия</v>
      </c>
      <c r="E361" s="14"/>
      <c r="F361" s="8" t="str">
        <f ca="1">IFERROR(__xludf.DUMMYFUNCTION("""COMPUTED_VALUE"""),"- Тишина Челлендж (бесплатная часть)")</f>
        <v>- Тишина Челлендж (бесплатная часть)</v>
      </c>
      <c r="G361" s="1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>
      <c r="A362" s="14" t="str">
        <f ca="1">IFERROR(__xludf.DUMMYFUNCTION("""COMPUTED_VALUE"""),"Marina Barabanova")</f>
        <v>Marina Barabanova</v>
      </c>
      <c r="B362" s="14" t="str">
        <f ca="1">IFERROR(__xludf.DUMMYFUNCTION("""COMPUTED_VALUE"""),"barabanovamarina@mail.ru")</f>
        <v>barabanovamarina@mail.ru</v>
      </c>
      <c r="C362" s="15" t="str">
        <f ca="1">IFERROR(__xludf.DUMMYFUNCTION("""COMPUTED_VALUE"""),"+37060464667")</f>
        <v>+37060464667</v>
      </c>
      <c r="D362" s="15" t="str">
        <f ca="1">IFERROR(__xludf.DUMMYFUNCTION("""COMPUTED_VALUE"""),"Литва")</f>
        <v>Литва</v>
      </c>
      <c r="E362" s="14"/>
      <c r="F362" s="8" t="str">
        <f ca="1">IFERROR(__xludf.DUMMYFUNCTION("""COMPUTED_VALUE"""),"- Тишина Челлендж (бесплатная часть)")</f>
        <v>- Тишина Челлендж (бесплатная часть)</v>
      </c>
      <c r="G362" s="1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>
      <c r="A363" s="14" t="str">
        <f ca="1">IFERROR(__xludf.DUMMYFUNCTION("""COMPUTED_VALUE"""),"Олеся Турик")</f>
        <v>Олеся Турик</v>
      </c>
      <c r="B363" s="14" t="str">
        <f ca="1">IFERROR(__xludf.DUMMYFUNCTION("""COMPUTED_VALUE"""),"barabashom@gmail.com")</f>
        <v>barabashom@gmail.com</v>
      </c>
      <c r="C363" s="15" t="str">
        <f ca="1">IFERROR(__xludf.DUMMYFUNCTION("""COMPUTED_VALUE"""),"+48664286139")</f>
        <v>+48664286139</v>
      </c>
      <c r="D363" s="15" t="str">
        <f ca="1">IFERROR(__xludf.DUMMYFUNCTION("""COMPUTED_VALUE"""),"Польша")</f>
        <v>Польша</v>
      </c>
      <c r="E363" s="14"/>
      <c r="F363" s="8" t="str">
        <f ca="1">IFERROR(__xludf.DUMMYFUNCTION("""COMPUTED_VALUE"""),"- Тишина Челлендж (бесплатная часть)")</f>
        <v>- Тишина Челлендж (бесплатная часть)</v>
      </c>
      <c r="G363" s="1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5.5">
      <c r="A364" s="14" t="str">
        <f ca="1">IFERROR(__xludf.DUMMYFUNCTION("""COMPUTED_VALUE"""),"Наталья Китасова")</f>
        <v>Наталья Китасова</v>
      </c>
      <c r="B364" s="14" t="str">
        <f ca="1">IFERROR(__xludf.DUMMYFUNCTION("""COMPUTED_VALUE"""),"baraeva.natalya@mail.ru")</f>
        <v>baraeva.natalya@mail.ru</v>
      </c>
      <c r="C364" s="15" t="str">
        <f ca="1">IFERROR(__xludf.DUMMYFUNCTION("""COMPUTED_VALUE"""),"79265456107")</f>
        <v>79265456107</v>
      </c>
      <c r="D364" s="15" t="str">
        <f ca="1">IFERROR(__xludf.DUMMYFUNCTION("""COMPUTED_VALUE"""),"Россия")</f>
        <v>Россия</v>
      </c>
      <c r="E364" s="14"/>
      <c r="F364" s="8" t="str">
        <f ca="1">IFERROR(__xludf.DUMMYFUNCTION("""COMPUTED_VALUE"""),"- Однодневный ретрит Россия 14 мая 2022
- Однодневный ретрит Европа 14 мая 2022 ")</f>
        <v xml:space="preserve">- Однодневный ретрит Россия 14 мая 2022
- Однодневный ретрит Европа 14 мая 2022 </v>
      </c>
      <c r="G364" s="1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>
      <c r="A365" s="14" t="str">
        <f ca="1">IFERROR(__xludf.DUMMYFUNCTION("""COMPUTED_VALUE"""),"Ирина Баранец")</f>
        <v>Ирина Баранец</v>
      </c>
      <c r="B365" s="14" t="str">
        <f ca="1">IFERROR(__xludf.DUMMYFUNCTION("""COMPUTED_VALUE"""),"baranetsira@yandex.ru")</f>
        <v>baranetsira@yandex.ru</v>
      </c>
      <c r="C365" s="15" t="str">
        <f ca="1">IFERROR(__xludf.DUMMYFUNCTION("""COMPUTED_VALUE"""),"+380721553547")</f>
        <v>+380721553547</v>
      </c>
      <c r="D365" s="15"/>
      <c r="E365" s="14"/>
      <c r="F365" s="8" t="str">
        <f ca="1">IFERROR(__xludf.DUMMYFUNCTION("""COMPUTED_VALUE"""),"- Тишина Челлендж (бесплатная часть)")</f>
        <v>- Тишина Челлендж (бесплатная часть)</v>
      </c>
      <c r="G365" s="1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>
      <c r="A366" s="14" t="str">
        <f ca="1">IFERROR(__xludf.DUMMYFUNCTION("""COMPUTED_VALUE"""),"Bárbara Costa")</f>
        <v>Bárbara Costa</v>
      </c>
      <c r="B366" s="14" t="str">
        <f ca="1">IFERROR(__xludf.DUMMYFUNCTION("""COMPUTED_VALUE"""),"barbarafiuza68@gmail.com")</f>
        <v>barbarafiuza68@gmail.com</v>
      </c>
      <c r="C366" s="15"/>
      <c r="D366" s="15"/>
      <c r="E366" s="14"/>
      <c r="F366" s="8" t="str">
        <f ca="1">IFERROR(__xludf.DUMMYFUNCTION("""COMPUTED_VALUE"""),"- What hides behind anxiety? The quantum leap [EU]")</f>
        <v>- What hides behind anxiety? The quantum leap [EU]</v>
      </c>
      <c r="G366" s="1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>
      <c r="A367" s="14" t="str">
        <f ca="1">IFERROR(__xludf.DUMMYFUNCTION("""COMPUTED_VALUE"""),"Кира Баринова")</f>
        <v>Кира Баринова</v>
      </c>
      <c r="B367" s="14" t="str">
        <f ca="1">IFERROR(__xludf.DUMMYFUNCTION("""COMPUTED_VALUE"""),"barikira3@yandex.ru")</f>
        <v>barikira3@yandex.ru</v>
      </c>
      <c r="C367" s="15" t="str">
        <f ca="1">IFERROR(__xludf.DUMMYFUNCTION("""COMPUTED_VALUE"""),"+79780563193")</f>
        <v>+79780563193</v>
      </c>
      <c r="D367" s="15" t="str">
        <f ca="1">IFERROR(__xludf.DUMMYFUNCTION("""COMPUTED_VALUE"""),"Россия")</f>
        <v>Россия</v>
      </c>
      <c r="E367" s="14"/>
      <c r="F367" s="8" t="str">
        <f ca="1">IFERROR(__xludf.DUMMYFUNCTION("""COMPUTED_VALUE"""),"- Тишина Челлендж (бесплатная часть)")</f>
        <v>- Тишина Челлендж (бесплатная часть)</v>
      </c>
      <c r="G367" s="1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5.5">
      <c r="A368" s="14" t="str">
        <f ca="1">IFERROR(__xludf.DUMMYFUNCTION("""COMPUTED_VALUE"""),"Boss Uzb")</f>
        <v>Boss Uzb</v>
      </c>
      <c r="B368" s="14" t="str">
        <f ca="1">IFERROR(__xludf.DUMMYFUNCTION("""COMPUTED_VALUE"""),"basikclash@gmail.com")</f>
        <v>basikclash@gmail.com</v>
      </c>
      <c r="C368" s="15" t="str">
        <f ca="1">IFERROR(__xludf.DUMMYFUNCTION("""COMPUTED_VALUE"""),"+998909753993")</f>
        <v>+998909753993</v>
      </c>
      <c r="D368" s="15"/>
      <c r="E368" s="14"/>
      <c r="F36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368" s="1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>
      <c r="A369" s="14" t="str">
        <f ca="1">IFERROR(__xludf.DUMMYFUNCTION("""COMPUTED_VALUE"""),"bass.july,  ")</f>
        <v xml:space="preserve">bass.july,  </v>
      </c>
      <c r="B369" s="14" t="str">
        <f ca="1">IFERROR(__xludf.DUMMYFUNCTION("""COMPUTED_VALUE"""),"bass.july@gmail.com")</f>
        <v>bass.july@gmail.com</v>
      </c>
      <c r="C369" s="15"/>
      <c r="D369" s="15"/>
      <c r="E369" s="14"/>
      <c r="F369" s="8" t="str">
        <f ca="1">IFERROR(__xludf.DUMMYFUNCTION("""COMPUTED_VALUE"""),"- USA Челлендж Тишина")</f>
        <v>- USA Челлендж Тишина</v>
      </c>
      <c r="G369" s="1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>
      <c r="A370" s="14" t="str">
        <f ca="1">IFERROR(__xludf.DUMMYFUNCTION("""COMPUTED_VALUE"""),"bassilok,  ")</f>
        <v xml:space="preserve">bassilok,  </v>
      </c>
      <c r="B370" s="14" t="str">
        <f ca="1">IFERROR(__xludf.DUMMYFUNCTION("""COMPUTED_VALUE"""),"bassilok@gmail.com")</f>
        <v>bassilok@gmail.com</v>
      </c>
      <c r="C370" s="15"/>
      <c r="D370" s="15"/>
      <c r="E370" s="14"/>
      <c r="F370" s="8" t="str">
        <f ca="1">IFERROR(__xludf.DUMMYFUNCTION("""COMPUTED_VALUE"""),"- USA Челлендж Тишина")</f>
        <v>- USA Челлендж Тишина</v>
      </c>
      <c r="G370" s="1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>
      <c r="A371" s="14" t="str">
        <f ca="1">IFERROR(__xludf.DUMMYFUNCTION("""COMPUTED_VALUE"""),"Андрей Батарин")</f>
        <v>Андрей Батарин</v>
      </c>
      <c r="B371" s="14" t="str">
        <f ca="1">IFERROR(__xludf.DUMMYFUNCTION("""COMPUTED_VALUE"""),"batarin.a@yandex.ru")</f>
        <v>batarin.a@yandex.ru</v>
      </c>
      <c r="C371" s="15" t="str">
        <f ca="1">IFERROR(__xludf.DUMMYFUNCTION("""COMPUTED_VALUE"""),"+79161469274")</f>
        <v>+79161469274</v>
      </c>
      <c r="D371" s="15" t="str">
        <f ca="1">IFERROR(__xludf.DUMMYFUNCTION("""COMPUTED_VALUE"""),"Россия")</f>
        <v>Россия</v>
      </c>
      <c r="E371" s="14"/>
      <c r="F371" s="8" t="str">
        <f ca="1">IFERROR(__xludf.DUMMYFUNCTION("""COMPUTED_VALUE"""),"- Однодневный онлайн ретрит Россия 14 мая 2022")</f>
        <v>- Однодневный онлайн ретрит Россия 14 мая 2022</v>
      </c>
      <c r="G371" s="1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>
      <c r="A372" s="14" t="str">
        <f ca="1">IFERROR(__xludf.DUMMYFUNCTION("""COMPUTED_VALUE"""),"Синельщикова Ирина")</f>
        <v>Синельщикова Ирина</v>
      </c>
      <c r="B372" s="14" t="str">
        <f ca="1">IFERROR(__xludf.DUMMYFUNCTION("""COMPUTED_VALUE"""),"batirochka@mail.com")</f>
        <v>batirochka@mail.com</v>
      </c>
      <c r="C372" s="15" t="str">
        <f ca="1">IFERROR(__xludf.DUMMYFUNCTION("""COMPUTED_VALUE"""),", 79168896315")</f>
        <v>, 79168896315</v>
      </c>
      <c r="D372" s="15" t="str">
        <f ca="1">IFERROR(__xludf.DUMMYFUNCTION("""COMPUTED_VALUE"""),"Россия")</f>
        <v>Россия</v>
      </c>
      <c r="E372" s="14"/>
      <c r="F372" s="8" t="str">
        <f ca="1">IFERROR(__xludf.DUMMYFUNCTION("""COMPUTED_VALUE"""),"Мероприятий не обнаружено")</f>
        <v>Мероприятий не обнаружено</v>
      </c>
      <c r="G372" s="1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>
      <c r="A373" s="14" t="str">
        <f ca="1">IFERROR(__xludf.DUMMYFUNCTION("""COMPUTED_VALUE"""),"Синельщикова Ирина")</f>
        <v>Синельщикова Ирина</v>
      </c>
      <c r="B373" s="14" t="str">
        <f ca="1">IFERROR(__xludf.DUMMYFUNCTION("""COMPUTED_VALUE"""),"batirochka2@gmail.com")</f>
        <v>batirochka2@gmail.com</v>
      </c>
      <c r="C373" s="15" t="str">
        <f ca="1">IFERROR(__xludf.DUMMYFUNCTION("""COMPUTED_VALUE"""),"79168896315")</f>
        <v>79168896315</v>
      </c>
      <c r="D373" s="15" t="str">
        <f ca="1">IFERROR(__xludf.DUMMYFUNCTION("""COMPUTED_VALUE"""),"Россия")</f>
        <v>Россия</v>
      </c>
      <c r="E373" s="14"/>
      <c r="F373" s="8" t="str">
        <f ca="1">IFERROR(__xludf.DUMMYFUNCTION("""COMPUTED_VALUE"""),"- Интенсив 15-17 апреля Москва")</f>
        <v>- Интенсив 15-17 апреля Москва</v>
      </c>
      <c r="G373" s="1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5.5">
      <c r="A374" s="14" t="str">
        <f ca="1">IFERROR(__xludf.DUMMYFUNCTION("""COMPUTED_VALUE"""),"Фатима Батькаева")</f>
        <v>Фатима Батькаева</v>
      </c>
      <c r="B374" s="14" t="str">
        <f ca="1">IFERROR(__xludf.DUMMYFUNCTION("""COMPUTED_VALUE"""),"batkaeva7192@gmail.com")</f>
        <v>batkaeva7192@gmail.com</v>
      </c>
      <c r="C374" s="15" t="str">
        <f ca="1">IFERROR(__xludf.DUMMYFUNCTION("""COMPUTED_VALUE"""),"+998933784460")</f>
        <v>+998933784460</v>
      </c>
      <c r="D374" s="15"/>
      <c r="E374" s="14"/>
      <c r="F37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374" s="1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5.5">
      <c r="A375" s="14" t="str">
        <f ca="1">IFERROR(__xludf.DUMMYFUNCTION("""COMPUTED_VALUE"""),"Умида Бабаназарова")</f>
        <v>Умида Бабаназарова</v>
      </c>
      <c r="B375" s="14" t="str">
        <f ca="1">IFERROR(__xludf.DUMMYFUNCTION("""COMPUTED_VALUE"""),"baumida18@gmail.com")</f>
        <v>baumida18@gmail.com</v>
      </c>
      <c r="C375" s="15" t="str">
        <f ca="1">IFERROR(__xludf.DUMMYFUNCTION("""COMPUTED_VALUE"""),"+998901688488")</f>
        <v>+998901688488</v>
      </c>
      <c r="D375" s="15" t="str">
        <f ca="1">IFERROR(__xludf.DUMMYFUNCTION("""COMPUTED_VALUE"""),"Узбекистан")</f>
        <v>Узбекистан</v>
      </c>
      <c r="E375" s="14"/>
      <c r="F37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375" s="1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>
      <c r="A376" s="14" t="str">
        <f ca="1">IFERROR(__xludf.DUMMYFUNCTION("""COMPUTED_VALUE"""),"Баян Егемберди")</f>
        <v>Баян Егемберди</v>
      </c>
      <c r="B376" s="14" t="str">
        <f ca="1">IFERROR(__xludf.DUMMYFUNCTION("""COMPUTED_VALUE"""),"bayanahmet00@mail.ru")</f>
        <v>bayanahmet00@mail.ru</v>
      </c>
      <c r="C376" s="15"/>
      <c r="D376" s="15" t="str">
        <f ca="1">IFERROR(__xludf.DUMMYFUNCTION("""COMPUTED_VALUE"""),"Швеция")</f>
        <v>Швеция</v>
      </c>
      <c r="E376" s="14"/>
      <c r="F376" s="8" t="str">
        <f ca="1">IFERROR(__xludf.DUMMYFUNCTION("""COMPUTED_VALUE"""),"- Тишина Челлендж (бесплатная часть)")</f>
        <v>- Тишина Челлендж (бесплатная часть)</v>
      </c>
      <c r="G376" s="1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>
      <c r="A377" s="14" t="str">
        <f ca="1">IFERROR(__xludf.DUMMYFUNCTION("""COMPUTED_VALUE"""),"Анна Баяндина")</f>
        <v>Анна Баяндина</v>
      </c>
      <c r="B377" s="14" t="str">
        <f ca="1">IFERROR(__xludf.DUMMYFUNCTION("""COMPUTED_VALUE"""),"bayandina1210@gmail.com")</f>
        <v>bayandina1210@gmail.com</v>
      </c>
      <c r="C377" s="15" t="str">
        <f ca="1">IFERROR(__xludf.DUMMYFUNCTION("""COMPUTED_VALUE"""),"+79826708362")</f>
        <v>+79826708362</v>
      </c>
      <c r="D377" s="15" t="str">
        <f ca="1">IFERROR(__xludf.DUMMYFUNCTION("""COMPUTED_VALUE"""),"США")</f>
        <v>США</v>
      </c>
      <c r="E377" s="14"/>
      <c r="F377" s="8" t="str">
        <f ca="1">IFERROR(__xludf.DUMMYFUNCTION("""COMPUTED_VALUE"""),"-  встреча Космос внутри Сочи 5.3.2022")</f>
        <v>-  встреча Космос внутри Сочи 5.3.2022</v>
      </c>
      <c r="G377" s="1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5.5">
      <c r="A378" s="14" t="str">
        <f ca="1">IFERROR(__xludf.DUMMYFUNCTION("""COMPUTED_VALUE"""),"Эльмира Байбосынова")</f>
        <v>Эльмира Байбосынова</v>
      </c>
      <c r="B378" s="14" t="str">
        <f ca="1">IFERROR(__xludf.DUMMYFUNCTION("""COMPUTED_VALUE"""),"baybosynova.elmira@mail.ru")</f>
        <v>baybosynova.elmira@mail.ru</v>
      </c>
      <c r="C378" s="15" t="str">
        <f ca="1">IFERROR(__xludf.DUMMYFUNCTION("""COMPUTED_VALUE"""),"87717452516")</f>
        <v>87717452516</v>
      </c>
      <c r="D378" s="15"/>
      <c r="E378" s="14"/>
      <c r="F37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378" s="1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>
      <c r="A379" s="14" t="str">
        <f ca="1">IFERROR(__xludf.DUMMYFUNCTION("""COMPUTED_VALUE"""),"Салтанат Бажаканова")</f>
        <v>Салтанат Бажаканова</v>
      </c>
      <c r="B379" s="14" t="str">
        <f ca="1">IFERROR(__xludf.DUMMYFUNCTION("""COMPUTED_VALUE"""),"Bazhakanova.s@icloud.com")</f>
        <v>Bazhakanova.s@icloud.com</v>
      </c>
      <c r="C379" s="15"/>
      <c r="D379" s="15" t="str">
        <f ca="1">IFERROR(__xludf.DUMMYFUNCTION("""COMPUTED_VALUE"""),"Швеция")</f>
        <v>Швеция</v>
      </c>
      <c r="E379" s="14"/>
      <c r="F379" s="8" t="str">
        <f ca="1">IFERROR(__xludf.DUMMYFUNCTION("""COMPUTED_VALUE"""),"- Тишина Челлендж (бесплатная часть)")</f>
        <v>- Тишина Челлендж (бесплатная часть)</v>
      </c>
      <c r="G379" s="1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5.5">
      <c r="A380" s="14" t="str">
        <f ca="1">IFERROR(__xludf.DUMMYFUNCTION("""COMPUTED_VALUE"""),"Beāte Sila")</f>
        <v>Beāte Sila</v>
      </c>
      <c r="B380" s="14" t="str">
        <f ca="1">IFERROR(__xludf.DUMMYFUNCTION("""COMPUTED_VALUE"""),"beate_z@inbox.lv")</f>
        <v>beate_z@inbox.lv</v>
      </c>
      <c r="C380" s="15" t="str">
        <f ca="1">IFERROR(__xludf.DUMMYFUNCTION("""COMPUTED_VALUE"""),"26526081")</f>
        <v>26526081</v>
      </c>
      <c r="D380" s="15" t="str">
        <f ca="1">IFERROR(__xludf.DUMMYFUNCTION("""COMPUTED_VALUE"""),"Латвия")</f>
        <v>Латвия</v>
      </c>
      <c r="E380" s="14"/>
      <c r="F380" s="8" t="str">
        <f ca="1">IFERROR(__xludf.DUMMYFUNCTION("""COMPUTED_VALUE"""),"- Шаг к Пробуждению №5 на латышском Латвия LV 11-18 декабря 2021 года ")</f>
        <v xml:space="preserve">- Шаг к Пробуждению №5 на латышском Латвия LV 11-18 декабря 2021 года </v>
      </c>
      <c r="G380" s="1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29.5">
      <c r="A381" s="14" t="str">
        <f ca="1">IFERROR(__xludf.DUMMYFUNCTION("""COMPUTED_VALUE"""),"Ардак Бейсенова")</f>
        <v>Ардак Бейсенова</v>
      </c>
      <c r="B381" s="14" t="str">
        <f ca="1">IFERROR(__xludf.DUMMYFUNCTION("""COMPUTED_VALUE"""),"beisenovaardak@gmail.com")</f>
        <v>beisenovaardak@gmail.com</v>
      </c>
      <c r="C381" s="15" t="str">
        <f ca="1">IFERROR(__xludf.DUMMYFUNCTION("""COMPUTED_VALUE"""),"+77006961384")</f>
        <v>+77006961384</v>
      </c>
      <c r="D381" s="15" t="str">
        <f ca="1">IFERROR(__xludf.DUMMYFUNCTION("""COMPUTED_VALUE"""),"Казахстан")</f>
        <v>Казахстан</v>
      </c>
      <c r="E381" s="14" t="str">
        <f ca="1">IFERROR(__xludf.DUMMYFUNCTION("""COMPUTED_VALUE"""),"@ardak_79")</f>
        <v>@ardak_79</v>
      </c>
      <c r="F381" s="8" t="str">
        <f ca="1">IFERROR(__xludf.DUMMYFUNCTION("""COMPUTED_VALUE"""),"- Интенсив Дальний Восток 28-30.01.2022
- Живая ""Практика тишины"" Алматы (регулярные занятия)
- Запись на ""Беседу по душам""
- Практика Тишины общая платная
- Ретрит в РЦ Сочи 19-27 марта 2022 (Оплата до 6 марта)
- Заявка на звонок для курса ""Парадент"&amp;"альная медитация""
- АнтиЭго 2.0 29.3 - 12.04.2022 (поток 2) 
- Интенсив онлайн 14-17.04.2022
- Марафон Тишины - Тишина челлендж: Урал, Казахстан, Узбекистан 25-29.04.2022
- Курс подготовки к Парадентальной медитации
- Курс подготовки к Парадентальной мед"&amp;"итации (доступ к 1 уроку)
- Однодневный онлайн ретрит Россия 14 мая 2022
- Курс подготовки к Парадентальной медитации (доступ ко всему тренингу)
- Курс Парадентальной медитации в Сочи 11 июня - 8 июля 2022 года
- Тишина Челлендж (бесплатная часть)")</f>
        <v>- Интенсив Дальний Восток 28-30.01.2022
- Живая "Практика тишины" Алматы (регулярные занятия)
- Запись на "Беседу по душам"
- Практика Тишины общая платная
- Ретрит в РЦ Сочи 19-27 марта 2022 (Оплата до 6 марта)
- Заявка на звонок для курса "Парадентальная медитация"
- АнтиЭго 2.0 29.3 - 12.04.2022 (поток 2) 
- Интенсив онлайн 14-17.04.2022
- Марафон Тишины - Тишина челлендж: Урал, Казахстан, Узбекистан 25-29.04.2022
- Курс подготовки к Парадентальной медитации
- Курс подготовки к Парадентальной медитации (доступ к 1 уроку)
- Однодневный онлайн ретрит Россия 14 мая 2022
- Курс подготовки к Парадентальной медитации (доступ ко всему тренингу)
- Курс Парадентальной медитации в Сочи 11 июня - 8 июля 2022 года
- Тишина Челлендж (бесплатная часть)</v>
      </c>
      <c r="G381" s="1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>
      <c r="A382" s="14" t="str">
        <f ca="1">IFERROR(__xludf.DUMMYFUNCTION("""COMPUTED_VALUE"""),"РУШАНА Беккажинова")</f>
        <v>РУШАНА Беккажинова</v>
      </c>
      <c r="B382" s="14" t="str">
        <f ca="1">IFERROR(__xludf.DUMMYFUNCTION("""COMPUTED_VALUE"""),"Bekkazhinova@inbox.ru")</f>
        <v>Bekkazhinova@inbox.ru</v>
      </c>
      <c r="C382" s="15"/>
      <c r="D382" s="15" t="str">
        <f ca="1">IFERROR(__xludf.DUMMYFUNCTION("""COMPUTED_VALUE"""),"Россия")</f>
        <v>Россия</v>
      </c>
      <c r="E382" s="14"/>
      <c r="F382" s="8" t="str">
        <f ca="1">IFERROR(__xludf.DUMMYFUNCTION("""COMPUTED_VALUE"""),"- Тишина Челлендж (бесплатная часть)")</f>
        <v>- Тишина Челлендж (бесплатная часть)</v>
      </c>
      <c r="G382" s="1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>
      <c r="A383" s="14" t="str">
        <f ca="1">IFERROR(__xludf.DUMMYFUNCTION("""COMPUTED_VALUE"""),"Елена Белкина")</f>
        <v>Елена Белкина</v>
      </c>
      <c r="B383" s="14" t="str">
        <f ca="1">IFERROR(__xludf.DUMMYFUNCTION("""COMPUTED_VALUE"""),"belkinlena2015@yandex.ru")</f>
        <v>belkinlena2015@yandex.ru</v>
      </c>
      <c r="C383" s="15"/>
      <c r="D383" s="15" t="str">
        <f ca="1">IFERROR(__xludf.DUMMYFUNCTION("""COMPUTED_VALUE"""),"Россия")</f>
        <v>Россия</v>
      </c>
      <c r="E383" s="14"/>
      <c r="F383" s="8" t="str">
        <f ca="1">IFERROR(__xludf.DUMMYFUNCTION("""COMPUTED_VALUE"""),"- Тишина Челлендж (бесплатная часть)")</f>
        <v>- Тишина Челлендж (бесплатная часть)</v>
      </c>
      <c r="G383" s="1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>
      <c r="A384" s="14" t="str">
        <f ca="1">IFERROR(__xludf.DUMMYFUNCTION("""COMPUTED_VALUE"""),"Tatiana Malakhova")</f>
        <v>Tatiana Malakhova</v>
      </c>
      <c r="B384" s="14" t="str">
        <f ca="1">IFERROR(__xludf.DUMMYFUNCTION("""COMPUTED_VALUE"""),"bella-grazia@mail.ru")</f>
        <v>bella-grazia@mail.ru</v>
      </c>
      <c r="C384" s="15" t="str">
        <f ca="1">IFERROR(__xludf.DUMMYFUNCTION("""COMPUTED_VALUE"""),"+79673433143")</f>
        <v>+79673433143</v>
      </c>
      <c r="D384" s="15" t="str">
        <f ca="1">IFERROR(__xludf.DUMMYFUNCTION("""COMPUTED_VALUE"""),"Россия")</f>
        <v>Россия</v>
      </c>
      <c r="E384" s="14"/>
      <c r="F384" s="8" t="str">
        <f ca="1">IFERROR(__xludf.DUMMYFUNCTION("""COMPUTED_VALUE"""),"- Базовая бесплатная часть")</f>
        <v>- Базовая бесплатная часть</v>
      </c>
      <c r="G384" s="1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>
      <c r="A385" s="14" t="str">
        <f ca="1">IFERROR(__xludf.DUMMYFUNCTION("""COMPUTED_VALUE"""),"Лариса Беляева")</f>
        <v>Лариса Беляева</v>
      </c>
      <c r="B385" s="14" t="str">
        <f ca="1">IFERROR(__xludf.DUMMYFUNCTION("""COMPUTED_VALUE"""),"Bellarusa68@yandex.ru")</f>
        <v>Bellarusa68@yandex.ru</v>
      </c>
      <c r="C385" s="15" t="str">
        <f ca="1">IFERROR(__xludf.DUMMYFUNCTION("""COMPUTED_VALUE"""),", 79113072217")</f>
        <v>, 79113072217</v>
      </c>
      <c r="D385" s="15"/>
      <c r="E385" s="14"/>
      <c r="F385" s="8" t="str">
        <f ca="1">IFERROR(__xludf.DUMMYFUNCTION("""COMPUTED_VALUE"""),"Мероприятий не обнаружено")</f>
        <v>Мероприятий не обнаружено</v>
      </c>
      <c r="G385" s="1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5.5">
      <c r="A386" s="14" t="str">
        <f ca="1">IFERROR(__xludf.DUMMYFUNCTION("""COMPUTED_VALUE"""),"Альбина Бердиева")</f>
        <v>Альбина Бердиева</v>
      </c>
      <c r="B386" s="14" t="str">
        <f ca="1">IFERROR(__xludf.DUMMYFUNCTION("""COMPUTED_VALUE"""),"berdievaalbina1@gmail.com")</f>
        <v>berdievaalbina1@gmail.com</v>
      </c>
      <c r="C386" s="15" t="str">
        <f ca="1">IFERROR(__xludf.DUMMYFUNCTION("""COMPUTED_VALUE"""),"+998903744634")</f>
        <v>+998903744634</v>
      </c>
      <c r="D386" s="15"/>
      <c r="E386" s="14"/>
      <c r="F38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386" s="1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5.5">
      <c r="A387" s="14" t="str">
        <f ca="1">IFERROR(__xludf.DUMMYFUNCTION("""COMPUTED_VALUE"""),"Жадыра Шырынхан")</f>
        <v>Жадыра Шырынхан</v>
      </c>
      <c r="B387" s="14" t="str">
        <f ca="1">IFERROR(__xludf.DUMMYFUNCTION("""COMPUTED_VALUE"""),"Bereke1816@mail.ru")</f>
        <v>Bereke1816@mail.ru</v>
      </c>
      <c r="C387" s="15" t="str">
        <f ca="1">IFERROR(__xludf.DUMMYFUNCTION("""COMPUTED_VALUE"""),"87076100983")</f>
        <v>87076100983</v>
      </c>
      <c r="D387" s="15"/>
      <c r="E387" s="14"/>
      <c r="F38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387" s="1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>
      <c r="A388" s="14" t="str">
        <f ca="1">IFERROR(__xludf.DUMMYFUNCTION("""COMPUTED_VALUE"""),"Marianna Berina")</f>
        <v>Marianna Berina</v>
      </c>
      <c r="B388" s="14" t="str">
        <f ca="1">IFERROR(__xludf.DUMMYFUNCTION("""COMPUTED_VALUE"""),"berina.m.v@gmail.com")</f>
        <v>berina.m.v@gmail.com</v>
      </c>
      <c r="C388" s="15" t="str">
        <f ca="1">IFERROR(__xludf.DUMMYFUNCTION("""COMPUTED_VALUE"""),"+375297376657")</f>
        <v>+375297376657</v>
      </c>
      <c r="D388" s="15" t="str">
        <f ca="1">IFERROR(__xludf.DUMMYFUNCTION("""COMPUTED_VALUE"""),"Беларусь")</f>
        <v>Беларусь</v>
      </c>
      <c r="E388" s="14"/>
      <c r="F388" s="8" t="str">
        <f ca="1">IFERROR(__xludf.DUMMYFUNCTION("""COMPUTED_VALUE"""),"- Чайная встреча Разговор по душам Минск 11.12.2021")</f>
        <v>- Чайная встреча Разговор по душам Минск 11.12.2021</v>
      </c>
      <c r="G388" s="1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38.25">
      <c r="A389" s="14" t="str">
        <f ca="1">IFERROR(__xludf.DUMMYFUNCTION("""COMPUTED_VALUE"""),"Nazym Bekmurat")</f>
        <v>Nazym Bekmurat</v>
      </c>
      <c r="B389" s="14" t="str">
        <f ca="1">IFERROR(__xludf.DUMMYFUNCTION("""COMPUTED_VALUE"""),"berkimbay.nazym28@gmail.com")</f>
        <v>berkimbay.nazym28@gmail.com</v>
      </c>
      <c r="C389" s="15" t="str">
        <f ca="1">IFERROR(__xludf.DUMMYFUNCTION("""COMPUTED_VALUE"""),"87058810088")</f>
        <v>87058810088</v>
      </c>
      <c r="D389" s="15" t="str">
        <f ca="1">IFERROR(__xludf.DUMMYFUNCTION("""COMPUTED_VALUE"""),"Россия")</f>
        <v>Россия</v>
      </c>
      <c r="E389" s="14"/>
      <c r="F389" s="8" t="str">
        <f ca="1">IFERROR(__xludf.DUMMYFUNCTION("""COMPUTED_VALUE"""),"- Марафон Тишины - Тишина челлендж: Урал, Казахстан, Узбекистан 25-29.04.2022
- Тишина Челлендж (бесплатная часть)")</f>
        <v>- Марафон Тишины - Тишина челлендж: Урал, Казахстан, Узбекистан 25-29.04.2022
- Тишина Челлендж (бесплатная часть)</v>
      </c>
      <c r="G389" s="1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>
      <c r="A390" s="14" t="str">
        <f ca="1">IFERROR(__xludf.DUMMYFUNCTION("""COMPUTED_VALUE"""),"Виталий Ситников")</f>
        <v>Виталий Ситников</v>
      </c>
      <c r="B390" s="14" t="str">
        <f ca="1">IFERROR(__xludf.DUMMYFUNCTION("""COMPUTED_VALUE"""),"betatreid@list.ru")</f>
        <v>betatreid@list.ru</v>
      </c>
      <c r="C390" s="15" t="str">
        <f ca="1">IFERROR(__xludf.DUMMYFUNCTION("""COMPUTED_VALUE"""),"79304167961")</f>
        <v>79304167961</v>
      </c>
      <c r="D390" s="15" t="str">
        <f ca="1">IFERROR(__xludf.DUMMYFUNCTION("""COMPUTED_VALUE"""),"Россия")</f>
        <v>Россия</v>
      </c>
      <c r="E390" s="14"/>
      <c r="F390" s="8" t="str">
        <f ca="1">IFERROR(__xludf.DUMMYFUNCTION("""COMPUTED_VALUE"""),"- Выездной ретрит Воронеж-Липецк 25-27.2.2022")</f>
        <v>- Выездной ретрит Воронеж-Липецк 25-27.2.2022</v>
      </c>
      <c r="G390" s="1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>
      <c r="A391" s="14" t="str">
        <f ca="1">IFERROR(__xludf.DUMMYFUNCTION("""COMPUTED_VALUE"""),"Вика Бейнарович")</f>
        <v>Вика Бейнарович</v>
      </c>
      <c r="B391" s="14" t="str">
        <f ca="1">IFERROR(__xludf.DUMMYFUNCTION("""COMPUTED_VALUE"""),"beynarovuch-00@mail.ru")</f>
        <v>beynarovuch-00@mail.ru</v>
      </c>
      <c r="C391" s="15" t="str">
        <f ca="1">IFERROR(__xludf.DUMMYFUNCTION("""COMPUTED_VALUE"""),", 375447455540")</f>
        <v>, 375447455540</v>
      </c>
      <c r="D391" s="15" t="str">
        <f ca="1">IFERROR(__xludf.DUMMYFUNCTION("""COMPUTED_VALUE"""),"Беларусь")</f>
        <v>Беларусь</v>
      </c>
      <c r="E391" s="14"/>
      <c r="F391" s="8" t="str">
        <f ca="1">IFERROR(__xludf.DUMMYFUNCTION("""COMPUTED_VALUE"""),"Мероприятий не обнаружено")</f>
        <v>Мероприятий не обнаружено</v>
      </c>
      <c r="G391" s="1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5.5">
      <c r="A392" s="14" t="str">
        <f ca="1">IFERROR(__xludf.DUMMYFUNCTION("""COMPUTED_VALUE"""),"Екатерина Басуева")</f>
        <v>Екатерина Басуева</v>
      </c>
      <c r="B392" s="14" t="str">
        <f ca="1">IFERROR(__xludf.DUMMYFUNCTION("""COMPUTED_VALUE"""),"bigbos07@inbox.ru")</f>
        <v>bigbos07@inbox.ru</v>
      </c>
      <c r="C392" s="15" t="str">
        <f ca="1">IFERROR(__xludf.DUMMYFUNCTION("""COMPUTED_VALUE"""),"87779540701")</f>
        <v>87779540701</v>
      </c>
      <c r="D392" s="15" t="str">
        <f ca="1">IFERROR(__xludf.DUMMYFUNCTION("""COMPUTED_VALUE"""),"Республика Казахстан")</f>
        <v>Республика Казахстан</v>
      </c>
      <c r="E392" s="14"/>
      <c r="F39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392" s="1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5.5">
      <c r="A393" s="14" t="str">
        <f ca="1">IFERROR(__xludf.DUMMYFUNCTION("""COMPUTED_VALUE"""),"Багина Каменова")</f>
        <v>Багина Каменова</v>
      </c>
      <c r="B393" s="14" t="str">
        <f ca="1">IFERROR(__xludf.DUMMYFUNCTION("""COMPUTED_VALUE"""),"Bika.86@mail.ru")</f>
        <v>Bika.86@mail.ru</v>
      </c>
      <c r="C393" s="15" t="str">
        <f ca="1">IFERROR(__xludf.DUMMYFUNCTION("""COMPUTED_VALUE"""),"87017706070")</f>
        <v>87017706070</v>
      </c>
      <c r="D393" s="15"/>
      <c r="E393" s="14"/>
      <c r="F39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393" s="1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>
      <c r="A394" s="14" t="str">
        <f ca="1">IFERROR(__xludf.DUMMYFUNCTION("""COMPUTED_VALUE"""),"bilara61,  ")</f>
        <v xml:space="preserve">bilara61,  </v>
      </c>
      <c r="B394" s="14" t="str">
        <f ca="1">IFERROR(__xludf.DUMMYFUNCTION("""COMPUTED_VALUE"""),"bilara61@mail.ru")</f>
        <v>bilara61@mail.ru</v>
      </c>
      <c r="C394" s="15"/>
      <c r="D394" s="15" t="str">
        <f ca="1">IFERROR(__xludf.DUMMYFUNCTION("""COMPUTED_VALUE"""),"Казахстан")</f>
        <v>Казахстан</v>
      </c>
      <c r="E394" s="14"/>
      <c r="F394" s="8" t="str">
        <f ca="1">IFERROR(__xludf.DUMMYFUNCTION("""COMPUTED_VALUE"""),"- Базовая бесплатная часть")</f>
        <v>- Базовая бесплатная часть</v>
      </c>
      <c r="G394" s="1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>
      <c r="A395" s="14" t="str">
        <f ca="1">IFERROR(__xludf.DUMMYFUNCTION("""COMPUTED_VALUE"""),"ДАНИЛ БОЧКАРЁВ")</f>
        <v>ДАНИЛ БОЧКАРЁВ</v>
      </c>
      <c r="B395" s="14" t="str">
        <f ca="1">IFERROR(__xludf.DUMMYFUNCTION("""COMPUTED_VALUE"""),"bim@gmx.info")</f>
        <v>bim@gmx.info</v>
      </c>
      <c r="C395" s="15" t="str">
        <f ca="1">IFERROR(__xludf.DUMMYFUNCTION("""COMPUTED_VALUE"""),"4917623779033")</f>
        <v>4917623779033</v>
      </c>
      <c r="D395" s="15" t="str">
        <f ca="1">IFERROR(__xludf.DUMMYFUNCTION("""COMPUTED_VALUE"""),"Германия")</f>
        <v>Германия</v>
      </c>
      <c r="E395" s="14" t="str">
        <f ca="1">IFERROR(__xludf.DUMMYFUNCTION("""COMPUTED_VALUE"""),"@DanilBerlin")</f>
        <v>@DanilBerlin</v>
      </c>
      <c r="F395" s="8" t="str">
        <f ca="1">IFERROR(__xludf.DUMMYFUNCTION("""COMPUTED_VALUE"""),"- Клуб пробуждения Друзья (2 уровень) - 2 месяца")</f>
        <v>- Клуб пробуждения Друзья (2 уровень) - 2 месяца</v>
      </c>
      <c r="G395" s="1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5.5">
      <c r="A396" s="14" t="str">
        <f ca="1">IFERROR(__xludf.DUMMYFUNCTION("""COMPUTED_VALUE"""),"Альбина Мухина")</f>
        <v>Альбина Мухина</v>
      </c>
      <c r="B396" s="14" t="str">
        <f ca="1">IFERROR(__xludf.DUMMYFUNCTION("""COMPUTED_VALUE"""),"binakiki1@gmail.com")</f>
        <v>binakiki1@gmail.com</v>
      </c>
      <c r="C396" s="15" t="str">
        <f ca="1">IFERROR(__xludf.DUMMYFUNCTION("""COMPUTED_VALUE"""),"+998909819339")</f>
        <v>+998909819339</v>
      </c>
      <c r="D396" s="15"/>
      <c r="E396" s="14"/>
      <c r="F39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396" s="1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5.5">
      <c r="A397" s="14" t="str">
        <f ca="1">IFERROR(__xludf.DUMMYFUNCTION("""COMPUTED_VALUE"""),"Римма Бесекенов")</f>
        <v>Римма Бесекенов</v>
      </c>
      <c r="B397" s="14" t="str">
        <f ca="1">IFERROR(__xludf.DUMMYFUNCTION("""COMPUTED_VALUE"""),"Bisekenova.rimma@mail.ru")</f>
        <v>Bisekenova.rimma@mail.ru</v>
      </c>
      <c r="C397" s="15" t="str">
        <f ca="1">IFERROR(__xludf.DUMMYFUNCTION("""COMPUTED_VALUE"""),"87474352661")</f>
        <v>87474352661</v>
      </c>
      <c r="D397" s="15"/>
      <c r="E397" s="14"/>
      <c r="F39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397" s="1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5.5">
      <c r="A398" s="14" t="str">
        <f ca="1">IFERROR(__xludf.DUMMYFUNCTION("""COMPUTED_VALUE"""),"Марат Бисенбаев")</f>
        <v>Марат Бисенбаев</v>
      </c>
      <c r="B398" s="14" t="str">
        <f ca="1">IFERROR(__xludf.DUMMYFUNCTION("""COMPUTED_VALUE"""),"bisenbaevmarat12@gmail.com")</f>
        <v>bisenbaevmarat12@gmail.com</v>
      </c>
      <c r="C398" s="15" t="str">
        <f ca="1">IFERROR(__xludf.DUMMYFUNCTION("""COMPUTED_VALUE"""),"+77078183337")</f>
        <v>+77078183337</v>
      </c>
      <c r="D398" s="15"/>
      <c r="E398" s="14"/>
      <c r="F39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398" s="1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38.25">
      <c r="A399" s="14" t="str">
        <f ca="1">IFERROR(__xludf.DUMMYFUNCTION("""COMPUTED_VALUE"""),"Сергей Барт")</f>
        <v>Сергей Барт</v>
      </c>
      <c r="B399" s="14" t="str">
        <f ca="1">IFERROR(__xludf.DUMMYFUNCTION("""COMPUTED_VALUE"""),"bizzserg@gmail.com")</f>
        <v>bizzserg@gmail.com</v>
      </c>
      <c r="C399" s="15" t="str">
        <f ca="1">IFERROR(__xludf.DUMMYFUNCTION("""COMPUTED_VALUE"""),"87")</f>
        <v>87</v>
      </c>
      <c r="D399" s="15" t="str">
        <f ca="1">IFERROR(__xludf.DUMMYFUNCTION("""COMPUTED_VALUE"""),"Казахстан")</f>
        <v>Казахстан</v>
      </c>
      <c r="E399" s="14"/>
      <c r="F399" s="8" t="str">
        <f ca="1">IFERROR(__xludf.DUMMYFUNCTION("""COMPUTED_VALUE"""),"- Марафон Тишины - Тишина челлендж: Урал, Казахстан, Узбекистан 25-29.04.2022
- Тишина Челлендж (бесплатная часть)")</f>
        <v>- Марафон Тишины - Тишина челлендж: Урал, Казахстан, Узбекистан 25-29.04.2022
- Тишина Челлендж (бесплатная часть)</v>
      </c>
      <c r="G399" s="1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>
      <c r="A400" s="14" t="str">
        <f ca="1">IFERROR(__xludf.DUMMYFUNCTION("""COMPUTED_VALUE"""),"Екатерина Новосёлова")</f>
        <v>Екатерина Новосёлова</v>
      </c>
      <c r="B400" s="14" t="str">
        <f ca="1">IFERROR(__xludf.DUMMYFUNCTION("""COMPUTED_VALUE"""),"blacknoir00@mail.ru")</f>
        <v>blacknoir00@mail.ru</v>
      </c>
      <c r="C400" s="15" t="str">
        <f ca="1">IFERROR(__xludf.DUMMYFUNCTION("""COMPUTED_VALUE"""),"+375296327010")</f>
        <v>+375296327010</v>
      </c>
      <c r="D400" s="15"/>
      <c r="E400" s="14"/>
      <c r="F400" s="8" t="str">
        <f ca="1">IFERROR(__xludf.DUMMYFUNCTION("""COMPUTED_VALUE"""),"- Тишина Челлендж (бесплатная часть)")</f>
        <v>- Тишина Челлендж (бесплатная часть)</v>
      </c>
      <c r="G400" s="1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5.5">
      <c r="A401" s="14" t="str">
        <f ca="1">IFERROR(__xludf.DUMMYFUNCTION("""COMPUTED_VALUE"""),"Roman Roman")</f>
        <v>Roman Roman</v>
      </c>
      <c r="B401" s="14" t="str">
        <f ca="1">IFERROR(__xludf.DUMMYFUNCTION("""COMPUTED_VALUE"""),"blackroman09@gmail.com")</f>
        <v>blackroman09@gmail.com</v>
      </c>
      <c r="C401" s="15" t="str">
        <f ca="1">IFERROR(__xludf.DUMMYFUNCTION("""COMPUTED_VALUE"""),"37067403333")</f>
        <v>37067403333</v>
      </c>
      <c r="D401" s="15" t="str">
        <f ca="1">IFERROR(__xludf.DUMMYFUNCTION("""COMPUTED_VALUE"""),"Литва")</f>
        <v>Литва</v>
      </c>
      <c r="E401" s="14"/>
      <c r="F401" s="8" t="str">
        <f ca="1">IFERROR(__xludf.DUMMYFUNCTION("""COMPUTED_VALUE"""),"- Вебинар с Никитой Бородулиным 11.02.2022 часть1
- Вебинар все о ретрите 12.2.2022")</f>
        <v>- Вебинар с Никитой Бородулиным 11.02.2022 часть1
- Вебинар все о ретрите 12.2.2022</v>
      </c>
      <c r="G401" s="1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>
      <c r="A402" s="14" t="str">
        <f ca="1">IFERROR(__xludf.DUMMYFUNCTION("""COMPUTED_VALUE"""),"Алеся Коляда")</f>
        <v>Алеся Коляда</v>
      </c>
      <c r="B402" s="14" t="str">
        <f ca="1">IFERROR(__xludf.DUMMYFUNCTION("""COMPUTED_VALUE"""),"blackrose101@mail.ru")</f>
        <v>blackrose101@mail.ru</v>
      </c>
      <c r="C402" s="15" t="str">
        <f ca="1">IFERROR(__xludf.DUMMYFUNCTION("""COMPUTED_VALUE"""),"80291925710")</f>
        <v>80291925710</v>
      </c>
      <c r="D402" s="15" t="str">
        <f ca="1">IFERROR(__xludf.DUMMYFUNCTION("""COMPUTED_VALUE"""),"Беларусь")</f>
        <v>Беларусь</v>
      </c>
      <c r="E402" s="14"/>
      <c r="F402" s="8" t="str">
        <f ca="1">IFERROR(__xludf.DUMMYFUNCTION("""COMPUTED_VALUE"""),"- Тишина Челлендж (бесплатная часть)")</f>
        <v>- Тишина Челлендж (бесплатная часть)</v>
      </c>
      <c r="G402" s="1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>
      <c r="A403" s="14" t="str">
        <f ca="1">IFERROR(__xludf.DUMMYFUNCTION("""COMPUTED_VALUE"""),"Валерия Рябова")</f>
        <v>Валерия Рябова</v>
      </c>
      <c r="B403" s="14" t="str">
        <f ca="1">IFERROR(__xludf.DUMMYFUNCTION("""COMPUTED_VALUE"""),"blscva88@icloud.com")</f>
        <v>blscva88@icloud.com</v>
      </c>
      <c r="C403" s="15" t="str">
        <f ca="1">IFERROR(__xludf.DUMMYFUNCTION("""COMPUTED_VALUE"""),"+79112629700")</f>
        <v>+79112629700</v>
      </c>
      <c r="D403" s="15" t="str">
        <f ca="1">IFERROR(__xludf.DUMMYFUNCTION("""COMPUTED_VALUE"""),"Россия")</f>
        <v>Россия</v>
      </c>
      <c r="E403" s="14"/>
      <c r="F403" s="8" t="str">
        <f ca="1">IFERROR(__xludf.DUMMYFUNCTION("""COMPUTED_VALUE"""),"- Городской интенсив Санкт-Петербург 27-29.05.2022")</f>
        <v>- Городской интенсив Санкт-Петербург 27-29.05.2022</v>
      </c>
      <c r="G403" s="1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>
      <c r="A404" s="14" t="str">
        <f ca="1">IFERROR(__xludf.DUMMYFUNCTION("""COMPUTED_VALUE"""),"Нурия Репницкая")</f>
        <v>Нурия Репницкая</v>
      </c>
      <c r="B404" s="14" t="str">
        <f ca="1">IFERROR(__xludf.DUMMYFUNCTION("""COMPUTED_VALUE"""),"Blu-berry@ya.ru")</f>
        <v>Blu-berry@ya.ru</v>
      </c>
      <c r="C404" s="15"/>
      <c r="D404" s="15" t="str">
        <f ca="1">IFERROR(__xludf.DUMMYFUNCTION("""COMPUTED_VALUE"""),"Россия")</f>
        <v>Россия</v>
      </c>
      <c r="E404" s="14"/>
      <c r="F404" s="8" t="str">
        <f ca="1">IFERROR(__xludf.DUMMYFUNCTION("""COMPUTED_VALUE"""),"- Тишина Челлендж (бесплатная часть)")</f>
        <v>- Тишина Челлендж (бесплатная часть)</v>
      </c>
      <c r="G404" s="1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>
      <c r="A405" s="14" t="str">
        <f ca="1">IFERROR(__xludf.DUMMYFUNCTION("""COMPUTED_VALUE"""),"Лена Казакова")</f>
        <v>Лена Казакова</v>
      </c>
      <c r="B405" s="14" t="str">
        <f ca="1">IFERROR(__xludf.DUMMYFUNCTION("""COMPUTED_VALUE"""),"Bluesea@list.ru")</f>
        <v>Bluesea@list.ru</v>
      </c>
      <c r="C405" s="15" t="str">
        <f ca="1">IFERROR(__xludf.DUMMYFUNCTION("""COMPUTED_VALUE"""),"+79031497021")</f>
        <v>+79031497021</v>
      </c>
      <c r="D405" s="15" t="str">
        <f ca="1">IFERROR(__xludf.DUMMYFUNCTION("""COMPUTED_VALUE"""),"Россия")</f>
        <v>Россия</v>
      </c>
      <c r="E405" s="14"/>
      <c r="F405" s="8" t="str">
        <f ca="1">IFERROR(__xludf.DUMMYFUNCTION("""COMPUTED_VALUE"""),"- Мастер-класс ""Скульптура и Керамика""")</f>
        <v>- Мастер-класс "Скульптура и Керамика"</v>
      </c>
      <c r="G405" s="1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>
      <c r="A406" s="14" t="str">
        <f ca="1">IFERROR(__xludf.DUMMYFUNCTION("""COMPUTED_VALUE"""),"Михаил Каширин")</f>
        <v>Михаил Каширин</v>
      </c>
      <c r="B406" s="14" t="str">
        <f ca="1">IFERROR(__xludf.DUMMYFUNCTION("""COMPUTED_VALUE"""),"bog-8585@mail.ru")</f>
        <v>bog-8585@mail.ru</v>
      </c>
      <c r="C406" s="15" t="str">
        <f ca="1">IFERROR(__xludf.DUMMYFUNCTION("""COMPUTED_VALUE"""),"+79080896951")</f>
        <v>+79080896951</v>
      </c>
      <c r="D406" s="15"/>
      <c r="E406" s="14"/>
      <c r="F406" s="8" t="str">
        <f ca="1">IFERROR(__xludf.DUMMYFUNCTION("""COMPUTED_VALUE"""),"- Тишина Челлендж (бесплатная часть)")</f>
        <v>- Тишина Челлендж (бесплатная часть)</v>
      </c>
      <c r="G406" s="1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5.5">
      <c r="A407" s="14" t="str">
        <f ca="1">IFERROR(__xludf.DUMMYFUNCTION("""COMPUTED_VALUE"""),"Айнаш Джумакова")</f>
        <v>Айнаш Джумакова</v>
      </c>
      <c r="B407" s="14" t="str">
        <f ca="1">IFERROR(__xludf.DUMMYFUNCTION("""COMPUTED_VALUE"""),"Bomond.450421@mail.ru")</f>
        <v>Bomond.450421@mail.ru</v>
      </c>
      <c r="C407" s="15" t="str">
        <f ca="1">IFERROR(__xludf.DUMMYFUNCTION("""COMPUTED_VALUE"""),"87013004008")</f>
        <v>87013004008</v>
      </c>
      <c r="D407" s="15"/>
      <c r="E407" s="14"/>
      <c r="F40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407" s="1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>
      <c r="A408" s="14" t="str">
        <f ca="1">IFERROR(__xludf.DUMMYFUNCTION("""COMPUTED_VALUE"""),"Татьяна Бондарь")</f>
        <v>Татьяна Бондарь</v>
      </c>
      <c r="B408" s="14" t="str">
        <f ca="1">IFERROR(__xludf.DUMMYFUNCTION("""COMPUTED_VALUE"""),"bondar290180@mail.ru")</f>
        <v>bondar290180@mail.ru</v>
      </c>
      <c r="C408" s="15" t="str">
        <f ca="1">IFERROR(__xludf.DUMMYFUNCTION("""COMPUTED_VALUE"""),", 87766692033")</f>
        <v>, 87766692033</v>
      </c>
      <c r="D408" s="15"/>
      <c r="E408" s="14"/>
      <c r="F408" s="8" t="str">
        <f ca="1">IFERROR(__xludf.DUMMYFUNCTION("""COMPUTED_VALUE"""),"Мероприятий не обнаружено")</f>
        <v>Мероприятий не обнаружено</v>
      </c>
      <c r="G408" s="1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5.5">
      <c r="A409" s="14" t="str">
        <f ca="1">IFERROR(__xludf.DUMMYFUNCTION("""COMPUTED_VALUE"""),"Лана Борделло")</f>
        <v>Лана Борделло</v>
      </c>
      <c r="B409" s="14" t="str">
        <f ca="1">IFERROR(__xludf.DUMMYFUNCTION("""COMPUTED_VALUE"""),"bordellolana@gmail.com")</f>
        <v>bordellolana@gmail.com</v>
      </c>
      <c r="C409" s="15" t="str">
        <f ca="1">IFERROR(__xludf.DUMMYFUNCTION("""COMPUTED_VALUE"""),"+998934264266")</f>
        <v>+998934264266</v>
      </c>
      <c r="D409" s="15"/>
      <c r="E409" s="14"/>
      <c r="F40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409" s="1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>
      <c r="A410" s="14" t="str">
        <f ca="1">IFERROR(__xludf.DUMMYFUNCTION("""COMPUTED_VALUE"""),"Борис Бушин")</f>
        <v>Борис Бушин</v>
      </c>
      <c r="B410" s="14" t="str">
        <f ca="1">IFERROR(__xludf.DUMMYFUNCTION("""COMPUTED_VALUE"""),"borishello@mail.ru")</f>
        <v>borishello@mail.ru</v>
      </c>
      <c r="C410" s="15" t="str">
        <f ca="1">IFERROR(__xludf.DUMMYFUNCTION("""COMPUTED_VALUE"""),", 79528661619")</f>
        <v>, 79528661619</v>
      </c>
      <c r="D410" s="15" t="str">
        <f ca="1">IFERROR(__xludf.DUMMYFUNCTION("""COMPUTED_VALUE"""),"Россия")</f>
        <v>Россия</v>
      </c>
      <c r="E410" s="14"/>
      <c r="F410" s="8" t="str">
        <f ca="1">IFERROR(__xludf.DUMMYFUNCTION("""COMPUTED_VALUE"""),"Мероприятий не обнаружено")</f>
        <v>Мероприятий не обнаружено</v>
      </c>
      <c r="G410" s="1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>
      <c r="A411" s="14" t="str">
        <f ca="1">IFERROR(__xludf.DUMMYFUNCTION("""COMPUTED_VALUE"""),"Ольга Назарчук")</f>
        <v>Ольга Назарчук</v>
      </c>
      <c r="B411" s="14" t="str">
        <f ca="1">IFERROR(__xludf.DUMMYFUNCTION("""COMPUTED_VALUE"""),"Borisova.51@mail.ru")</f>
        <v>Borisova.51@mail.ru</v>
      </c>
      <c r="C411" s="15" t="str">
        <f ca="1">IFERROR(__xludf.DUMMYFUNCTION("""COMPUTED_VALUE"""),"79062903174")</f>
        <v>79062903174</v>
      </c>
      <c r="D411" s="15"/>
      <c r="E411" s="14"/>
      <c r="F411" s="8" t="str">
        <f ca="1">IFERROR(__xludf.DUMMYFUNCTION("""COMPUTED_VALUE"""),"- Тишина Челлендж (бесплатная часть)")</f>
        <v>- Тишина Челлендж (бесплатная часть)</v>
      </c>
      <c r="G411" s="1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>
      <c r="A412" s="14" t="str">
        <f ca="1">IFERROR(__xludf.DUMMYFUNCTION("""COMPUTED_VALUE"""),"Бота Тулекбаева")</f>
        <v>Бота Тулекбаева</v>
      </c>
      <c r="B412" s="14" t="str">
        <f ca="1">IFERROR(__xludf.DUMMYFUNCTION("""COMPUTED_VALUE"""),"bota8609@gmail.com")</f>
        <v>bota8609@gmail.com</v>
      </c>
      <c r="C412" s="15"/>
      <c r="D412" s="15" t="str">
        <f ca="1">IFERROR(__xludf.DUMMYFUNCTION("""COMPUTED_VALUE"""),"Франция")</f>
        <v>Франция</v>
      </c>
      <c r="E412" s="14"/>
      <c r="F412" s="8" t="str">
        <f ca="1">IFERROR(__xludf.DUMMYFUNCTION("""COMPUTED_VALUE"""),"- Тишина Челлендж (бесплатная часть)")</f>
        <v>- Тишина Челлендж (бесплатная часть)</v>
      </c>
      <c r="G412" s="1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5.5">
      <c r="A413" s="14" t="str">
        <f ca="1">IFERROR(__xludf.DUMMYFUNCTION("""COMPUTED_VALUE"""),"Екатерина Бойкиня")</f>
        <v>Екатерина Бойкиня</v>
      </c>
      <c r="B413" s="14" t="str">
        <f ca="1">IFERROR(__xludf.DUMMYFUNCTION("""COMPUTED_VALUE"""),"Boykotee@yandex.ru")</f>
        <v>Boykotee@yandex.ru</v>
      </c>
      <c r="C413" s="15" t="str">
        <f ca="1">IFERROR(__xludf.DUMMYFUNCTION("""COMPUTED_VALUE"""),"+79199252025")</f>
        <v>+79199252025</v>
      </c>
      <c r="D413" s="15" t="str">
        <f ca="1">IFERROR(__xludf.DUMMYFUNCTION("""COMPUTED_VALUE"""),"США")</f>
        <v>США</v>
      </c>
      <c r="E413" s="14"/>
      <c r="F413" s="8" t="str">
        <f ca="1">IFERROR(__xludf.DUMMYFUNCTION("""COMPUTED_VALUE"""),"- Выездной ретрит Тюмень 18-20 марта 2022 (оплата до 22 февраля)")</f>
        <v>- Выездной ретрит Тюмень 18-20 марта 2022 (оплата до 22 февраля)</v>
      </c>
      <c r="G413" s="1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>
      <c r="A414" s="14" t="str">
        <f ca="1">IFERROR(__xludf.DUMMYFUNCTION("""COMPUTED_VALUE"""),"Сауле Божеева")</f>
        <v>Сауле Божеева</v>
      </c>
      <c r="B414" s="14" t="str">
        <f ca="1">IFERROR(__xludf.DUMMYFUNCTION("""COMPUTED_VALUE"""),"Bozheyeva@mail.ru")</f>
        <v>Bozheyeva@mail.ru</v>
      </c>
      <c r="C414" s="15"/>
      <c r="D414" s="15" t="str">
        <f ca="1">IFERROR(__xludf.DUMMYFUNCTION("""COMPUTED_VALUE"""),"Швеция")</f>
        <v>Швеция</v>
      </c>
      <c r="E414" s="14"/>
      <c r="F414" s="8" t="str">
        <f ca="1">IFERROR(__xludf.DUMMYFUNCTION("""COMPUTED_VALUE"""),"- Тишина Челлендж (бесплатная часть)")</f>
        <v>- Тишина Челлендж (бесплатная часть)</v>
      </c>
      <c r="G414" s="1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>
      <c r="A415" s="14" t="str">
        <f ca="1">IFERROR(__xludf.DUMMYFUNCTION("""COMPUTED_VALUE"""),"Salomat Bozorova")</f>
        <v>Salomat Bozorova</v>
      </c>
      <c r="B415" s="14" t="str">
        <f ca="1">IFERROR(__xludf.DUMMYFUNCTION("""COMPUTED_VALUE"""),"bozorovasalomat1@gmail.com")</f>
        <v>bozorovasalomat1@gmail.com</v>
      </c>
      <c r="C415" s="15" t="str">
        <f ca="1">IFERROR(__xludf.DUMMYFUNCTION("""COMPUTED_VALUE"""),"+998993806541")</f>
        <v>+998993806541</v>
      </c>
      <c r="D415" s="15" t="str">
        <f ca="1">IFERROR(__xludf.DUMMYFUNCTION("""COMPUTED_VALUE"""),"Узбекистан")</f>
        <v>Узбекистан</v>
      </c>
      <c r="E415" s="14"/>
      <c r="F415" s="8" t="str">
        <f ca="1">IFERROR(__xludf.DUMMYFUNCTION("""COMPUTED_VALUE"""),"- Вводный вебинар 3.5.22 на Шаг к Пробуждению")</f>
        <v>- Вводный вебинар 3.5.22 на Шаг к Пробуждению</v>
      </c>
      <c r="G415" s="1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>
      <c r="A416" s="14" t="str">
        <f ca="1">IFERROR(__xludf.DUMMYFUNCTION("""COMPUTED_VALUE"""),"Maryna Brazinskaya")</f>
        <v>Maryna Brazinskaya</v>
      </c>
      <c r="B416" s="14" t="str">
        <f ca="1">IFERROR(__xludf.DUMMYFUNCTION("""COMPUTED_VALUE"""),"brazinskaya89@mail.ru")</f>
        <v>brazinskaya89@mail.ru</v>
      </c>
      <c r="C416" s="15" t="str">
        <f ca="1">IFERROR(__xludf.DUMMYFUNCTION("""COMPUTED_VALUE"""),"+375296306450")</f>
        <v>+375296306450</v>
      </c>
      <c r="D416" s="15" t="str">
        <f ca="1">IFERROR(__xludf.DUMMYFUNCTION("""COMPUTED_VALUE"""),"Беларусь")</f>
        <v>Беларусь</v>
      </c>
      <c r="E416" s="14"/>
      <c r="F416" s="8" t="str">
        <f ca="1">IFERROR(__xludf.DUMMYFUNCTION("""COMPUTED_VALUE"""),"- Чайная встреча Минск 5.2 2022")</f>
        <v>- Чайная встреча Минск 5.2 2022</v>
      </c>
      <c r="G416" s="1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5.5">
      <c r="A417" s="14" t="str">
        <f ca="1">IFERROR(__xludf.DUMMYFUNCTION("""COMPUTED_VALUE"""),"Татьяна Бразовская")</f>
        <v>Татьяна Бразовская</v>
      </c>
      <c r="B417" s="14" t="str">
        <f ca="1">IFERROR(__xludf.DUMMYFUNCTION("""COMPUTED_VALUE"""),"brazovskaya@tut.by")</f>
        <v>brazovskaya@tut.by</v>
      </c>
      <c r="C417" s="15" t="str">
        <f ca="1">IFERROR(__xludf.DUMMYFUNCTION("""COMPUTED_VALUE"""),"375296783690")</f>
        <v>375296783690</v>
      </c>
      <c r="D417" s="15" t="str">
        <f ca="1">IFERROR(__xludf.DUMMYFUNCTION("""COMPUTED_VALUE"""),"Беларусь")</f>
        <v>Беларусь</v>
      </c>
      <c r="E417" s="14" t="str">
        <f ca="1">IFERROR(__xludf.DUMMYFUNCTION("""COMPUTED_VALUE"""),"@brazovskaya")</f>
        <v>@brazovskaya</v>
      </c>
      <c r="F417" s="8" t="str">
        <f ca="1">IFERROR(__xludf.DUMMYFUNCTION("""COMPUTED_VALUE"""),"- Клуб пробуждения Друзья (2 уровень) - 1 месяц
- Вебинар с Никитой Бородулиным 11.02.2022 часть1")</f>
        <v>- Клуб пробуждения Друзья (2 уровень) - 1 месяц
- Вебинар с Никитой Бородулиным 11.02.2022 часть1</v>
      </c>
      <c r="G417" s="1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>
      <c r="A418" s="14" t="str">
        <f ca="1">IFERROR(__xludf.DUMMYFUNCTION("""COMPUTED_VALUE"""),"Татьяна Бразовская")</f>
        <v>Татьяна Бразовская</v>
      </c>
      <c r="B418" s="14" t="str">
        <f ca="1">IFERROR(__xludf.DUMMYFUNCTION("""COMPUTED_VALUE"""),"brazovskaya2013@gmail.com")</f>
        <v>brazovskaya2013@gmail.com</v>
      </c>
      <c r="C418" s="15" t="str">
        <f ca="1">IFERROR(__xludf.DUMMYFUNCTION("""COMPUTED_VALUE"""),"+375296783690")</f>
        <v>+375296783690</v>
      </c>
      <c r="D418" s="15" t="str">
        <f ca="1">IFERROR(__xludf.DUMMYFUNCTION("""COMPUTED_VALUE"""),"Беларусь")</f>
        <v>Беларусь</v>
      </c>
      <c r="E418" s="14" t="str">
        <f ca="1">IFERROR(__xludf.DUMMYFUNCTION("""COMPUTED_VALUE"""),"@tbrazovskaya")</f>
        <v>@tbrazovskaya</v>
      </c>
      <c r="F418" s="8" t="str">
        <f ca="1">IFERROR(__xludf.DUMMYFUNCTION("""COMPUTED_VALUE"""),"- Клуб пробуждения Друзья (2 уровень) - 1 месяц")</f>
        <v>- Клуб пробуждения Друзья (2 уровень) - 1 месяц</v>
      </c>
      <c r="G418" s="1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>
      <c r="A419" s="14" t="str">
        <f ca="1">IFERROR(__xludf.DUMMYFUNCTION("""COMPUTED_VALUE"""),"Наталья Бренер")</f>
        <v>Наталья Бренер</v>
      </c>
      <c r="B419" s="14" t="str">
        <f ca="1">IFERROR(__xludf.DUMMYFUNCTION("""COMPUTED_VALUE"""),"Brener0204@mail.ru")</f>
        <v>Brener0204@mail.ru</v>
      </c>
      <c r="C419" s="15" t="str">
        <f ca="1">IFERROR(__xludf.DUMMYFUNCTION("""COMPUTED_VALUE"""),"79276962637")</f>
        <v>79276962637</v>
      </c>
      <c r="D419" s="15" t="str">
        <f ca="1">IFERROR(__xludf.DUMMYFUNCTION("""COMPUTED_VALUE"""),"Россия ")</f>
        <v xml:space="preserve">Россия </v>
      </c>
      <c r="E419" s="14"/>
      <c r="F419" s="8" t="str">
        <f ca="1">IFERROR(__xludf.DUMMYFUNCTION("""COMPUTED_VALUE"""),"- Тишина Челлендж (бесплатная часть)")</f>
        <v>- Тишина Челлендж (бесплатная часть)</v>
      </c>
      <c r="G419" s="1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>
      <c r="A420" s="14" t="str">
        <f ca="1">IFERROR(__xludf.DUMMYFUNCTION("""COMPUTED_VALUE"""),"Briana Dzhiekson")</f>
        <v>Briana Dzhiekson</v>
      </c>
      <c r="B420" s="14" t="str">
        <f ca="1">IFERROR(__xludf.DUMMYFUNCTION("""COMPUTED_VALUE"""),"briana.dzhiekson.90@inbox.ru")</f>
        <v>briana.dzhiekson.90@inbox.ru</v>
      </c>
      <c r="C420" s="15" t="str">
        <f ca="1">IFERROR(__xludf.DUMMYFUNCTION("""COMPUTED_VALUE"""),", 936522808")</f>
        <v>, 936522808</v>
      </c>
      <c r="D420" s="15" t="str">
        <f ca="1">IFERROR(__xludf.DUMMYFUNCTION("""COMPUTED_VALUE"""),"Казахстан ")</f>
        <v xml:space="preserve">Казахстан </v>
      </c>
      <c r="E420" s="14"/>
      <c r="F420" s="8" t="str">
        <f ca="1">IFERROR(__xludf.DUMMYFUNCTION("""COMPUTED_VALUE"""),"Мероприятий не обнаружено")</f>
        <v>Мероприятий не обнаружено</v>
      </c>
      <c r="G420" s="1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>
      <c r="A421" s="14" t="str">
        <f ca="1">IFERROR(__xludf.DUMMYFUNCTION("""COMPUTED_VALUE"""),"Таисия Ван")</f>
        <v>Таисия Ван</v>
      </c>
      <c r="B421" s="14" t="str">
        <f ca="1">IFERROR(__xludf.DUMMYFUNCTION("""COMPUTED_VALUE"""),"Broudi97@mail.ru")</f>
        <v>Broudi97@mail.ru</v>
      </c>
      <c r="C421" s="15" t="str">
        <f ca="1">IFERROR(__xludf.DUMMYFUNCTION("""COMPUTED_VALUE"""),"79042945702")</f>
        <v>79042945702</v>
      </c>
      <c r="D421" s="15" t="str">
        <f ca="1">IFERROR(__xludf.DUMMYFUNCTION("""COMPUTED_VALUE"""),"Россия")</f>
        <v>Россия</v>
      </c>
      <c r="E421" s="14"/>
      <c r="F421" s="8" t="str">
        <f ca="1">IFERROR(__xludf.DUMMYFUNCTION("""COMPUTED_VALUE"""),"- Вебинар все о ретрите 12.2.2022")</f>
        <v>- Вебинар все о ретрите 12.2.2022</v>
      </c>
      <c r="G421" s="1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>
      <c r="A422" s="14" t="str">
        <f ca="1">IFERROR(__xludf.DUMMYFUNCTION("""COMPUTED_VALUE"""),"Elena KORYAKOVA")</f>
        <v>Elena KORYAKOVA</v>
      </c>
      <c r="B422" s="14" t="str">
        <f ca="1">IFERROR(__xludf.DUMMYFUNCTION("""COMPUTED_VALUE"""),"bu2307@mail.ru")</f>
        <v>bu2307@mail.ru</v>
      </c>
      <c r="C422" s="15" t="str">
        <f ca="1">IFERROR(__xludf.DUMMYFUNCTION("""COMPUTED_VALUE"""),", 79850448430")</f>
        <v>, 79850448430</v>
      </c>
      <c r="D422" s="15" t="str">
        <f ca="1">IFERROR(__xludf.DUMMYFUNCTION("""COMPUTED_VALUE"""),"Россия")</f>
        <v>Россия</v>
      </c>
      <c r="E422" s="14"/>
      <c r="F422" s="8" t="str">
        <f ca="1">IFERROR(__xludf.DUMMYFUNCTION("""COMPUTED_VALUE"""),"Мероприятий не обнаружено")</f>
        <v>Мероприятий не обнаружено</v>
      </c>
      <c r="G422" s="1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63.75">
      <c r="A423" s="14" t="str">
        <f ca="1">IFERROR(__xludf.DUMMYFUNCTION("""COMPUTED_VALUE"""),"Ильдар Булатов")</f>
        <v>Ильдар Булатов</v>
      </c>
      <c r="B423" s="14" t="str">
        <f ca="1">IFERROR(__xludf.DUMMYFUNCTION("""COMPUTED_VALUE"""),"bulatov@givinschool.org")</f>
        <v>bulatov@givinschool.org</v>
      </c>
      <c r="C423" s="15" t="str">
        <f ca="1">IFERROR(__xludf.DUMMYFUNCTION("""COMPUTED_VALUE"""),"79774294072")</f>
        <v>79774294072</v>
      </c>
      <c r="D423" s="15" t="str">
        <f ca="1">IFERROR(__xludf.DUMMYFUNCTION("""COMPUTED_VALUE"""),"Россия")</f>
        <v>Россия</v>
      </c>
      <c r="E423" s="14" t="str">
        <f ca="1">IFERROR(__xludf.DUMMYFUNCTION("""COMPUTED_VALUE"""),"Ildar_Bulatov")</f>
        <v>Ildar_Bulatov</v>
      </c>
      <c r="F423" s="8" t="str">
        <f ca="1">IFERROR(__xludf.DUMMYFUNCTION("""COMPUTED_VALUE"""),"- КОНСПЕКТИРОВАНИЕ лекций ГЕНАДИЯ - Декабрь ""21
- КОНСПЕКТИРОВАНИЕ лекций ГЕНАДИЯ - Январь""22
- КОНСПЕКТИРОВАНИЕ лекций ГЕНАДИЯ - Февраль ""22
- КОНСПЕКТИРОВАНИЕ лекций ГЕНАДИЯ - Март ""22
- КОНСПЕКТИРОВАНИЕ лекций ГЕНАДИЯ - Апрель ""22")</f>
        <v>- КОНСПЕКТИРОВАНИЕ лекций ГЕНАДИЯ - Декабрь "21
- КОНСПЕКТИРОВАНИЕ лекций ГЕНАДИЯ - Январь"22
- КОНСПЕКТИРОВАНИЕ лекций ГЕНАДИЯ - Февраль "22
- КОНСПЕКТИРОВАНИЕ лекций ГЕНАДИЯ - Март "22
- КОНСПЕКТИРОВАНИЕ лекций ГЕНАДИЯ - Апрель "22</v>
      </c>
      <c r="G423" s="1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>
      <c r="A424" s="14" t="str">
        <f ca="1">IFERROR(__xludf.DUMMYFUNCTION("""COMPUTED_VALUE"""),"Артём Бурченко")</f>
        <v>Артём Бурченко</v>
      </c>
      <c r="B424" s="14" t="str">
        <f ca="1">IFERROR(__xludf.DUMMYFUNCTION("""COMPUTED_VALUE"""),"burcenkoartem4@gmail.com")</f>
        <v>burcenkoartem4@gmail.com</v>
      </c>
      <c r="C424" s="15" t="str">
        <f ca="1">IFERROR(__xludf.DUMMYFUNCTION("""COMPUTED_VALUE"""),"0714534093")</f>
        <v>0714534093</v>
      </c>
      <c r="D424" s="15" t="str">
        <f ca="1">IFERROR(__xludf.DUMMYFUNCTION("""COMPUTED_VALUE"""),"Украина")</f>
        <v>Украина</v>
      </c>
      <c r="E424" s="14"/>
      <c r="F424" s="8" t="str">
        <f ca="1">IFERROR(__xludf.DUMMYFUNCTION("""COMPUTED_VALUE"""),"- Друзья. Базовый уровень (ежемесячная платная подписка) ")</f>
        <v xml:space="preserve">- Друзья. Базовый уровень (ежемесячная платная подписка) </v>
      </c>
      <c r="G424" s="1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>
      <c r="A425" s="14" t="str">
        <f ca="1">IFERROR(__xludf.DUMMYFUNCTION("""COMPUTED_VALUE"""),"Наталья Буталова")</f>
        <v>Наталья Буталова</v>
      </c>
      <c r="B425" s="14" t="str">
        <f ca="1">IFERROR(__xludf.DUMMYFUNCTION("""COMPUTED_VALUE"""),"butavova@yandex.ru")</f>
        <v>butavova@yandex.ru</v>
      </c>
      <c r="C425" s="15" t="str">
        <f ca="1">IFERROR(__xludf.DUMMYFUNCTION("""COMPUTED_VALUE"""),", +818042769555")</f>
        <v>, +818042769555</v>
      </c>
      <c r="D425" s="15" t="str">
        <f ca="1">IFERROR(__xludf.DUMMYFUNCTION("""COMPUTED_VALUE"""),"Япония")</f>
        <v>Япония</v>
      </c>
      <c r="E425" s="14" t="str">
        <f ca="1">IFERROR(__xludf.DUMMYFUNCTION("""COMPUTED_VALUE"""),"@Natalia Kabashima ")</f>
        <v xml:space="preserve">@Natalia Kabashima </v>
      </c>
      <c r="F425" s="8" t="str">
        <f ca="1">IFERROR(__xludf.DUMMYFUNCTION("""COMPUTED_VALUE"""),"Мероприятий не обнаружено")</f>
        <v>Мероприятий не обнаружено</v>
      </c>
      <c r="G425" s="1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5.5">
      <c r="A426" s="14" t="str">
        <f ca="1">IFERROR(__xludf.DUMMYFUNCTION("""COMPUTED_VALUE"""),"Рамиля Набиева")</f>
        <v>Рамиля Набиева</v>
      </c>
      <c r="B426" s="14" t="str">
        <f ca="1">IFERROR(__xludf.DUMMYFUNCTION("""COMPUTED_VALUE"""),"byayaka91@gmail.com")</f>
        <v>byayaka91@gmail.com</v>
      </c>
      <c r="C426" s="15" t="str">
        <f ca="1">IFERROR(__xludf.DUMMYFUNCTION("""COMPUTED_VALUE"""),"+998909259354")</f>
        <v>+998909259354</v>
      </c>
      <c r="D426" s="15"/>
      <c r="E426" s="14"/>
      <c r="F42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426" s="1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5.5">
      <c r="A427" s="14" t="str">
        <f ca="1">IFERROR(__xludf.DUMMYFUNCTION("""COMPUTED_VALUE"""),"Елена Царькова")</f>
        <v>Елена Царькова</v>
      </c>
      <c r="B427" s="14" t="str">
        <f ca="1">IFERROR(__xludf.DUMMYFUNCTION("""COMPUTED_VALUE"""),"Carek-1@mail.ru")</f>
        <v>Carek-1@mail.ru</v>
      </c>
      <c r="C427" s="15" t="str">
        <f ca="1">IFERROR(__xludf.DUMMYFUNCTION("""COMPUTED_VALUE"""),"+998996054537")</f>
        <v>+998996054537</v>
      </c>
      <c r="D427" s="15"/>
      <c r="E427" s="14"/>
      <c r="F42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427" s="1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5.5">
      <c r="A428" s="14" t="str">
        <f ca="1">IFERROR(__xludf.DUMMYFUNCTION("""COMPUTED_VALUE"""),"Карлыгаш Атыханова")</f>
        <v>Карлыгаш Атыханова</v>
      </c>
      <c r="B428" s="14" t="str">
        <f ca="1">IFERROR(__xludf.DUMMYFUNCTION("""COMPUTED_VALUE"""),"carla_a@mail.ru")</f>
        <v>carla_a@mail.ru</v>
      </c>
      <c r="C428" s="15" t="str">
        <f ca="1">IFERROR(__xludf.DUMMYFUNCTION("""COMPUTED_VALUE"""),"77017290594")</f>
        <v>77017290594</v>
      </c>
      <c r="D428" s="15"/>
      <c r="E428" s="14"/>
      <c r="F42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428" s="1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>
      <c r="A429" s="14" t="str">
        <f ca="1">IFERROR(__xludf.DUMMYFUNCTION("""COMPUTED_VALUE"""),"Екатерина Сыроежкина")</f>
        <v>Екатерина Сыроежкина</v>
      </c>
      <c r="B429" s="14" t="str">
        <f ca="1">IFERROR(__xludf.DUMMYFUNCTION("""COMPUTED_VALUE"""),"catta@tut.by")</f>
        <v>catta@tut.by</v>
      </c>
      <c r="C429" s="15" t="str">
        <f ca="1">IFERROR(__xludf.DUMMYFUNCTION("""COMPUTED_VALUE"""),"+375292531466")</f>
        <v>+375292531466</v>
      </c>
      <c r="D429" s="15" t="str">
        <f ca="1">IFERROR(__xludf.DUMMYFUNCTION("""COMPUTED_VALUE"""),"Беларусь")</f>
        <v>Беларусь</v>
      </c>
      <c r="E429" s="14"/>
      <c r="F429" s="8" t="str">
        <f ca="1">IFERROR(__xludf.DUMMYFUNCTION("""COMPUTED_VALUE"""),"- Чайная встреча Разговор по душам Минск 12.03.2022")</f>
        <v>- Чайная встреча Разговор по душам Минск 12.03.2022</v>
      </c>
      <c r="G429" s="1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>
      <c r="A430" s="14" t="str">
        <f ca="1">IFERROR(__xludf.DUMMYFUNCTION("""COMPUTED_VALUE"""),"Celina Vesely")</f>
        <v>Celina Vesely</v>
      </c>
      <c r="B430" s="14" t="str">
        <f ca="1">IFERROR(__xludf.DUMMYFUNCTION("""COMPUTED_VALUE"""),"Celina.vesely@chello.at")</f>
        <v>Celina.vesely@chello.at</v>
      </c>
      <c r="C430" s="15" t="str">
        <f ca="1">IFERROR(__xludf.DUMMYFUNCTION("""COMPUTED_VALUE"""),"43664511")</f>
        <v>43664511</v>
      </c>
      <c r="D430" s="15"/>
      <c r="E430" s="14"/>
      <c r="F430" s="8" t="str">
        <f ca="1">IFERROR(__xludf.DUMMYFUNCTION("""COMPUTED_VALUE"""),"- Онлайн курс Шаг к Пробуждению №14 4-14.12.2021 DEU")</f>
        <v>- Онлайн курс Шаг к Пробуждению №14 4-14.12.2021 DEU</v>
      </c>
      <c r="G430" s="1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5.5">
      <c r="A431" s="14" t="str">
        <f ca="1">IFERROR(__xludf.DUMMYFUNCTION("""COMPUTED_VALUE"""),"Элла Киселева")</f>
        <v>Элла Киселева</v>
      </c>
      <c r="B431" s="14" t="str">
        <f ca="1">IFERROR(__xludf.DUMMYFUNCTION("""COMPUTED_VALUE"""),"centr-2005@list.ru")</f>
        <v>centr-2005@list.ru</v>
      </c>
      <c r="C431" s="15" t="str">
        <f ca="1">IFERROR(__xludf.DUMMYFUNCTION("""COMPUTED_VALUE"""),"79637733373")</f>
        <v>79637733373</v>
      </c>
      <c r="D431" s="15" t="str">
        <f ca="1">IFERROR(__xludf.DUMMYFUNCTION("""COMPUTED_VALUE"""),"Россия")</f>
        <v>Россия</v>
      </c>
      <c r="E431" s="14"/>
      <c r="F431" s="8" t="str">
        <f ca="1">IFERROR(__xludf.DUMMYFUNCTION("""COMPUTED_VALUE"""),"- Онлайн курс Шаг к Пробуждению №17 29.03-16.4.22 Пакет ""Проводники света""")</f>
        <v>- Онлайн курс Шаг к Пробуждению №17 29.03-16.4.22 Пакет "Проводники света"</v>
      </c>
      <c r="G431" s="1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>
      <c r="A432" s="14" t="str">
        <f ca="1">IFERROR(__xludf.DUMMYFUNCTION("""COMPUTED_VALUE"""),"yulia chaikoffskaya")</f>
        <v>yulia chaikoffskaya</v>
      </c>
      <c r="B432" s="14" t="str">
        <f ca="1">IFERROR(__xludf.DUMMYFUNCTION("""COMPUTED_VALUE"""),"chaikoffskaya@gmail.com")</f>
        <v>chaikoffskaya@gmail.com</v>
      </c>
      <c r="C432" s="15" t="str">
        <f ca="1">IFERROR(__xludf.DUMMYFUNCTION("""COMPUTED_VALUE"""),"+375291875979")</f>
        <v>+375291875979</v>
      </c>
      <c r="D432" s="15" t="str">
        <f ca="1">IFERROR(__xludf.DUMMYFUNCTION("""COMPUTED_VALUE"""),"Беларусь")</f>
        <v>Беларусь</v>
      </c>
      <c r="E432" s="14"/>
      <c r="F432" s="8" t="str">
        <f ca="1">IFERROR(__xludf.DUMMYFUNCTION("""COMPUTED_VALUE"""),"- Чайная встреча в Минске 8.1.22")</f>
        <v>- Чайная встреча в Минске 8.1.22</v>
      </c>
      <c r="G432" s="1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5.5">
      <c r="A433" s="14" t="str">
        <f ca="1">IFERROR(__xludf.DUMMYFUNCTION("""COMPUTED_VALUE"""),"Шахноза ФОЗИЛОВА")</f>
        <v>Шахноза ФОЗИЛОВА</v>
      </c>
      <c r="B433" s="14" t="str">
        <f ca="1">IFERROR(__xludf.DUMMYFUNCTION("""COMPUTED_VALUE"""),"chaqmoqyomgir@gmail.com")</f>
        <v>chaqmoqyomgir@gmail.com</v>
      </c>
      <c r="C433" s="15" t="str">
        <f ca="1">IFERROR(__xludf.DUMMYFUNCTION("""COMPUTED_VALUE"""),"+998997404369")</f>
        <v>+998997404369</v>
      </c>
      <c r="D433" s="15"/>
      <c r="E433" s="14"/>
      <c r="F43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433" s="1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5.5">
      <c r="A434" s="14" t="str">
        <f ca="1">IFERROR(__xludf.DUMMYFUNCTION("""COMPUTED_VALUE"""),"Чебакова Алина")</f>
        <v>Чебакова Алина</v>
      </c>
      <c r="B434" s="14" t="str">
        <f ca="1">IFERROR(__xludf.DUMMYFUNCTION("""COMPUTED_VALUE"""),"Chebakova.alinka@mail.ru")</f>
        <v>Chebakova.alinka@mail.ru</v>
      </c>
      <c r="C434" s="15" t="str">
        <f ca="1">IFERROR(__xludf.DUMMYFUNCTION("""COMPUTED_VALUE"""),"+998998592509")</f>
        <v>+998998592509</v>
      </c>
      <c r="D434" s="15" t="str">
        <f ca="1">IFERROR(__xludf.DUMMYFUNCTION("""COMPUTED_VALUE"""),"Германия")</f>
        <v>Германия</v>
      </c>
      <c r="E434" s="14"/>
      <c r="F43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434" s="1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>
      <c r="A435" s="14" t="str">
        <f ca="1">IFERROR(__xludf.DUMMYFUNCTION("""COMPUTED_VALUE"""),"Дарья Чегодарь")</f>
        <v>Дарья Чегодарь</v>
      </c>
      <c r="B435" s="14" t="str">
        <f ca="1">IFERROR(__xludf.DUMMYFUNCTION("""COMPUTED_VALUE"""),"Chegodar.d@yandex.ru")</f>
        <v>Chegodar.d@yandex.ru</v>
      </c>
      <c r="C435" s="15" t="str">
        <f ca="1">IFERROR(__xludf.DUMMYFUNCTION("""COMPUTED_VALUE"""),"+79199900106")</f>
        <v>+79199900106</v>
      </c>
      <c r="D435" s="15" t="str">
        <f ca="1">IFERROR(__xludf.DUMMYFUNCTION("""COMPUTED_VALUE"""),"Россия")</f>
        <v>Россия</v>
      </c>
      <c r="E435" s="14"/>
      <c r="F435" s="8" t="str">
        <f ca="1">IFERROR(__xludf.DUMMYFUNCTION("""COMPUTED_VALUE"""),"- Однодневный ретрит Россия 14 мая 2022")</f>
        <v>- Однодневный ретрит Россия 14 мая 2022</v>
      </c>
      <c r="G435" s="1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5.5">
      <c r="A436" s="14" t="str">
        <f ca="1">IFERROR(__xludf.DUMMYFUNCTION("""COMPUTED_VALUE"""),"валентина Балакина")</f>
        <v>валентина Балакина</v>
      </c>
      <c r="B436" s="14" t="str">
        <f ca="1">IFERROR(__xludf.DUMMYFUNCTION("""COMPUTED_VALUE"""),"chelmira48@mail.ru")</f>
        <v>chelmira48@mail.ru</v>
      </c>
      <c r="C436" s="15" t="str">
        <f ca="1">IFERROR(__xludf.DUMMYFUNCTION("""COMPUTED_VALUE"""),"+79133986053")</f>
        <v>+79133986053</v>
      </c>
      <c r="D436" s="15" t="str">
        <f ca="1">IFERROR(__xludf.DUMMYFUNCTION("""COMPUTED_VALUE"""),"Россия")</f>
        <v>Россия</v>
      </c>
      <c r="E436" s="14"/>
      <c r="F436" s="8" t="str">
        <f ca="1">IFERROR(__xludf.DUMMYFUNCTION("""COMPUTED_VALUE"""),"- Вебинар с Никитой Бородулиным 11.02.2022 часть1
- Вебинар все о ретрите 12.2.2022")</f>
        <v>- Вебинар с Никитой Бородулиным 11.02.2022 часть1
- Вебинар все о ретрите 12.2.2022</v>
      </c>
      <c r="G436" s="1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>
      <c r="A437" s="14" t="str">
        <f ca="1">IFERROR(__xludf.DUMMYFUNCTION("""COMPUTED_VALUE"""),"chepkasova.eo,  ")</f>
        <v xml:space="preserve">chepkasova.eo,  </v>
      </c>
      <c r="B437" s="14" t="str">
        <f ca="1">IFERROR(__xludf.DUMMYFUNCTION("""COMPUTED_VALUE"""),"chepkasova.eo@gmail.com")</f>
        <v>chepkasova.eo@gmail.com</v>
      </c>
      <c r="C437" s="15"/>
      <c r="D437" s="15"/>
      <c r="E437" s="14"/>
      <c r="F437" s="8" t="str">
        <f ca="1">IFERROR(__xludf.DUMMYFUNCTION("""COMPUTED_VALUE"""),"- USA Челлендж Тишина")</f>
        <v>- USA Челлендж Тишина</v>
      </c>
      <c r="G437" s="1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>
      <c r="A438" s="14" t="str">
        <f ca="1">IFERROR(__xludf.DUMMYFUNCTION("""COMPUTED_VALUE"""),"Ольга Чернета")</f>
        <v>Ольга Чернета</v>
      </c>
      <c r="B438" s="14" t="str">
        <f ca="1">IFERROR(__xludf.DUMMYFUNCTION("""COMPUTED_VALUE"""),"Cherneta_oa@tut.by")</f>
        <v>Cherneta_oa@tut.by</v>
      </c>
      <c r="C438" s="15" t="str">
        <f ca="1">IFERROR(__xludf.DUMMYFUNCTION("""COMPUTED_VALUE"""),"+375291529625")</f>
        <v>+375291529625</v>
      </c>
      <c r="D438" s="15" t="str">
        <f ca="1">IFERROR(__xludf.DUMMYFUNCTION("""COMPUTED_VALUE"""),"Беларусь")</f>
        <v>Беларусь</v>
      </c>
      <c r="E438" s="14"/>
      <c r="F438" s="8" t="str">
        <f ca="1">IFERROR(__xludf.DUMMYFUNCTION("""COMPUTED_VALUE"""),"- Чайная встреча Разговор по душам Минск 9.04.2022")</f>
        <v>- Чайная встреча Разговор по душам Минск 9.04.2022</v>
      </c>
      <c r="G438" s="1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>
      <c r="A439" s="14" t="str">
        <f ca="1">IFERROR(__xludf.DUMMYFUNCTION("""COMPUTED_VALUE"""),"Анара Абдильденова")</f>
        <v>Анара Абдильденова</v>
      </c>
      <c r="B439" s="14" t="str">
        <f ca="1">IFERROR(__xludf.DUMMYFUNCTION("""COMPUTED_VALUE"""),"Chocolate-garnet@bk.ru")</f>
        <v>Chocolate-garnet@bk.ru</v>
      </c>
      <c r="C439" s="15"/>
      <c r="D439" s="15" t="str">
        <f ca="1">IFERROR(__xludf.DUMMYFUNCTION("""COMPUTED_VALUE"""),"Казахстан")</f>
        <v>Казахстан</v>
      </c>
      <c r="E439" s="14"/>
      <c r="F439" s="8" t="str">
        <f ca="1">IFERROR(__xludf.DUMMYFUNCTION("""COMPUTED_VALUE"""),"- Тишина Челлендж (бесплатная часть)")</f>
        <v>- Тишина Челлендж (бесплатная часть)</v>
      </c>
      <c r="G439" s="1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>
      <c r="A440" s="14" t="str">
        <f ca="1">IFERROR(__xludf.DUMMYFUNCTION("""COMPUTED_VALUE"""),"Aleksandar Rangelov")</f>
        <v>Aleksandar Rangelov</v>
      </c>
      <c r="B440" s="14" t="str">
        <f ca="1">IFERROR(__xludf.DUMMYFUNCTION("""COMPUTED_VALUE"""),"christo_ks@yahoo.com")</f>
        <v>christo_ks@yahoo.com</v>
      </c>
      <c r="C440" s="15" t="str">
        <f ca="1">IFERROR(__xludf.DUMMYFUNCTION("""COMPUTED_VALUE"""),"+359896408588")</f>
        <v>+359896408588</v>
      </c>
      <c r="D440" s="15" t="str">
        <f ca="1">IFERROR(__xludf.DUMMYFUNCTION("""COMPUTED_VALUE"""),"Болгария")</f>
        <v>Болгария</v>
      </c>
      <c r="E440" s="14"/>
      <c r="F440" s="8" t="str">
        <f ca="1">IFERROR(__xludf.DUMMYFUNCTION("""COMPUTED_VALUE"""),"- Ретрит в Германии 30 апреля-7 мая 2022")</f>
        <v>- Ретрит в Германии 30 апреля-7 мая 2022</v>
      </c>
      <c r="G440" s="1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>
      <c r="A441" s="14" t="str">
        <f ca="1">IFERROR(__xludf.DUMMYFUNCTION("""COMPUTED_VALUE"""),"Di Taimas")</f>
        <v>Di Taimas</v>
      </c>
      <c r="B441" s="14" t="str">
        <f ca="1">IFERROR(__xludf.DUMMYFUNCTION("""COMPUTED_VALUE"""),"Chsherbadiana@gmail.com")</f>
        <v>Chsherbadiana@gmail.com</v>
      </c>
      <c r="C441" s="15"/>
      <c r="D441" s="15" t="str">
        <f ca="1">IFERROR(__xludf.DUMMYFUNCTION("""COMPUTED_VALUE"""),"Грузия")</f>
        <v>Грузия</v>
      </c>
      <c r="E441" s="14"/>
      <c r="F441" s="8" t="str">
        <f ca="1">IFERROR(__xludf.DUMMYFUNCTION("""COMPUTED_VALUE"""),"- Тишина Челлендж (бесплатная часть)")</f>
        <v>- Тишина Челлендж (бесплатная часть)</v>
      </c>
      <c r="G441" s="1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38.25">
      <c r="A442" s="14" t="str">
        <f ca="1">IFERROR(__xludf.DUMMYFUNCTION("""COMPUTED_VALUE"""),"Анна Сизова")</f>
        <v>Анна Сизова</v>
      </c>
      <c r="B442" s="14" t="str">
        <f ca="1">IFERROR(__xludf.DUMMYFUNCTION("""COMPUTED_VALUE"""),"chutaanchuta@mail.ru")</f>
        <v>chutaanchuta@mail.ru</v>
      </c>
      <c r="C442" s="15" t="str">
        <f ca="1">IFERROR(__xludf.DUMMYFUNCTION("""COMPUTED_VALUE"""),"+79145417458")</f>
        <v>+79145417458</v>
      </c>
      <c r="D442" s="15" t="str">
        <f ca="1">IFERROR(__xludf.DUMMYFUNCTION("""COMPUTED_VALUE"""),"Россия")</f>
        <v>Россия</v>
      </c>
      <c r="E442" s="17" t="str">
        <f ca="1">IFERROR(__xludf.DUMMYFUNCTION("""COMPUTED_VALUE"""),"https://t.me/Anna_Sizova_Photo")</f>
        <v>https://t.me/Anna_Sizova_Photo</v>
      </c>
      <c r="F442" s="8" t="str">
        <f ca="1">IFERROR(__xludf.DUMMYFUNCTION("""COMPUTED_VALUE"""),"- Онлайн Интенсив Дальний Восток 25-27.02.2022 
- Чайная встреча - Сочи-Хабаровск 19.2.2022
- Онлайн Интенсив Дальний Восток 25-27.03.2022 ")</f>
        <v xml:space="preserve">- Онлайн Интенсив Дальний Восток 25-27.02.2022 
- Чайная встреча - Сочи-Хабаровск 19.2.2022
- Онлайн Интенсив Дальний Восток 25-27.03.2022 </v>
      </c>
      <c r="G442" s="1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5.5">
      <c r="A443" s="14" t="str">
        <f ca="1">IFERROR(__xludf.DUMMYFUNCTION("""COMPUTED_VALUE"""),"Анастасия  Доценко, Анастасия Доценко")</f>
        <v>Анастасия  Доценко, Анастасия Доценко</v>
      </c>
      <c r="B443" s="14" t="str">
        <f ca="1">IFERROR(__xludf.DUMMYFUNCTION("""COMPUTED_VALUE"""),"Ciaobellaxz@yahoo.com")</f>
        <v>Ciaobellaxz@yahoo.com</v>
      </c>
      <c r="C443" s="15" t="str">
        <f ca="1">IFERROR(__xludf.DUMMYFUNCTION("""COMPUTED_VALUE"""),"79897704789")</f>
        <v>79897704789</v>
      </c>
      <c r="D443" s="15" t="str">
        <f ca="1">IFERROR(__xludf.DUMMYFUNCTION("""COMPUTED_VALUE"""),"Россия")</f>
        <v>Россия</v>
      </c>
      <c r="E443" s="14" t="str">
        <f ca="1">IFERROR(__xludf.DUMMYFUNCTION("""COMPUTED_VALUE"""),"Nastenka1106")</f>
        <v>Nastenka1106</v>
      </c>
      <c r="F443" s="8" t="str">
        <f ca="1">IFERROR(__xludf.DUMMYFUNCTION("""COMPUTED_VALUE"""),"- Клуб пробуждения Друзья (2 уровень) - 1 месяц
- Вебинар все о ретрите 12.2.2022")</f>
        <v>- Клуб пробуждения Друзья (2 уровень) - 1 месяц
- Вебинар все о ретрите 12.2.2022</v>
      </c>
      <c r="G443" s="1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>
      <c r="A444" s="14" t="str">
        <f ca="1">IFERROR(__xludf.DUMMYFUNCTION("""COMPUTED_VALUE"""),"Rafael Sibgatulin")</f>
        <v>Rafael Sibgatulin</v>
      </c>
      <c r="B444" s="14" t="str">
        <f ca="1">IFERROR(__xludf.DUMMYFUNCTION("""COMPUTED_VALUE"""),"cibgatulin@mail.ru")</f>
        <v>cibgatulin@mail.ru</v>
      </c>
      <c r="C444" s="15" t="str">
        <f ca="1">IFERROR(__xludf.DUMMYFUNCTION("""COMPUTED_VALUE"""),", +998903263852")</f>
        <v>, +998903263852</v>
      </c>
      <c r="D444" s="15"/>
      <c r="E444" s="14"/>
      <c r="F444" s="8" t="str">
        <f ca="1">IFERROR(__xludf.DUMMYFUNCTION("""COMPUTED_VALUE"""),"Мероприятий не обнаружено")</f>
        <v>Мероприятий не обнаружено</v>
      </c>
      <c r="G444" s="1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>
      <c r="A445" s="14" t="str">
        <f ca="1">IFERROR(__xludf.DUMMYFUNCTION("""COMPUTED_VALUE"""),"Lidija Trusele")</f>
        <v>Lidija Trusele</v>
      </c>
      <c r="B445" s="14" t="str">
        <f ca="1">IFERROR(__xludf.DUMMYFUNCTION("""COMPUTED_VALUE"""),"circeni@inbox.lv")</f>
        <v>circeni@inbox.lv</v>
      </c>
      <c r="C445" s="15" t="str">
        <f ca="1">IFERROR(__xludf.DUMMYFUNCTION("""COMPUTED_VALUE"""),"+37129461575")</f>
        <v>+37129461575</v>
      </c>
      <c r="D445" s="15" t="str">
        <f ca="1">IFERROR(__xludf.DUMMYFUNCTION("""COMPUTED_VALUE"""),"Латвия")</f>
        <v>Латвия</v>
      </c>
      <c r="E445" s="14"/>
      <c r="F445" s="8" t="str">
        <f ca="1">IFERROR(__xludf.DUMMYFUNCTION("""COMPUTED_VALUE"""),"- Онлайн Интенсив 29-30 января 2022 Европа")</f>
        <v>- Онлайн Интенсив 29-30 января 2022 Европа</v>
      </c>
      <c r="G445" s="1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>
      <c r="A446" s="14" t="str">
        <f ca="1">IFERROR(__xludf.DUMMYFUNCTION("""COMPUTED_VALUE"""),"saboxat juraeva")</f>
        <v>saboxat juraeva</v>
      </c>
      <c r="B446" s="14" t="str">
        <f ca="1">IFERROR(__xludf.DUMMYFUNCTION("""COMPUTED_VALUE"""),"cklovekpauk@gmail.com")</f>
        <v>cklovekpauk@gmail.com</v>
      </c>
      <c r="C446" s="15"/>
      <c r="D446" s="15" t="str">
        <f ca="1">IFERROR(__xludf.DUMMYFUNCTION("""COMPUTED_VALUE"""),"Узбекистан")</f>
        <v>Узбекистан</v>
      </c>
      <c r="E446" s="14"/>
      <c r="F446" s="8" t="str">
        <f ca="1">IFERROR(__xludf.DUMMYFUNCTION("""COMPUTED_VALUE"""),"- Тишина Челлендж (бесплатная часть)")</f>
        <v>- Тишина Челлендж (бесплатная часть)</v>
      </c>
      <c r="G446" s="1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>
      <c r="A447" s="14" t="str">
        <f ca="1">IFERROR(__xludf.DUMMYFUNCTION("""COMPUTED_VALUE"""),"cn1900,  ")</f>
        <v xml:space="preserve">cn1900,  </v>
      </c>
      <c r="B447" s="14" t="str">
        <f ca="1">IFERROR(__xludf.DUMMYFUNCTION("""COMPUTED_VALUE"""),"cn1900@mail.ru")</f>
        <v>cn1900@mail.ru</v>
      </c>
      <c r="C447" s="15"/>
      <c r="D447" s="15" t="str">
        <f ca="1">IFERROR(__xludf.DUMMYFUNCTION("""COMPUTED_VALUE"""),"США")</f>
        <v>США</v>
      </c>
      <c r="E447" s="14"/>
      <c r="F447" s="8" t="str">
        <f ca="1">IFERROR(__xludf.DUMMYFUNCTION("""COMPUTED_VALUE"""),"- Базовая бесплатная часть")</f>
        <v>- Базовая бесплатная часть</v>
      </c>
      <c r="G447" s="1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>
      <c r="A448" s="14" t="str">
        <f ca="1">IFERROR(__xludf.DUMMYFUNCTION("""COMPUTED_VALUE"""),"Наталья Завадская")</f>
        <v>Наталья Завадская</v>
      </c>
      <c r="B448" s="14" t="str">
        <f ca="1">IFERROR(__xludf.DUMMYFUNCTION("""COMPUTED_VALUE"""),"coffee-tree.nz@docomo.ne.jp")</f>
        <v>coffee-tree.nz@docomo.ne.jp</v>
      </c>
      <c r="C448" s="15" t="str">
        <f ca="1">IFERROR(__xludf.DUMMYFUNCTION("""COMPUTED_VALUE"""),"818069628318")</f>
        <v>818069628318</v>
      </c>
      <c r="D448" s="15" t="str">
        <f ca="1">IFERROR(__xludf.DUMMYFUNCTION("""COMPUTED_VALUE"""),"Япония")</f>
        <v>Япония</v>
      </c>
      <c r="E448" s="14"/>
      <c r="F448" s="8" t="str">
        <f ca="1">IFERROR(__xludf.DUMMYFUNCTION("""COMPUTED_VALUE"""),"- Вводный вебинар 3.5.22 на Шаг к Пробуждению")</f>
        <v>- Вводный вебинар 3.5.22 на Шаг к Пробуждению</v>
      </c>
      <c r="G448" s="1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>
      <c r="A449" s="14" t="str">
        <f ca="1">IFERROR(__xludf.DUMMYFUNCTION("""COMPUTED_VALUE"""),"Надежда Титаренко")</f>
        <v>Надежда Титаренко</v>
      </c>
      <c r="B449" s="14" t="str">
        <f ca="1">IFERROR(__xludf.DUMMYFUNCTION("""COMPUTED_VALUE"""),"ColeNa1@rambler.ru")</f>
        <v>ColeNa1@rambler.ru</v>
      </c>
      <c r="C449" s="15"/>
      <c r="D449" s="15" t="str">
        <f ca="1">IFERROR(__xludf.DUMMYFUNCTION("""COMPUTED_VALUE"""),"Россия")</f>
        <v>Россия</v>
      </c>
      <c r="E449" s="14"/>
      <c r="F449" s="8" t="str">
        <f ca="1">IFERROR(__xludf.DUMMYFUNCTION("""COMPUTED_VALUE"""),"- Тишина Челлендж (бесплатная часть)")</f>
        <v>- Тишина Челлендж (бесплатная часть)</v>
      </c>
      <c r="G449" s="1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>
      <c r="A450" s="14" t="str">
        <f ca="1">IFERROR(__xludf.DUMMYFUNCTION("""COMPUTED_VALUE"""),"Светлана Кононец")</f>
        <v>Светлана Кононец</v>
      </c>
      <c r="B450" s="14" t="str">
        <f ca="1">IFERROR(__xludf.DUMMYFUNCTION("""COMPUTED_VALUE"""),"con1310@yandex.ru")</f>
        <v>con1310@yandex.ru</v>
      </c>
      <c r="C450" s="15" t="str">
        <f ca="1">IFERROR(__xludf.DUMMYFUNCTION("""COMPUTED_VALUE"""),"+79522124634")</f>
        <v>+79522124634</v>
      </c>
      <c r="D450" s="15" t="str">
        <f ca="1">IFERROR(__xludf.DUMMYFUNCTION("""COMPUTED_VALUE"""),"Россия")</f>
        <v>Россия</v>
      </c>
      <c r="E450" s="14"/>
      <c r="F450" s="8" t="str">
        <f ca="1">IFERROR(__xludf.DUMMYFUNCTION("""COMPUTED_VALUE"""),"- Вебинар-батл Я уже все знаю! Мне не нужна Школа 9.01.2022")</f>
        <v>- Вебинар-батл Я уже все знаю! Мне не нужна Школа 9.01.2022</v>
      </c>
      <c r="G450" s="1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>
      <c r="A451" s="14" t="str">
        <f ca="1">IFERROR(__xludf.DUMMYFUNCTION("""COMPUTED_VALUE"""),"cucuuliana,  ")</f>
        <v xml:space="preserve">cucuuliana,  </v>
      </c>
      <c r="B451" s="14" t="str">
        <f ca="1">IFERROR(__xludf.DUMMYFUNCTION("""COMPUTED_VALUE"""),"cucuuliana@yahoo.com")</f>
        <v>cucuuliana@yahoo.com</v>
      </c>
      <c r="C451" s="15"/>
      <c r="D451" s="15"/>
      <c r="E451" s="14"/>
      <c r="F451" s="8" t="str">
        <f ca="1">IFERROR(__xludf.DUMMYFUNCTION("""COMPUTED_VALUE"""),"- USA Челлендж Тишина")</f>
        <v>- USA Челлендж Тишина</v>
      </c>
      <c r="G451" s="1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5.5">
      <c r="A452" s="14" t="str">
        <f ca="1">IFERROR(__xludf.DUMMYFUNCTION("""COMPUTED_VALUE"""),"Гулноза Магруфходжаева")</f>
        <v>Гулноза Магруфходжаева</v>
      </c>
      <c r="B452" s="14" t="str">
        <f ca="1">IFERROR(__xludf.DUMMYFUNCTION("""COMPUTED_VALUE"""),"Culnoza.26@gmail.com")</f>
        <v>Culnoza.26@gmail.com</v>
      </c>
      <c r="C452" s="15" t="str">
        <f ca="1">IFERROR(__xludf.DUMMYFUNCTION("""COMPUTED_VALUE"""),"998901888088")</f>
        <v>998901888088</v>
      </c>
      <c r="D452" s="15"/>
      <c r="E452" s="14"/>
      <c r="F45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452" s="1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>
      <c r="A453" s="14" t="str">
        <f ca="1">IFERROR(__xludf.DUMMYFUNCTION("""COMPUTED_VALUE"""),"Madina Dzlieva")</f>
        <v>Madina Dzlieva</v>
      </c>
      <c r="B453" s="14" t="str">
        <f ca="1">IFERROR(__xludf.DUMMYFUNCTION("""COMPUTED_VALUE"""),"d-madishka@yandex.ru")</f>
        <v>d-madishka@yandex.ru</v>
      </c>
      <c r="C453" s="15" t="str">
        <f ca="1">IFERROR(__xludf.DUMMYFUNCTION("""COMPUTED_VALUE"""),"674551707")</f>
        <v>674551707</v>
      </c>
      <c r="D453" s="15" t="str">
        <f ca="1">IFERROR(__xludf.DUMMYFUNCTION("""COMPUTED_VALUE"""),"Испания")</f>
        <v>Испания</v>
      </c>
      <c r="E453" s="14"/>
      <c r="F453" s="8" t="str">
        <f ca="1">IFERROR(__xludf.DUMMYFUNCTION("""COMPUTED_VALUE"""),"- Тишина Челлендж (бесплатная часть)")</f>
        <v>- Тишина Челлендж (бесплатная часть)</v>
      </c>
      <c r="G453" s="1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>
      <c r="A454" s="14" t="str">
        <f ca="1">IFERROR(__xludf.DUMMYFUNCTION("""COMPUTED_VALUE"""),"Диана Шарина")</f>
        <v>Диана Шарина</v>
      </c>
      <c r="B454" s="14" t="str">
        <f ca="1">IFERROR(__xludf.DUMMYFUNCTION("""COMPUTED_VALUE"""),"da.shkarina@bk.ru")</f>
        <v>da.shkarina@bk.ru</v>
      </c>
      <c r="C454" s="15" t="str">
        <f ca="1">IFERROR(__xludf.DUMMYFUNCTION("""COMPUTED_VALUE"""),", +79032269378")</f>
        <v>, +79032269378</v>
      </c>
      <c r="D454" s="15" t="str">
        <f ca="1">IFERROR(__xludf.DUMMYFUNCTION("""COMPUTED_VALUE"""),"Россия")</f>
        <v>Россия</v>
      </c>
      <c r="E454" s="14"/>
      <c r="F454" s="8" t="str">
        <f ca="1">IFERROR(__xludf.DUMMYFUNCTION("""COMPUTED_VALUE"""),"Мероприятий не обнаружено")</f>
        <v>Мероприятий не обнаружено</v>
      </c>
      <c r="G454" s="1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38.25">
      <c r="A455" s="14" t="str">
        <f ca="1">IFERROR(__xludf.DUMMYFUNCTION("""COMPUTED_VALUE"""),"Динара Садыкова")</f>
        <v>Динара Садыкова</v>
      </c>
      <c r="B455" s="14" t="str">
        <f ca="1">IFERROR(__xludf.DUMMYFUNCTION("""COMPUTED_VALUE"""),"da06di71@gmail.com")</f>
        <v>da06di71@gmail.com</v>
      </c>
      <c r="C455" s="15" t="str">
        <f ca="1">IFERROR(__xludf.DUMMYFUNCTION("""COMPUTED_VALUE"""),"+77072788469")</f>
        <v>+77072788469</v>
      </c>
      <c r="D455" s="15" t="str">
        <f ca="1">IFERROR(__xludf.DUMMYFUNCTION("""COMPUTED_VALUE"""),"Казахстан")</f>
        <v>Казахстан</v>
      </c>
      <c r="E455" s="14"/>
      <c r="F455" s="8" t="str">
        <f ca="1">IFERROR(__xludf.DUMMYFUNCTION("""COMPUTED_VALUE"""),"- Вебинар с Никитой Бородулиным 11.02.2022 часть1
- Вебинар все о ретрите 12.2.2022
- Вводный вебинар 3.5.22 на Шаг к Пробуждению")</f>
        <v>- Вебинар с Никитой Бородулиным 11.02.2022 часть1
- Вебинар все о ретрите 12.2.2022
- Вводный вебинар 3.5.22 на Шаг к Пробуждению</v>
      </c>
      <c r="G455" s="1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>
      <c r="A456" s="14" t="str">
        <f ca="1">IFERROR(__xludf.DUMMYFUNCTION("""COMPUTED_VALUE"""),"Сергей Дацко")</f>
        <v>Сергей Дацко</v>
      </c>
      <c r="B456" s="14" t="str">
        <f ca="1">IFERROR(__xludf.DUMMYFUNCTION("""COMPUTED_VALUE"""),"dackosergej14@gmail.com")</f>
        <v>dackosergej14@gmail.com</v>
      </c>
      <c r="C456" s="15" t="str">
        <f ca="1">IFERROR(__xludf.DUMMYFUNCTION("""COMPUTED_VALUE"""),"+380721901269")</f>
        <v>+380721901269</v>
      </c>
      <c r="D456" s="15" t="str">
        <f ca="1">IFERROR(__xludf.DUMMYFUNCTION("""COMPUTED_VALUE"""),"Украина")</f>
        <v>Украина</v>
      </c>
      <c r="E456" s="14"/>
      <c r="F456" s="8" t="str">
        <f ca="1">IFERROR(__xludf.DUMMYFUNCTION("""COMPUTED_VALUE"""),"- Тишина Челлендж (бесплатная часть)")</f>
        <v>- Тишина Челлендж (бесплатная часть)</v>
      </c>
      <c r="G456" s="1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>
      <c r="A457" s="14" t="str">
        <f ca="1">IFERROR(__xludf.DUMMYFUNCTION("""COMPUTED_VALUE"""),"Михаил Плискин")</f>
        <v>Михаил Плискин</v>
      </c>
      <c r="B457" s="14" t="str">
        <f ca="1">IFERROR(__xludf.DUMMYFUNCTION("""COMPUTED_VALUE"""),"daemonsireks@bk.ru")</f>
        <v>daemonsireks@bk.ru</v>
      </c>
      <c r="C457" s="15" t="str">
        <f ca="1">IFERROR(__xludf.DUMMYFUNCTION("""COMPUTED_VALUE"""),"+77057760253")</f>
        <v>+77057760253</v>
      </c>
      <c r="D457" s="15" t="str">
        <f ca="1">IFERROR(__xludf.DUMMYFUNCTION("""COMPUTED_VALUE"""),"Казахстан")</f>
        <v>Казахстан</v>
      </c>
      <c r="E457" s="14"/>
      <c r="F457" s="8" t="str">
        <f ca="1">IFERROR(__xludf.DUMMYFUNCTION("""COMPUTED_VALUE"""),"-  Курс Пробуждение. Начало.")</f>
        <v>-  Курс Пробуждение. Начало.</v>
      </c>
      <c r="G457" s="1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5.5">
      <c r="A458" s="14" t="str">
        <f ca="1">IFERROR(__xludf.DUMMYFUNCTION("""COMPUTED_VALUE"""),"Daiga Дайга Узбека")</f>
        <v>Daiga Дайга Узбека</v>
      </c>
      <c r="B458" s="14" t="str">
        <f ca="1">IFERROR(__xludf.DUMMYFUNCTION("""COMPUTED_VALUE"""),"daigauzbeka@inbox.lv")</f>
        <v>daigauzbeka@inbox.lv</v>
      </c>
      <c r="C458" s="15" t="str">
        <f ca="1">IFERROR(__xludf.DUMMYFUNCTION("""COMPUTED_VALUE"""),"37126748038")</f>
        <v>37126748038</v>
      </c>
      <c r="D458" s="15" t="str">
        <f ca="1">IFERROR(__xludf.DUMMYFUNCTION("""COMPUTED_VALUE"""),"Латвия")</f>
        <v>Латвия</v>
      </c>
      <c r="E458" s="14"/>
      <c r="F458" s="8" t="str">
        <f ca="1">IFERROR(__xludf.DUMMYFUNCTION("""COMPUTED_VALUE"""),"- Шаг к Пробуждению №5 на латышском Латвия LV 11-18 декабря 2021 года ")</f>
        <v xml:space="preserve">- Шаг к Пробуждению №5 на латышском Латвия LV 11-18 декабря 2021 года </v>
      </c>
      <c r="G458" s="1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>
      <c r="A459" s="14" t="str">
        <f ca="1">IFERROR(__xludf.DUMMYFUNCTION("""COMPUTED_VALUE"""),"Dace Ursula Akmentina")</f>
        <v>Dace Ursula Akmentina</v>
      </c>
      <c r="B459" s="14" t="str">
        <f ca="1">IFERROR(__xludf.DUMMYFUNCTION("""COMPUTED_VALUE"""),"dakmentina@inbox.lv")</f>
        <v>dakmentina@inbox.lv</v>
      </c>
      <c r="C459" s="15" t="str">
        <f ca="1">IFERROR(__xludf.DUMMYFUNCTION("""COMPUTED_VALUE"""),"37129670447")</f>
        <v>37129670447</v>
      </c>
      <c r="D459" s="15" t="str">
        <f ca="1">IFERROR(__xludf.DUMMYFUNCTION("""COMPUTED_VALUE"""),"Латвия")</f>
        <v>Латвия</v>
      </c>
      <c r="E459" s="14"/>
      <c r="F459" s="8" t="str">
        <f ca="1">IFERROR(__xludf.DUMMYFUNCTION("""COMPUTED_VALUE"""),"- Онлайн Интенсив 29-30 января 2022 Европа")</f>
        <v>- Онлайн Интенсив 29-30 января 2022 Европа</v>
      </c>
      <c r="G459" s="1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>
      <c r="A460" s="14" t="str">
        <f ca="1">IFERROR(__xludf.DUMMYFUNCTION("""COMPUTED_VALUE"""),"Aldona Juchnevičienė")</f>
        <v>Aldona Juchnevičienė</v>
      </c>
      <c r="B460" s="14" t="str">
        <f ca="1">IFERROR(__xludf.DUMMYFUNCTION("""COMPUTED_VALUE"""),"daktare.aldona@gmail.com")</f>
        <v>daktare.aldona@gmail.com</v>
      </c>
      <c r="C460" s="15" t="str">
        <f ca="1">IFERROR(__xludf.DUMMYFUNCTION("""COMPUTED_VALUE"""),"860446105")</f>
        <v>860446105</v>
      </c>
      <c r="D460" s="15" t="str">
        <f ca="1">IFERROR(__xludf.DUMMYFUNCTION("""COMPUTED_VALUE"""),"Литва")</f>
        <v>Литва</v>
      </c>
      <c r="E460" s="14"/>
      <c r="F460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460" s="1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>
      <c r="A461" s="14" t="str">
        <f ca="1">IFERROR(__xludf.DUMMYFUNCTION("""COMPUTED_VALUE"""),"dalgatova.uma,  ")</f>
        <v xml:space="preserve">dalgatova.uma,  </v>
      </c>
      <c r="B461" s="14" t="str">
        <f ca="1">IFERROR(__xludf.DUMMYFUNCTION("""COMPUTED_VALUE"""),"dalgatova.uma@yandex.ru")</f>
        <v>dalgatova.uma@yandex.ru</v>
      </c>
      <c r="C461" s="15"/>
      <c r="D461" s="15"/>
      <c r="E461" s="14"/>
      <c r="F461" s="8" t="str">
        <f ca="1">IFERROR(__xludf.DUMMYFUNCTION("""COMPUTED_VALUE"""),"- Челлендж Тишины")</f>
        <v>- Челлендж Тишины</v>
      </c>
      <c r="G461" s="1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38.25">
      <c r="A462" s="14" t="str">
        <f ca="1">IFERROR(__xludf.DUMMYFUNCTION("""COMPUTED_VALUE"""),"Dalia Vaicenaviciene")</f>
        <v>Dalia Vaicenaviciene</v>
      </c>
      <c r="B462" s="14" t="str">
        <f ca="1">IFERROR(__xludf.DUMMYFUNCTION("""COMPUTED_VALUE"""),"daluze@gmail.com")</f>
        <v>daluze@gmail.com</v>
      </c>
      <c r="C462" s="15" t="str">
        <f ca="1">IFERROR(__xludf.DUMMYFUNCTION("""COMPUTED_VALUE"""),"868253103")</f>
        <v>868253103</v>
      </c>
      <c r="D462" s="15" t="str">
        <f ca="1">IFERROR(__xludf.DUMMYFUNCTION("""COMPUTED_VALUE"""),"Литва")</f>
        <v>Литва</v>
      </c>
      <c r="E462" s="14"/>
      <c r="F462" s="8" t="str">
        <f ca="1">IFERROR(__xludf.DUMMYFUNCTION("""COMPUTED_VALUE"""),"- Вебинар с Никитой Бородулиным 11.02.2022 часть1
-  Ретрит в Латвии 19-27.03.2022
- Интенсив онлайн 11-13.03.2022 ")</f>
        <v xml:space="preserve">- Вебинар с Никитой Бородулиным 11.02.2022 часть1
-  Ретрит в Латвии 19-27.03.2022
- Интенсив онлайн 11-13.03.2022 </v>
      </c>
      <c r="G462" s="1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5.5">
      <c r="A463" s="14" t="str">
        <f ca="1">IFERROR(__xludf.DUMMYFUNCTION("""COMPUTED_VALUE"""),"Дамира Битенова")</f>
        <v>Дамира Битенова</v>
      </c>
      <c r="B463" s="14" t="str">
        <f ca="1">IFERROR(__xludf.DUMMYFUNCTION("""COMPUTED_VALUE"""),"damirabitenova@gmail.com")</f>
        <v>damirabitenova@gmail.com</v>
      </c>
      <c r="C463" s="15" t="str">
        <f ca="1">IFERROR(__xludf.DUMMYFUNCTION("""COMPUTED_VALUE"""),"87013642524")</f>
        <v>87013642524</v>
      </c>
      <c r="D463" s="15"/>
      <c r="E463" s="14"/>
      <c r="F46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463" s="1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>
      <c r="A464" s="14" t="str">
        <f ca="1">IFERROR(__xludf.DUMMYFUNCTION("""COMPUTED_VALUE"""),"Буглак Даниил")</f>
        <v>Буглак Даниил</v>
      </c>
      <c r="B464" s="14" t="str">
        <f ca="1">IFERROR(__xludf.DUMMYFUNCTION("""COMPUTED_VALUE"""),"dan.buglak@gmail.com")</f>
        <v>dan.buglak@gmail.com</v>
      </c>
      <c r="C464" s="15" t="str">
        <f ca="1">IFERROR(__xludf.DUMMYFUNCTION("""COMPUTED_VALUE"""),"+375447839968")</f>
        <v>+375447839968</v>
      </c>
      <c r="D464" s="15" t="str">
        <f ca="1">IFERROR(__xludf.DUMMYFUNCTION("""COMPUTED_VALUE"""),"Беларусь")</f>
        <v>Беларусь</v>
      </c>
      <c r="E464" s="14"/>
      <c r="F464" s="8" t="str">
        <f ca="1">IFERROR(__xludf.DUMMYFUNCTION("""COMPUTED_VALUE"""),"- Чайная встреча Разговор по душам Минск 9.04.2022")</f>
        <v>- Чайная встреча Разговор по душам Минск 9.04.2022</v>
      </c>
      <c r="G464" s="1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>
      <c r="A465" s="14" t="str">
        <f ca="1">IFERROR(__xludf.DUMMYFUNCTION("""COMPUTED_VALUE"""),"Марианна Федорова")</f>
        <v>Марианна Федорова</v>
      </c>
      <c r="B465" s="14" t="str">
        <f ca="1">IFERROR(__xludf.DUMMYFUNCTION("""COMPUTED_VALUE"""),"dana327@yandex.ru")</f>
        <v>dana327@yandex.ru</v>
      </c>
      <c r="C465" s="15" t="str">
        <f ca="1">IFERROR(__xludf.DUMMYFUNCTION("""COMPUTED_VALUE"""),"+79219870217")</f>
        <v>+79219870217</v>
      </c>
      <c r="D465" s="15" t="str">
        <f ca="1">IFERROR(__xludf.DUMMYFUNCTION("""COMPUTED_VALUE"""),"Россия")</f>
        <v>Россия</v>
      </c>
      <c r="E465" s="14"/>
      <c r="F465" s="8" t="str">
        <f ca="1">IFERROR(__xludf.DUMMYFUNCTION("""COMPUTED_VALUE"""),"- Партнерская программа")</f>
        <v>- Партнерская программа</v>
      </c>
      <c r="G465" s="1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>
      <c r="A466" s="14" t="str">
        <f ca="1">IFERROR(__xludf.DUMMYFUNCTION("""COMPUTED_VALUE"""),"Даниил Шевченко")</f>
        <v>Даниил Шевченко</v>
      </c>
      <c r="B466" s="14" t="str">
        <f ca="1">IFERROR(__xludf.DUMMYFUNCTION("""COMPUTED_VALUE"""),"daniel.sccch@gmail.com")</f>
        <v>daniel.sccch@gmail.com</v>
      </c>
      <c r="C466" s="15" t="str">
        <f ca="1">IFERROR(__xludf.DUMMYFUNCTION("""COMPUTED_VALUE"""),"+375333934647")</f>
        <v>+375333934647</v>
      </c>
      <c r="D466" s="15" t="str">
        <f ca="1">IFERROR(__xludf.DUMMYFUNCTION("""COMPUTED_VALUE"""),"Беларусь")</f>
        <v>Беларусь</v>
      </c>
      <c r="E466" s="14"/>
      <c r="F466" s="8" t="str">
        <f ca="1">IFERROR(__xludf.DUMMYFUNCTION("""COMPUTED_VALUE"""),"- Чайная встреча в Минске 22.1.22")</f>
        <v>- Чайная встреча в Минске 22.1.22</v>
      </c>
      <c r="G466" s="1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>
      <c r="A467" s="14" t="str">
        <f ca="1">IFERROR(__xludf.DUMMYFUNCTION("""COMPUTED_VALUE"""),"Иван Данилов")</f>
        <v>Иван Данилов</v>
      </c>
      <c r="B467" s="14" t="str">
        <f ca="1">IFERROR(__xludf.DUMMYFUNCTION("""COMPUTED_VALUE"""),"daniloff739@gmail.com")</f>
        <v>daniloff739@gmail.com</v>
      </c>
      <c r="C467" s="15" t="str">
        <f ca="1">IFERROR(__xludf.DUMMYFUNCTION("""COMPUTED_VALUE"""),"79294394600")</f>
        <v>79294394600</v>
      </c>
      <c r="D467" s="15"/>
      <c r="E467" s="14"/>
      <c r="F467" s="8" t="str">
        <f ca="1">IFERROR(__xludf.DUMMYFUNCTION("""COMPUTED_VALUE"""),"- Тишина Челлендж (бесплатная часть)")</f>
        <v>- Тишина Челлендж (бесплатная часть)</v>
      </c>
      <c r="G467" s="1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>
      <c r="A468" s="14" t="str">
        <f ca="1">IFERROR(__xludf.DUMMYFUNCTION("""COMPUTED_VALUE"""),"Анна Данилова")</f>
        <v>Анна Данилова</v>
      </c>
      <c r="B468" s="14" t="str">
        <f ca="1">IFERROR(__xludf.DUMMYFUNCTION("""COMPUTED_VALUE"""),"danilovaav8@gmail.com")</f>
        <v>danilovaav8@gmail.com</v>
      </c>
      <c r="C468" s="15" t="str">
        <f ca="1">IFERROR(__xludf.DUMMYFUNCTION("""COMPUTED_VALUE"""),"79183067117")</f>
        <v>79183067117</v>
      </c>
      <c r="D468" s="15" t="str">
        <f ca="1">IFERROR(__xludf.DUMMYFUNCTION("""COMPUTED_VALUE"""),"Россия")</f>
        <v>Россия</v>
      </c>
      <c r="E468" s="14"/>
      <c r="F468" s="8" t="str">
        <f ca="1">IFERROR(__xludf.DUMMYFUNCTION("""COMPUTED_VALUE"""),"- Осознанная суббота Сочи регулярное")</f>
        <v>- Осознанная суббота Сочи регулярное</v>
      </c>
      <c r="G468" s="1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>
      <c r="A469" s="14" t="str">
        <f ca="1">IFERROR(__xludf.DUMMYFUNCTION("""COMPUTED_VALUE"""),"Дарья  Волгина, Дарья Волгина")</f>
        <v>Дарья  Волгина, Дарья Волгина</v>
      </c>
      <c r="B469" s="14" t="str">
        <f ca="1">IFERROR(__xludf.DUMMYFUNCTION("""COMPUTED_VALUE"""),"Daratystra@gmail.com")</f>
        <v>Daratystra@gmail.com</v>
      </c>
      <c r="C469" s="15" t="str">
        <f ca="1">IFERROR(__xludf.DUMMYFUNCTION("""COMPUTED_VALUE"""),"79522729779")</f>
        <v>79522729779</v>
      </c>
      <c r="D469" s="15" t="str">
        <f ca="1">IFERROR(__xludf.DUMMYFUNCTION("""COMPUTED_VALUE"""),"Россия")</f>
        <v>Россия</v>
      </c>
      <c r="E469" s="14"/>
      <c r="F469" s="8" t="str">
        <f ca="1">IFERROR(__xludf.DUMMYFUNCTION("""COMPUTED_VALUE"""),"- Челлендж Тишины")</f>
        <v>- Челлендж Тишины</v>
      </c>
      <c r="G469" s="1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>
      <c r="A470" s="14" t="str">
        <f ca="1">IFERROR(__xludf.DUMMYFUNCTION("""COMPUTED_VALUE"""),"Darya Mai")</f>
        <v>Darya Mai</v>
      </c>
      <c r="B470" s="14" t="str">
        <f ca="1">IFERROR(__xludf.DUMMYFUNCTION("""COMPUTED_VALUE"""),"daria.maizel@gmail.com")</f>
        <v>daria.maizel@gmail.com</v>
      </c>
      <c r="C470" s="15"/>
      <c r="D470" s="15" t="str">
        <f ca="1">IFERROR(__xludf.DUMMYFUNCTION("""COMPUTED_VALUE"""),"США")</f>
        <v>США</v>
      </c>
      <c r="E470" s="14"/>
      <c r="F470" s="8" t="str">
        <f ca="1">IFERROR(__xludf.DUMMYFUNCTION("""COMPUTED_VALUE"""),"- Тишина Челлендж (бесплатная часть)")</f>
        <v>- Тишина Челлендж (бесплатная часть)</v>
      </c>
      <c r="G470" s="1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>
      <c r="A471" s="14" t="str">
        <f ca="1">IFERROR(__xludf.DUMMYFUNCTION("""COMPUTED_VALUE"""),"Дарья Минишева")</f>
        <v>Дарья Минишева</v>
      </c>
      <c r="B471" s="14" t="str">
        <f ca="1">IFERROR(__xludf.DUMMYFUNCTION("""COMPUTED_VALUE"""),"dariaminisheva@gmail.com")</f>
        <v>dariaminisheva@gmail.com</v>
      </c>
      <c r="C471" s="15" t="str">
        <f ca="1">IFERROR(__xludf.DUMMYFUNCTION("""COMPUTED_VALUE"""),"+79500439655")</f>
        <v>+79500439655</v>
      </c>
      <c r="D471" s="15" t="str">
        <f ca="1">IFERROR(__xludf.DUMMYFUNCTION("""COMPUTED_VALUE"""),"Россия")</f>
        <v>Россия</v>
      </c>
      <c r="E471" s="14"/>
      <c r="F471" s="8" t="str">
        <f ca="1">IFERROR(__xludf.DUMMYFUNCTION("""COMPUTED_VALUE"""),"- Сатсанг с Валентиной Пулло в Питере 7.5.2022")</f>
        <v>- Сатсанг с Валентиной Пулло в Питере 7.5.2022</v>
      </c>
      <c r="G471" s="1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5.5">
      <c r="A472" s="14" t="str">
        <f ca="1">IFERROR(__xludf.DUMMYFUNCTION("""COMPUTED_VALUE"""),"Akmaral I Amirova")</f>
        <v>Akmaral I Amirova</v>
      </c>
      <c r="B472" s="14" t="str">
        <f ca="1">IFERROR(__xludf.DUMMYFUNCTION("""COMPUTED_VALUE"""),"Dariga.ermekova@mail.ru")</f>
        <v>Dariga.ermekova@mail.ru</v>
      </c>
      <c r="C472" s="15" t="str">
        <f ca="1">IFERROR(__xludf.DUMMYFUNCTION("""COMPUTED_VALUE"""),"87081712636")</f>
        <v>87081712636</v>
      </c>
      <c r="D472" s="15" t="str">
        <f ca="1">IFERROR(__xludf.DUMMYFUNCTION("""COMPUTED_VALUE"""),"Kazakhstan ")</f>
        <v xml:space="preserve">Kazakhstan </v>
      </c>
      <c r="E472" s="14"/>
      <c r="F47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472" s="1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>
      <c r="A473" s="14" t="str">
        <f ca="1">IFERROR(__xludf.DUMMYFUNCTION("""COMPUTED_VALUE"""),"Юрий Бажуков")</f>
        <v>Юрий Бажуков</v>
      </c>
      <c r="B473" s="14" t="str">
        <f ca="1">IFERROR(__xludf.DUMMYFUNCTION("""COMPUTED_VALUE"""),"dark.bazhukoff1@gmail.com")</f>
        <v>dark.bazhukoff1@gmail.com</v>
      </c>
      <c r="C473" s="15" t="str">
        <f ca="1">IFERROR(__xludf.DUMMYFUNCTION("""COMPUTED_VALUE"""),"+79658651505")</f>
        <v>+79658651505</v>
      </c>
      <c r="D473" s="15" t="str">
        <f ca="1">IFERROR(__xludf.DUMMYFUNCTION("""COMPUTED_VALUE"""),"Россия")</f>
        <v>Россия</v>
      </c>
      <c r="E473" s="14"/>
      <c r="F473" s="8" t="str">
        <f ca="1">IFERROR(__xludf.DUMMYFUNCTION("""COMPUTED_VALUE"""),"- Партнерская программа")</f>
        <v>- Партнерская программа</v>
      </c>
      <c r="G473" s="1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>
      <c r="A474" s="14" t="str">
        <f ca="1">IFERROR(__xludf.DUMMYFUNCTION("""COMPUTED_VALUE"""),"Дарья Мельникова")</f>
        <v>Дарья Мельникова</v>
      </c>
      <c r="B474" s="14" t="str">
        <f ca="1">IFERROR(__xludf.DUMMYFUNCTION("""COMPUTED_VALUE"""),"darya_mcr@mail.ru")</f>
        <v>darya_mcr@mail.ru</v>
      </c>
      <c r="C474" s="15" t="str">
        <f ca="1">IFERROR(__xludf.DUMMYFUNCTION("""COMPUTED_VALUE"""),"+375299401803")</f>
        <v>+375299401803</v>
      </c>
      <c r="D474" s="15" t="str">
        <f ca="1">IFERROR(__xludf.DUMMYFUNCTION("""COMPUTED_VALUE"""),"Беларусь")</f>
        <v>Беларусь</v>
      </c>
      <c r="E474" s="14"/>
      <c r="F474" s="8" t="str">
        <f ca="1">IFERROR(__xludf.DUMMYFUNCTION("""COMPUTED_VALUE"""),"- Чайная встреча Разговор по душам Минск 9.04.2022")</f>
        <v>- Чайная встреча Разговор по душам Минск 9.04.2022</v>
      </c>
      <c r="G474" s="1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>
      <c r="A475" s="14" t="str">
        <f ca="1">IFERROR(__xludf.DUMMYFUNCTION("""COMPUTED_VALUE"""),"Дарья Куттумуратова")</f>
        <v>Дарья Куттумуратова</v>
      </c>
      <c r="B475" s="14" t="str">
        <f ca="1">IFERROR(__xludf.DUMMYFUNCTION("""COMPUTED_VALUE"""),"darya.kuttumuratova.85@mail.ru")</f>
        <v>darya.kuttumuratova.85@mail.ru</v>
      </c>
      <c r="C475" s="15" t="str">
        <f ca="1">IFERROR(__xludf.DUMMYFUNCTION("""COMPUTED_VALUE"""),"+79272861652")</f>
        <v>+79272861652</v>
      </c>
      <c r="D475" s="15" t="str">
        <f ca="1">IFERROR(__xludf.DUMMYFUNCTION("""COMPUTED_VALUE"""),"Россия")</f>
        <v>Россия</v>
      </c>
      <c r="E475" s="14"/>
      <c r="F475" s="8" t="str">
        <f ca="1">IFERROR(__xludf.DUMMYFUNCTION("""COMPUTED_VALUE"""),"- Тишина Челлендж (бесплатная часть)")</f>
        <v>- Тишина Челлендж (бесплатная часть)</v>
      </c>
      <c r="G475" s="1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>
      <c r="A476" s="14" t="str">
        <f ca="1">IFERROR(__xludf.DUMMYFUNCTION("""COMPUTED_VALUE"""),"Дарья Бутина")</f>
        <v>Дарья Бутина</v>
      </c>
      <c r="B476" s="14" t="str">
        <f ca="1">IFERROR(__xludf.DUMMYFUNCTION("""COMPUTED_VALUE"""),"darya.rubleva2013@yandex.ru")</f>
        <v>darya.rubleva2013@yandex.ru</v>
      </c>
      <c r="C476" s="15"/>
      <c r="D476" s="15" t="str">
        <f ca="1">IFERROR(__xludf.DUMMYFUNCTION("""COMPUTED_VALUE"""),"США")</f>
        <v>США</v>
      </c>
      <c r="E476" s="14"/>
      <c r="F476" s="8" t="str">
        <f ca="1">IFERROR(__xludf.DUMMYFUNCTION("""COMPUTED_VALUE"""),"- Тишина Челлендж (бесплатная часть)")</f>
        <v>- Тишина Челлендж (бесплатная часть)</v>
      </c>
      <c r="G476" s="1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>
      <c r="A477" s="14" t="str">
        <f ca="1">IFERROR(__xludf.DUMMYFUNCTION("""COMPUTED_VALUE"""),"Дарья Дьяченко")</f>
        <v>Дарья Дьяченко</v>
      </c>
      <c r="B477" s="14" t="str">
        <f ca="1">IFERROR(__xludf.DUMMYFUNCTION("""COMPUTED_VALUE"""),"daryadyachenko12@gmail.com")</f>
        <v>daryadyachenko12@gmail.com</v>
      </c>
      <c r="C477" s="15" t="str">
        <f ca="1">IFERROR(__xludf.DUMMYFUNCTION("""COMPUTED_VALUE"""),"+79261497103")</f>
        <v>+79261497103</v>
      </c>
      <c r="D477" s="15" t="str">
        <f ca="1">IFERROR(__xludf.DUMMYFUNCTION("""COMPUTED_VALUE"""),"Россия")</f>
        <v>Россия</v>
      </c>
      <c r="E477" s="14"/>
      <c r="F477" s="8" t="str">
        <f ca="1">IFERROR(__xludf.DUMMYFUNCTION("""COMPUTED_VALUE"""),"- Регулярная практика тишины в Москве ")</f>
        <v xml:space="preserve">- Регулярная практика тишины в Москве </v>
      </c>
      <c r="G477" s="1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5.5">
      <c r="A478" s="14" t="str">
        <f ca="1">IFERROR(__xludf.DUMMYFUNCTION("""COMPUTED_VALUE"""),"Дарья Беляева")</f>
        <v>Дарья Беляева</v>
      </c>
      <c r="B478" s="14" t="str">
        <f ca="1">IFERROR(__xludf.DUMMYFUNCTION("""COMPUTED_VALUE"""),"daryalapamoya@gmail.com")</f>
        <v>daryalapamoya@gmail.com</v>
      </c>
      <c r="C478" s="15" t="str">
        <f ca="1">IFERROR(__xludf.DUMMYFUNCTION("""COMPUTED_VALUE"""),"87779399885")</f>
        <v>87779399885</v>
      </c>
      <c r="D478" s="15"/>
      <c r="E478" s="14"/>
      <c r="F47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478" s="1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>
      <c r="A479" s="14" t="str">
        <f ca="1">IFERROR(__xludf.DUMMYFUNCTION("""COMPUTED_VALUE"""),"Дарья Харитонова")</f>
        <v>Дарья Харитонова</v>
      </c>
      <c r="B479" s="14" t="str">
        <f ca="1">IFERROR(__xludf.DUMMYFUNCTION("""COMPUTED_VALUE"""),"dasha.kharitonova.02@internet.ru")</f>
        <v>dasha.kharitonova.02@internet.ru</v>
      </c>
      <c r="C479" s="15"/>
      <c r="D479" s="15" t="str">
        <f ca="1">IFERROR(__xludf.DUMMYFUNCTION("""COMPUTED_VALUE"""),"Россия")</f>
        <v>Россия</v>
      </c>
      <c r="E479" s="14"/>
      <c r="F479" s="8" t="str">
        <f ca="1">IFERROR(__xludf.DUMMYFUNCTION("""COMPUTED_VALUE"""),"- Тишина Челлендж (бесплатная часть)")</f>
        <v>- Тишина Челлендж (бесплатная часть)</v>
      </c>
      <c r="G479" s="1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>
      <c r="A480" s="14" t="str">
        <f ca="1">IFERROR(__xludf.DUMMYFUNCTION("""COMPUTED_VALUE"""),"Дария Качан")</f>
        <v>Дария Качан</v>
      </c>
      <c r="B480" s="14" t="str">
        <f ca="1">IFERROR(__xludf.DUMMYFUNCTION("""COMPUTED_VALUE"""),"dasha2002540671824@gmail.com")</f>
        <v>dasha2002540671824@gmail.com</v>
      </c>
      <c r="C480" s="15" t="str">
        <f ca="1">IFERROR(__xludf.DUMMYFUNCTION("""COMPUTED_VALUE"""),", +375336065260")</f>
        <v>, +375336065260</v>
      </c>
      <c r="D480" s="15" t="str">
        <f ca="1">IFERROR(__xludf.DUMMYFUNCTION("""COMPUTED_VALUE"""),"Беларусь")</f>
        <v>Беларусь</v>
      </c>
      <c r="E480" s="14"/>
      <c r="F480" s="8" t="str">
        <f ca="1">IFERROR(__xludf.DUMMYFUNCTION("""COMPUTED_VALUE"""),"Мероприятий не обнаружено")</f>
        <v>Мероприятий не обнаружено</v>
      </c>
      <c r="G480" s="1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>
      <c r="A481" s="14" t="str">
        <f ca="1">IFERROR(__xludf.DUMMYFUNCTION("""COMPUTED_VALUE"""),"Дарья Аврамова")</f>
        <v>Дарья Аврамова</v>
      </c>
      <c r="B481" s="14" t="str">
        <f ca="1">IFERROR(__xludf.DUMMYFUNCTION("""COMPUTED_VALUE"""),"dashaavramova@gmail.com")</f>
        <v>dashaavramova@gmail.com</v>
      </c>
      <c r="C481" s="15" t="str">
        <f ca="1">IFERROR(__xludf.DUMMYFUNCTION("""COMPUTED_VALUE"""),"+375296161482")</f>
        <v>+375296161482</v>
      </c>
      <c r="D481" s="15" t="str">
        <f ca="1">IFERROR(__xludf.DUMMYFUNCTION("""COMPUTED_VALUE"""),"Беларусь")</f>
        <v>Беларусь</v>
      </c>
      <c r="E481" s="14"/>
      <c r="F481" s="8" t="str">
        <f ca="1">IFERROR(__xludf.DUMMYFUNCTION("""COMPUTED_VALUE"""),"- Чайная встреча в Минске 8.1.22")</f>
        <v>- Чайная встреча в Минске 8.1.22</v>
      </c>
      <c r="G481" s="1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5.5">
      <c r="A482" s="14" t="str">
        <f ca="1">IFERROR(__xludf.DUMMYFUNCTION("""COMPUTED_VALUE"""),"Дарья Ларченко")</f>
        <v>Дарья Ларченко</v>
      </c>
      <c r="B482" s="14" t="str">
        <f ca="1">IFERROR(__xludf.DUMMYFUNCTION("""COMPUTED_VALUE"""),"dashak_90@mail.ru")</f>
        <v>dashak_90@mail.ru</v>
      </c>
      <c r="C482" s="15" t="str">
        <f ca="1">IFERROR(__xludf.DUMMYFUNCTION("""COMPUTED_VALUE"""),"+77476812482")</f>
        <v>+77476812482</v>
      </c>
      <c r="D482" s="15" t="str">
        <f ca="1">IFERROR(__xludf.DUMMYFUNCTION("""COMPUTED_VALUE"""),"Казахстан")</f>
        <v>Казахстан</v>
      </c>
      <c r="E482" s="14"/>
      <c r="F48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482" s="1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5.5">
      <c r="A483" s="14" t="str">
        <f ca="1">IFERROR(__xludf.DUMMYFUNCTION("""COMPUTED_VALUE"""),"Ася Uvalieva")</f>
        <v>Ася Uvalieva</v>
      </c>
      <c r="B483" s="14" t="str">
        <f ca="1">IFERROR(__xludf.DUMMYFUNCTION("""COMPUTED_VALUE"""),"dauren_74@mail.ru")</f>
        <v>dauren_74@mail.ru</v>
      </c>
      <c r="C483" s="15" t="str">
        <f ca="1">IFERROR(__xludf.DUMMYFUNCTION("""COMPUTED_VALUE"""),"77783550305")</f>
        <v>77783550305</v>
      </c>
      <c r="D483" s="15" t="str">
        <f ca="1">IFERROR(__xludf.DUMMYFUNCTION("""COMPUTED_VALUE"""),"Казахстан")</f>
        <v>Казахстан</v>
      </c>
      <c r="E483" s="14"/>
      <c r="F48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483" s="1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>
      <c r="A484" s="14" t="str">
        <f ca="1">IFERROR(__xludf.DUMMYFUNCTION("""COMPUTED_VALUE"""),"Давид Николов")</f>
        <v>Давид Николов</v>
      </c>
      <c r="B484" s="14" t="str">
        <f ca="1">IFERROR(__xludf.DUMMYFUNCTION("""COMPUTED_VALUE"""),"davidka24092002@gmail.com")</f>
        <v>davidka24092002@gmail.com</v>
      </c>
      <c r="C484" s="15" t="str">
        <f ca="1">IFERROR(__xludf.DUMMYFUNCTION("""COMPUTED_VALUE"""),"+972534641053")</f>
        <v>+972534641053</v>
      </c>
      <c r="D484" s="15" t="str">
        <f ca="1">IFERROR(__xludf.DUMMYFUNCTION("""COMPUTED_VALUE"""),"Израиль")</f>
        <v>Израиль</v>
      </c>
      <c r="E484" s="14"/>
      <c r="F484" s="8" t="str">
        <f ca="1">IFERROR(__xludf.DUMMYFUNCTION("""COMPUTED_VALUE"""),"-  Ретрит в Латвии 19-27.03.2022")</f>
        <v>-  Ретрит в Латвии 19-27.03.2022</v>
      </c>
      <c r="G484" s="1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>
      <c r="A485" s="14" t="str">
        <f ca="1">IFERROR(__xludf.DUMMYFUNCTION("""COMPUTED_VALUE"""),"Davit Simonyan")</f>
        <v>Davit Simonyan</v>
      </c>
      <c r="B485" s="14" t="str">
        <f ca="1">IFERROR(__xludf.DUMMYFUNCTION("""COMPUTED_VALUE"""),"davit.simonyan8@gmail.com")</f>
        <v>davit.simonyan8@gmail.com</v>
      </c>
      <c r="C485" s="15" t="str">
        <f ca="1">IFERROR(__xludf.DUMMYFUNCTION("""COMPUTED_VALUE"""),"+37455624464")</f>
        <v>+37455624464</v>
      </c>
      <c r="D485" s="15" t="str">
        <f ca="1">IFERROR(__xludf.DUMMYFUNCTION("""COMPUTED_VALUE"""),"Армения")</f>
        <v>Армения</v>
      </c>
      <c r="E485" s="14"/>
      <c r="F485" s="8" t="str">
        <f ca="1">IFERROR(__xludf.DUMMYFUNCTION("""COMPUTED_VALUE"""),"- Ретрит в РЦ Сочи 5-13 марта 2022 (Оплата до 28 февраля)")</f>
        <v>- Ретрит в РЦ Сочи 5-13 марта 2022 (Оплата до 28 февраля)</v>
      </c>
      <c r="G485" s="1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5.5">
      <c r="A486" s="14" t="str">
        <f ca="1">IFERROR(__xludf.DUMMYFUNCTION("""COMPUTED_VALUE"""),"Гуля Джуманова")</f>
        <v>Гуля Джуманова</v>
      </c>
      <c r="B486" s="14" t="str">
        <f ca="1">IFERROR(__xludf.DUMMYFUNCTION("""COMPUTED_VALUE"""),"Dcaramel93@gmail.com")</f>
        <v>Dcaramel93@gmail.com</v>
      </c>
      <c r="C486" s="15" t="str">
        <f ca="1">IFERROR(__xludf.DUMMYFUNCTION("""COMPUTED_VALUE"""),"87072306262")</f>
        <v>87072306262</v>
      </c>
      <c r="D486" s="15"/>
      <c r="E486" s="14"/>
      <c r="F48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486" s="1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>
      <c r="A487" s="14" t="str">
        <f ca="1">IFERROR(__xludf.DUMMYFUNCTION("""COMPUTED_VALUE"""),"Леонид Леликов")</f>
        <v>Леонид Леликов</v>
      </c>
      <c r="B487" s="14" t="str">
        <f ca="1">IFERROR(__xludf.DUMMYFUNCTION("""COMPUTED_VALUE"""),"dclelikov@gmail.com")</f>
        <v>dclelikov@gmail.com</v>
      </c>
      <c r="C487" s="15" t="str">
        <f ca="1">IFERROR(__xludf.DUMMYFUNCTION("""COMPUTED_VALUE"""),"79253904445")</f>
        <v>79253904445</v>
      </c>
      <c r="D487" s="15" t="str">
        <f ca="1">IFERROR(__xludf.DUMMYFUNCTION("""COMPUTED_VALUE"""),"Россия")</f>
        <v>Россия</v>
      </c>
      <c r="E487" s="14"/>
      <c r="F487" s="8" t="str">
        <f ca="1">IFERROR(__xludf.DUMMYFUNCTION("""COMPUTED_VALUE"""),"- Интенсив 15-17 апреля Москва")</f>
        <v>- Интенсив 15-17 апреля Москва</v>
      </c>
      <c r="G487" s="1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>
      <c r="A488" s="14" t="str">
        <f ca="1">IFERROR(__xludf.DUMMYFUNCTION("""COMPUTED_VALUE"""),"Роман Пак")</f>
        <v>Роман Пак</v>
      </c>
      <c r="B488" s="14" t="str">
        <f ca="1">IFERROR(__xludf.DUMMYFUNCTION("""COMPUTED_VALUE"""),"dedgena5@yandex.ru")</f>
        <v>dedgena5@yandex.ru</v>
      </c>
      <c r="C488" s="15" t="str">
        <f ca="1">IFERROR(__xludf.DUMMYFUNCTION("""COMPUTED_VALUE"""),"821035571880")</f>
        <v>821035571880</v>
      </c>
      <c r="D488" s="15" t="str">
        <f ca="1">IFERROR(__xludf.DUMMYFUNCTION("""COMPUTED_VALUE"""),"Южная Корея")</f>
        <v>Южная Корея</v>
      </c>
      <c r="E488" s="14"/>
      <c r="F488" s="8" t="str">
        <f ca="1">IFERROR(__xludf.DUMMYFUNCTION("""COMPUTED_VALUE"""),"- Онлайн Интенсив Дальний Восток 25-27.03.2022 Оплата в рублях")</f>
        <v>- Онлайн Интенсив Дальний Восток 25-27.03.2022 Оплата в рублях</v>
      </c>
      <c r="G488" s="1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>
      <c r="A489" s="14" t="str">
        <f ca="1">IFERROR(__xludf.DUMMYFUNCTION("""COMPUTED_VALUE"""),"Виктория Дейк")</f>
        <v>Виктория Дейк</v>
      </c>
      <c r="B489" s="14" t="str">
        <f ca="1">IFERROR(__xludf.DUMMYFUNCTION("""COMPUTED_VALUE"""),"dejkunviktoria33@gmail.com")</f>
        <v>dejkunviktoria33@gmail.com</v>
      </c>
      <c r="C489" s="15" t="str">
        <f ca="1">IFERROR(__xludf.DUMMYFUNCTION("""COMPUTED_VALUE"""),"+375295488930")</f>
        <v>+375295488930</v>
      </c>
      <c r="D489" s="15"/>
      <c r="E489" s="14"/>
      <c r="F489" s="8" t="str">
        <f ca="1">IFERROR(__xludf.DUMMYFUNCTION("""COMPUTED_VALUE"""),"- Тишина Челлендж (бесплатная часть)")</f>
        <v>- Тишина Челлендж (бесплатная часть)</v>
      </c>
      <c r="G489" s="1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>
      <c r="A490" s="14" t="str">
        <f ca="1">IFERROR(__xludf.DUMMYFUNCTION("""COMPUTED_VALUE"""),"Сергей Пугачев")</f>
        <v>Сергей Пугачев</v>
      </c>
      <c r="B490" s="14" t="str">
        <f ca="1">IFERROR(__xludf.DUMMYFUNCTION("""COMPUTED_VALUE"""),"delovod2@yandex.ru")</f>
        <v>delovod2@yandex.ru</v>
      </c>
      <c r="C490" s="15" t="str">
        <f ca="1">IFERROR(__xludf.DUMMYFUNCTION("""COMPUTED_VALUE"""),"79632748880")</f>
        <v>79632748880</v>
      </c>
      <c r="D490" s="15" t="str">
        <f ca="1">IFERROR(__xludf.DUMMYFUNCTION("""COMPUTED_VALUE"""),"Россия")</f>
        <v>Россия</v>
      </c>
      <c r="E490" s="14"/>
      <c r="F490" s="8" t="str">
        <f ca="1">IFERROR(__xludf.DUMMYFUNCTION("""COMPUTED_VALUE"""),"- Тишина Челлендж (бесплатная часть)")</f>
        <v>- Тишина Челлендж (бесплатная часть)</v>
      </c>
      <c r="G490" s="1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>
      <c r="A491" s="14" t="str">
        <f ca="1">IFERROR(__xludf.DUMMYFUNCTION("""COMPUTED_VALUE"""),"Ольга Дементьева")</f>
        <v>Ольга Дементьева</v>
      </c>
      <c r="B491" s="14" t="str">
        <f ca="1">IFERROR(__xludf.DUMMYFUNCTION("""COMPUTED_VALUE"""),"dementyevaolga@mail.ru")</f>
        <v>dementyevaolga@mail.ru</v>
      </c>
      <c r="C491" s="15" t="str">
        <f ca="1">IFERROR(__xludf.DUMMYFUNCTION("""COMPUTED_VALUE"""),"+79190114349")</f>
        <v>+79190114349</v>
      </c>
      <c r="D491" s="15" t="str">
        <f ca="1">IFERROR(__xludf.DUMMYFUNCTION("""COMPUTED_VALUE"""),"Россия")</f>
        <v>Россия</v>
      </c>
      <c r="E491" s="14"/>
      <c r="F491" s="8" t="str">
        <f ca="1">IFERROR(__xludf.DUMMYFUNCTION("""COMPUTED_VALUE"""),"- Интенсив онлайн 11-13.03.2022 ")</f>
        <v xml:space="preserve">- Интенсив онлайн 11-13.03.2022 </v>
      </c>
      <c r="G491" s="1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38.25">
      <c r="A492" s="14" t="str">
        <f ca="1">IFERROR(__xludf.DUMMYFUNCTION("""COMPUTED_VALUE"""),"Сергей Васильев")</f>
        <v>Сергей Васильев</v>
      </c>
      <c r="B492" s="14" t="str">
        <f ca="1">IFERROR(__xludf.DUMMYFUNCTION("""COMPUTED_VALUE"""),"demontag-group@mail.ru")</f>
        <v>demontag-group@mail.ru</v>
      </c>
      <c r="C492" s="15" t="str">
        <f ca="1">IFERROR(__xludf.DUMMYFUNCTION("""COMPUTED_VALUE"""),"+79385107007")</f>
        <v>+79385107007</v>
      </c>
      <c r="D492" s="15" t="str">
        <f ca="1">IFERROR(__xludf.DUMMYFUNCTION("""COMPUTED_VALUE"""),"Россия")</f>
        <v>Россия</v>
      </c>
      <c r="E492" s="14"/>
      <c r="F492" s="8" t="str">
        <f ca="1">IFERROR(__xludf.DUMMYFUNCTION("""COMPUTED_VALUE"""),"- Заявка на СЪЕЗД+ФЕСТИВАЛЬ ""Мы вместе"" 3-8.01.22
- Запись на ""Беседу по душам""
- Интенсив 15-17 апреля Краснодарский край")</f>
        <v>- Заявка на СЪЕЗД+ФЕСТИВАЛЬ "Мы вместе" 3-8.01.22
- Запись на "Беседу по душам"
- Интенсив 15-17 апреля Краснодарский край</v>
      </c>
      <c r="G492" s="1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>
      <c r="A493" s="14" t="str">
        <f ca="1">IFERROR(__xludf.DUMMYFUNCTION("""COMPUTED_VALUE"""),"Денис Станишевский")</f>
        <v>Денис Станишевский</v>
      </c>
      <c r="B493" s="14" t="str">
        <f ca="1">IFERROR(__xludf.DUMMYFUNCTION("""COMPUTED_VALUE"""),"denis_stanishevskiy@bk.ru")</f>
        <v>denis_stanishevskiy@bk.ru</v>
      </c>
      <c r="C493" s="15"/>
      <c r="D493" s="15" t="str">
        <f ca="1">IFERROR(__xludf.DUMMYFUNCTION("""COMPUTED_VALUE"""),"Россия")</f>
        <v>Россия</v>
      </c>
      <c r="E493" s="14"/>
      <c r="F493" s="8" t="str">
        <f ca="1">IFERROR(__xludf.DUMMYFUNCTION("""COMPUTED_VALUE"""),"- Базовая бесплатная часть")</f>
        <v>- Базовая бесплатная часть</v>
      </c>
      <c r="G493" s="1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>
      <c r="A494" s="14" t="str">
        <f ca="1">IFERROR(__xludf.DUMMYFUNCTION("""COMPUTED_VALUE"""),"Tatiana Denisenko")</f>
        <v>Tatiana Denisenko</v>
      </c>
      <c r="B494" s="14" t="str">
        <f ca="1">IFERROR(__xludf.DUMMYFUNCTION("""COMPUTED_VALUE"""),"denis-tat@yandex.ru")</f>
        <v>denis-tat@yandex.ru</v>
      </c>
      <c r="C494" s="15" t="str">
        <f ca="1">IFERROR(__xludf.DUMMYFUNCTION("""COMPUTED_VALUE"""),"79831021798")</f>
        <v>79831021798</v>
      </c>
      <c r="D494" s="15" t="str">
        <f ca="1">IFERROR(__xludf.DUMMYFUNCTION("""COMPUTED_VALUE"""),"Россия")</f>
        <v>Россия</v>
      </c>
      <c r="E494" s="14"/>
      <c r="F494" s="8" t="str">
        <f ca="1">IFERROR(__xludf.DUMMYFUNCTION("""COMPUTED_VALUE"""),"- Вебинар все о ретрите 12.2.2022")</f>
        <v>- Вебинар все о ретрите 12.2.2022</v>
      </c>
      <c r="G494" s="1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>
      <c r="A495" s="14" t="str">
        <f ca="1">IFERROR(__xludf.DUMMYFUNCTION("""COMPUTED_VALUE"""),"Денис Зевалкин")</f>
        <v>Денис Зевалкин</v>
      </c>
      <c r="B495" s="14" t="str">
        <f ca="1">IFERROR(__xludf.DUMMYFUNCTION("""COMPUTED_VALUE"""),"denis.dz88@gmail.com")</f>
        <v>denis.dz88@gmail.com</v>
      </c>
      <c r="C495" s="15" t="str">
        <f ca="1">IFERROR(__xludf.DUMMYFUNCTION("""COMPUTED_VALUE"""),", +79227354898")</f>
        <v>, +79227354898</v>
      </c>
      <c r="D495" s="15" t="str">
        <f ca="1">IFERROR(__xludf.DUMMYFUNCTION("""COMPUTED_VALUE"""),"Россия")</f>
        <v>Россия</v>
      </c>
      <c r="E495" s="14"/>
      <c r="F495" s="8" t="str">
        <f ca="1">IFERROR(__xludf.DUMMYFUNCTION("""COMPUTED_VALUE"""),"Мероприятий не обнаружено")</f>
        <v>Мероприятий не обнаружено</v>
      </c>
      <c r="G495" s="1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>
      <c r="A496" s="14" t="str">
        <f ca="1">IFERROR(__xludf.DUMMYFUNCTION("""COMPUTED_VALUE"""),"Денис Михей")</f>
        <v>Денис Михей</v>
      </c>
      <c r="B496" s="14" t="str">
        <f ca="1">IFERROR(__xludf.DUMMYFUNCTION("""COMPUTED_VALUE"""),"Denis.mihey@mail.ru")</f>
        <v>Denis.mihey@mail.ru</v>
      </c>
      <c r="C496" s="15" t="str">
        <f ca="1">IFERROR(__xludf.DUMMYFUNCTION("""COMPUTED_VALUE"""),"+375296930990")</f>
        <v>+375296930990</v>
      </c>
      <c r="D496" s="15" t="str">
        <f ca="1">IFERROR(__xludf.DUMMYFUNCTION("""COMPUTED_VALUE"""),"Беларусь")</f>
        <v>Беларусь</v>
      </c>
      <c r="E496" s="14"/>
      <c r="F496" s="8" t="str">
        <f ca="1">IFERROR(__xludf.DUMMYFUNCTION("""COMPUTED_VALUE"""),"- Практика Тишины общая платная")</f>
        <v>- Практика Тишины общая платная</v>
      </c>
      <c r="G496" s="1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5.5">
      <c r="A497" s="14" t="str">
        <f ca="1">IFERROR(__xludf.DUMMYFUNCTION("""COMPUTED_VALUE"""),"Денис Крячко")</f>
        <v>Денис Крячко</v>
      </c>
      <c r="B497" s="14" t="str">
        <f ca="1">IFERROR(__xludf.DUMMYFUNCTION("""COMPUTED_VALUE"""),"Denis1991kra4ko@gmail.com")</f>
        <v>Denis1991kra4ko@gmail.com</v>
      </c>
      <c r="C497" s="15" t="str">
        <f ca="1">IFERROR(__xludf.DUMMYFUNCTION("""COMPUTED_VALUE"""),"+998999284737")</f>
        <v>+998999284737</v>
      </c>
      <c r="D497" s="15"/>
      <c r="E497" s="14"/>
      <c r="F49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497" s="1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5.5">
      <c r="A498" s="14" t="str">
        <f ca="1">IFERROR(__xludf.DUMMYFUNCTION("""COMPUTED_VALUE"""),"Евгений Денисенко")</f>
        <v>Евгений Денисенко</v>
      </c>
      <c r="B498" s="14" t="str">
        <f ca="1">IFERROR(__xludf.DUMMYFUNCTION("""COMPUTED_VALUE"""),"denisenko73@mail.ru")</f>
        <v>denisenko73@mail.ru</v>
      </c>
      <c r="C498" s="15" t="str">
        <f ca="1">IFERROR(__xludf.DUMMYFUNCTION("""COMPUTED_VALUE"""),"+998973451888")</f>
        <v>+998973451888</v>
      </c>
      <c r="D498" s="15"/>
      <c r="E498" s="14"/>
      <c r="F49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498" s="1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>
      <c r="A499" s="14" t="str">
        <f ca="1">IFERROR(__xludf.DUMMYFUNCTION("""COMPUTED_VALUE"""),"Денис Кравченко")</f>
        <v>Денис Кравченко</v>
      </c>
      <c r="B499" s="14" t="str">
        <f ca="1">IFERROR(__xludf.DUMMYFUNCTION("""COMPUTED_VALUE"""),"Denisrusos@mail.ru")</f>
        <v>Denisrusos@mail.ru</v>
      </c>
      <c r="C499" s="15" t="str">
        <f ca="1">IFERROR(__xludf.DUMMYFUNCTION("""COMPUTED_VALUE"""),"+79323381438")</f>
        <v>+79323381438</v>
      </c>
      <c r="D499" s="15" t="str">
        <f ca="1">IFERROR(__xludf.DUMMYFUNCTION("""COMPUTED_VALUE"""),"Россия")</f>
        <v>Россия</v>
      </c>
      <c r="E499" s="14"/>
      <c r="F499" s="8" t="str">
        <f ca="1">IFERROR(__xludf.DUMMYFUNCTION("""COMPUTED_VALUE"""),"- чайная встреча регионы Урал 8.1.2022")</f>
        <v>- чайная встреча регионы Урал 8.1.2022</v>
      </c>
      <c r="G499" s="1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>
      <c r="A500" s="14" t="str">
        <f ca="1">IFERROR(__xludf.DUMMYFUNCTION("""COMPUTED_VALUE"""),"ДЕНИС МОРГУНОВ")</f>
        <v>ДЕНИС МОРГУНОВ</v>
      </c>
      <c r="B500" s="14" t="str">
        <f ca="1">IFERROR(__xludf.DUMMYFUNCTION("""COMPUTED_VALUE"""),"deniss_morgunov@mail.ru")</f>
        <v>deniss_morgunov@mail.ru</v>
      </c>
      <c r="C500" s="15" t="str">
        <f ca="1">IFERROR(__xludf.DUMMYFUNCTION("""COMPUTED_VALUE"""),"37253240593")</f>
        <v>37253240593</v>
      </c>
      <c r="D500" s="15" t="str">
        <f ca="1">IFERROR(__xludf.DUMMYFUNCTION("""COMPUTED_VALUE"""),"Эстония")</f>
        <v>Эстония</v>
      </c>
      <c r="E500" s="14" t="str">
        <f ca="1">IFERROR(__xludf.DUMMYFUNCTION("""COMPUTED_VALUE"""),"@d_mrgunov")</f>
        <v>@d_mrgunov</v>
      </c>
      <c r="F500" s="8" t="str">
        <f ca="1">IFERROR(__xludf.DUMMYFUNCTION("""COMPUTED_VALUE"""),"- Однодневный ретрит Европа 14 мая 2022 ")</f>
        <v xml:space="preserve">- Однодневный ретрит Европа 14 мая 2022 </v>
      </c>
      <c r="G500" s="1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>
      <c r="A501" s="14" t="str">
        <f ca="1">IFERROR(__xludf.DUMMYFUNCTION("""COMPUTED_VALUE"""),"Марина Денисова")</f>
        <v>Марина Денисова</v>
      </c>
      <c r="B501" s="14" t="str">
        <f ca="1">IFERROR(__xludf.DUMMYFUNCTION("""COMPUTED_VALUE"""),"denmar-20@mail.ru")</f>
        <v>denmar-20@mail.ru</v>
      </c>
      <c r="C501" s="15" t="str">
        <f ca="1">IFERROR(__xludf.DUMMYFUNCTION("""COMPUTED_VALUE"""),"79991217157")</f>
        <v>79991217157</v>
      </c>
      <c r="D501" s="15" t="str">
        <f ca="1">IFERROR(__xludf.DUMMYFUNCTION("""COMPUTED_VALUE"""),"Россия")</f>
        <v>Россия</v>
      </c>
      <c r="E501" s="14"/>
      <c r="F501" s="8" t="str">
        <f ca="1">IFERROR(__xludf.DUMMYFUNCTION("""COMPUTED_VALUE"""),"- Тишина Челлендж (бесплатная часть)")</f>
        <v>- Тишина Челлендж (бесплатная часть)</v>
      </c>
      <c r="G501" s="1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>
      <c r="A502" s="14" t="str">
        <f ca="1">IFERROR(__xludf.DUMMYFUNCTION("""COMPUTED_VALUE"""),"Денис Ткаченко")</f>
        <v>Денис Ткаченко</v>
      </c>
      <c r="B502" s="14" t="str">
        <f ca="1">IFERROR(__xludf.DUMMYFUNCTION("""COMPUTED_VALUE"""),"denyatkachenko88@gmail.com")</f>
        <v>denyatkachenko88@gmail.com</v>
      </c>
      <c r="C502" s="15" t="str">
        <f ca="1">IFERROR(__xludf.DUMMYFUNCTION("""COMPUTED_VALUE"""),"+380713410142")</f>
        <v>+380713410142</v>
      </c>
      <c r="D502" s="15" t="str">
        <f ca="1">IFERROR(__xludf.DUMMYFUNCTION("""COMPUTED_VALUE"""),"Украина")</f>
        <v>Украина</v>
      </c>
      <c r="E502" s="14"/>
      <c r="F502" s="8" t="str">
        <f ca="1">IFERROR(__xludf.DUMMYFUNCTION("""COMPUTED_VALUE"""),"- Тишина Челлендж (бесплатная часть)")</f>
        <v>- Тишина Челлендж (бесплатная часть)</v>
      </c>
      <c r="G502" s="1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>
      <c r="A503" s="14" t="str">
        <f ca="1">IFERROR(__xludf.DUMMYFUNCTION("""COMPUTED_VALUE"""),"ertert ertert")</f>
        <v>ertert ertert</v>
      </c>
      <c r="B503" s="14" t="str">
        <f ca="1">IFERROR(__xludf.DUMMYFUNCTION("""COMPUTED_VALUE"""),"dgdfgdfg@gmail.com")</f>
        <v>dgdfgdfg@gmail.com</v>
      </c>
      <c r="C503" s="15" t="str">
        <f ca="1">IFERROR(__xludf.DUMMYFUNCTION("""COMPUTED_VALUE"""),"34534534545")</f>
        <v>34534534545</v>
      </c>
      <c r="D503" s="15" t="str">
        <f ca="1">IFERROR(__xludf.DUMMYFUNCTION("""COMPUTED_VALUE"""),"Россия")</f>
        <v>Россия</v>
      </c>
      <c r="E503" s="14"/>
      <c r="F503" s="8" t="str">
        <f ca="1">IFERROR(__xludf.DUMMYFUNCTION("""COMPUTED_VALUE"""),"- Медитация без стереотипов")</f>
        <v>- Медитация без стереотипов</v>
      </c>
      <c r="G503" s="1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5.5">
      <c r="A504" s="14" t="str">
        <f ca="1">IFERROR(__xludf.DUMMYFUNCTION("""COMPUTED_VALUE"""),"Динара Рахимова")</f>
        <v>Динара Рахимова</v>
      </c>
      <c r="B504" s="14" t="str">
        <f ca="1">IFERROR(__xludf.DUMMYFUNCTION("""COMPUTED_VALUE"""),"di_17_83@mail.ru")</f>
        <v>di_17_83@mail.ru</v>
      </c>
      <c r="C504" s="15" t="str">
        <f ca="1">IFERROR(__xludf.DUMMYFUNCTION("""COMPUTED_VALUE"""),"87054403988")</f>
        <v>87054403988</v>
      </c>
      <c r="D504" s="15"/>
      <c r="E504" s="14"/>
      <c r="F50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504" s="1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>
      <c r="A505" s="14" t="str">
        <f ca="1">IFERROR(__xludf.DUMMYFUNCTION("""COMPUTED_VALUE"""),"Анастасия Максименко")</f>
        <v>Анастасия Максименко</v>
      </c>
      <c r="B505" s="14" t="str">
        <f ca="1">IFERROR(__xludf.DUMMYFUNCTION("""COMPUTED_VALUE"""),"dia_dia_666@mail.ru")</f>
        <v>dia_dia_666@mail.ru</v>
      </c>
      <c r="C505" s="15"/>
      <c r="D505" s="15" t="str">
        <f ca="1">IFERROR(__xludf.DUMMYFUNCTION("""COMPUTED_VALUE"""),"Франция")</f>
        <v>Франция</v>
      </c>
      <c r="E505" s="14"/>
      <c r="F505" s="8" t="str">
        <f ca="1">IFERROR(__xludf.DUMMYFUNCTION("""COMPUTED_VALUE"""),"- Базовая бесплатная часть")</f>
        <v>- Базовая бесплатная часть</v>
      </c>
      <c r="G505" s="1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5.5">
      <c r="A506" s="14" t="str">
        <f ca="1">IFERROR(__xludf.DUMMYFUNCTION("""COMPUTED_VALUE"""),"Diana Nikitina")</f>
        <v>Diana Nikitina</v>
      </c>
      <c r="B506" s="14" t="str">
        <f ca="1">IFERROR(__xludf.DUMMYFUNCTION("""COMPUTED_VALUE"""),"Diaana.nikitina@icloud.com")</f>
        <v>Diaana.nikitina@icloud.com</v>
      </c>
      <c r="C506" s="15" t="str">
        <f ca="1">IFERROR(__xludf.DUMMYFUNCTION("""COMPUTED_VALUE"""),"29577601")</f>
        <v>29577601</v>
      </c>
      <c r="D506" s="15" t="str">
        <f ca="1">IFERROR(__xludf.DUMMYFUNCTION("""COMPUTED_VALUE"""),"Latvia")</f>
        <v>Latvia</v>
      </c>
      <c r="E506" s="14"/>
      <c r="F506" s="8" t="str">
        <f ca="1">IFERROR(__xludf.DUMMYFUNCTION("""COMPUTED_VALUE"""),"- Шаг к Пробуждению №5 на латышском Латвия LV 11-18 декабря 2021 года ")</f>
        <v xml:space="preserve">- Шаг к Пробуждению №5 на латышском Латвия LV 11-18 декабря 2021 года </v>
      </c>
      <c r="G506" s="1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>
      <c r="A507" s="14" t="str">
        <f ca="1">IFERROR(__xludf.DUMMYFUNCTION("""COMPUTED_VALUE"""),"Диана Байбулатова")</f>
        <v>Диана Байбулатова</v>
      </c>
      <c r="B507" s="14" t="str">
        <f ca="1">IFERROR(__xludf.DUMMYFUNCTION("""COMPUTED_VALUE"""),"diaba26.85@mail.ru")</f>
        <v>diaba26.85@mail.ru</v>
      </c>
      <c r="C507" s="15" t="str">
        <f ca="1">IFERROR(__xludf.DUMMYFUNCTION("""COMPUTED_VALUE"""),", +998915056531")</f>
        <v>, +998915056531</v>
      </c>
      <c r="D507" s="15"/>
      <c r="E507" s="14"/>
      <c r="F507" s="8" t="str">
        <f ca="1">IFERROR(__xludf.DUMMYFUNCTION("""COMPUTED_VALUE"""),"Мероприятий не обнаружено")</f>
        <v>Мероприятий не обнаружено</v>
      </c>
      <c r="G507" s="1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>
      <c r="A508" s="14" t="str">
        <f ca="1">IFERROR(__xludf.DUMMYFUNCTION("""COMPUTED_VALUE"""),"Андрей Кожевников")</f>
        <v>Андрей Кожевников</v>
      </c>
      <c r="B508" s="14" t="str">
        <f ca="1">IFERROR(__xludf.DUMMYFUNCTION("""COMPUTED_VALUE"""),"diagon-alley@mail.ru")</f>
        <v>diagon-alley@mail.ru</v>
      </c>
      <c r="C508" s="15" t="str">
        <f ca="1">IFERROR(__xludf.DUMMYFUNCTION("""COMPUTED_VALUE"""),"+79089084686")</f>
        <v>+79089084686</v>
      </c>
      <c r="D508" s="15"/>
      <c r="E508" s="14"/>
      <c r="F508" s="8" t="str">
        <f ca="1">IFERROR(__xludf.DUMMYFUNCTION("""COMPUTED_VALUE"""),"- Партнерская программа")</f>
        <v>- Партнерская программа</v>
      </c>
      <c r="G508" s="1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>
      <c r="A509" s="14" t="str">
        <f ca="1">IFERROR(__xludf.DUMMYFUNCTION("""COMPUTED_VALUE"""),"Анжела Хижниченко")</f>
        <v>Анжела Хижниченко</v>
      </c>
      <c r="B509" s="14" t="str">
        <f ca="1">IFERROR(__xludf.DUMMYFUNCTION("""COMPUTED_VALUE"""),"dianzh1810@gmail.com")</f>
        <v>dianzh1810@gmail.com</v>
      </c>
      <c r="C509" s="15" t="str">
        <f ca="1">IFERROR(__xludf.DUMMYFUNCTION("""COMPUTED_VALUE"""),"+375292687005")</f>
        <v>+375292687005</v>
      </c>
      <c r="D509" s="15"/>
      <c r="E509" s="14"/>
      <c r="F509" s="8" t="str">
        <f ca="1">IFERROR(__xludf.DUMMYFUNCTION("""COMPUTED_VALUE"""),"- Тишина Челлендж (бесплатная часть)")</f>
        <v>- Тишина Челлендж (бесплатная часть)</v>
      </c>
      <c r="G509" s="1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>
      <c r="A510" s="14" t="str">
        <f ca="1">IFERROR(__xludf.DUMMYFUNCTION("""COMPUTED_VALUE"""),"Диархан Досаев")</f>
        <v>Диархан Досаев</v>
      </c>
      <c r="B510" s="14" t="str">
        <f ca="1">IFERROR(__xludf.DUMMYFUNCTION("""COMPUTED_VALUE"""),"Diarxan@mail.ru")</f>
        <v>Diarxan@mail.ru</v>
      </c>
      <c r="C510" s="15"/>
      <c r="D510" s="15" t="str">
        <f ca="1">IFERROR(__xludf.DUMMYFUNCTION("""COMPUTED_VALUE"""),"Швеция")</f>
        <v>Швеция</v>
      </c>
      <c r="E510" s="14"/>
      <c r="F510" s="8" t="str">
        <f ca="1">IFERROR(__xludf.DUMMYFUNCTION("""COMPUTED_VALUE"""),"- Тишина Челлендж (бесплатная часть)")</f>
        <v>- Тишина Челлендж (бесплатная часть)</v>
      </c>
      <c r="G510" s="1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5.5">
      <c r="A511" s="14" t="str">
        <f ca="1">IFERROR(__xludf.DUMMYFUNCTION("""COMPUTED_VALUE"""),"Д Н")</f>
        <v>Д Н</v>
      </c>
      <c r="B511" s="14" t="str">
        <f ca="1">IFERROR(__xludf.DUMMYFUNCTION("""COMPUTED_VALUE"""),"dil_ndf@mail.ru")</f>
        <v>dil_ndf@mail.ru</v>
      </c>
      <c r="C511" s="15"/>
      <c r="D511" s="15"/>
      <c r="E511" s="14"/>
      <c r="F51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511" s="1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5.5">
      <c r="A512" s="14" t="str">
        <f ca="1">IFERROR(__xludf.DUMMYFUNCTION("""COMPUTED_VALUE"""),"Dilfuza Ture")</f>
        <v>Dilfuza Ture</v>
      </c>
      <c r="B512" s="14" t="str">
        <f ca="1">IFERROR(__xludf.DUMMYFUNCTION("""COMPUTED_VALUE"""),"dilfuzature@gmail.com")</f>
        <v>dilfuzature@gmail.com</v>
      </c>
      <c r="C512" s="15" t="str">
        <f ca="1">IFERROR(__xludf.DUMMYFUNCTION("""COMPUTED_VALUE"""),"+998994563012")</f>
        <v>+998994563012</v>
      </c>
      <c r="D512" s="15"/>
      <c r="E512" s="14"/>
      <c r="F51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512" s="1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>
      <c r="A513" s="14" t="str">
        <f ca="1">IFERROR(__xludf.DUMMYFUNCTION("""COMPUTED_VALUE"""),"Dilnaz Isa")</f>
        <v>Dilnaz Isa</v>
      </c>
      <c r="B513" s="14" t="str">
        <f ca="1">IFERROR(__xludf.DUMMYFUNCTION("""COMPUTED_VALUE"""),"dilnaz_90@mail.ru")</f>
        <v>dilnaz_90@mail.ru</v>
      </c>
      <c r="C513" s="15"/>
      <c r="D513" s="15" t="str">
        <f ca="1">IFERROR(__xludf.DUMMYFUNCTION("""COMPUTED_VALUE"""),"Швеция")</f>
        <v>Швеция</v>
      </c>
      <c r="E513" s="14"/>
      <c r="F513" s="8" t="str">
        <f ca="1">IFERROR(__xludf.DUMMYFUNCTION("""COMPUTED_VALUE"""),"- Тишина Челлендж (бесплатная часть)")</f>
        <v>- Тишина Челлендж (бесплатная часть)</v>
      </c>
      <c r="G513" s="1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>
      <c r="A514" s="14" t="str">
        <f ca="1">IFERROR(__xludf.DUMMYFUNCTION("""COMPUTED_VALUE"""),"Дилора Ходжаева")</f>
        <v>Дилора Ходжаева</v>
      </c>
      <c r="B514" s="14" t="str">
        <f ca="1">IFERROR(__xludf.DUMMYFUNCTION("""COMPUTED_VALUE"""),"dilora.khodjaeva@abbott.com")</f>
        <v>dilora.khodjaeva@abbott.com</v>
      </c>
      <c r="C514" s="15" t="str">
        <f ca="1">IFERROR(__xludf.DUMMYFUNCTION("""COMPUTED_VALUE"""),"+998903212067")</f>
        <v>+998903212067</v>
      </c>
      <c r="D514" s="15" t="str">
        <f ca="1">IFERROR(__xludf.DUMMYFUNCTION("""COMPUTED_VALUE"""),"Узбекистан")</f>
        <v>Узбекистан</v>
      </c>
      <c r="E514" s="14"/>
      <c r="F514" s="8" t="str">
        <f ca="1">IFERROR(__xludf.DUMMYFUNCTION("""COMPUTED_VALUE"""),"- Однодневный онлайн ретрит Россия 14 мая 2022")</f>
        <v>- Однодневный онлайн ретрит Россия 14 мая 2022</v>
      </c>
      <c r="G514" s="1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>
      <c r="A515" s="14" t="str">
        <f ca="1">IFERROR(__xludf.DUMMYFUNCTION("""COMPUTED_VALUE"""),"Диля Болтуева")</f>
        <v>Диля Болтуева</v>
      </c>
      <c r="B515" s="14" t="str">
        <f ca="1">IFERROR(__xludf.DUMMYFUNCTION("""COMPUTED_VALUE"""),"dilyaboltueva@gmail.com")</f>
        <v>dilyaboltueva@gmail.com</v>
      </c>
      <c r="C515" s="15" t="str">
        <f ca="1">IFERROR(__xludf.DUMMYFUNCTION("""COMPUTED_VALUE"""),"+79671125235")</f>
        <v>+79671125235</v>
      </c>
      <c r="D515" s="15" t="str">
        <f ca="1">IFERROR(__xludf.DUMMYFUNCTION("""COMPUTED_VALUE"""),"США")</f>
        <v>США</v>
      </c>
      <c r="E515" s="14"/>
      <c r="F515" s="8" t="str">
        <f ca="1">IFERROR(__xludf.DUMMYFUNCTION("""COMPUTED_VALUE"""),"- Регулярная практика тишины в Москве ")</f>
        <v xml:space="preserve">- Регулярная практика тишины в Москве </v>
      </c>
      <c r="G515" s="1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5.5">
      <c r="A516" s="14" t="str">
        <f ca="1">IFERROR(__xludf.DUMMYFUNCTION("""COMPUTED_VALUE"""),"Диля Габасова")</f>
        <v>Диля Габасова</v>
      </c>
      <c r="B516" s="14" t="str">
        <f ca="1">IFERROR(__xludf.DUMMYFUNCTION("""COMPUTED_VALUE"""),"dilyamom@icloud.com")</f>
        <v>dilyamom@icloud.com</v>
      </c>
      <c r="C516" s="15" t="str">
        <f ca="1">IFERROR(__xludf.DUMMYFUNCTION("""COMPUTED_VALUE"""),"79871364660")</f>
        <v>79871364660</v>
      </c>
      <c r="D516" s="15"/>
      <c r="E516" s="14"/>
      <c r="F51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516" s="1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>
      <c r="A517" s="14" t="str">
        <f ca="1">IFERROR(__xludf.DUMMYFUNCTION("""COMPUTED_VALUE"""),"Дмитрий Иванов")</f>
        <v>Дмитрий Иванов</v>
      </c>
      <c r="B517" s="14" t="str">
        <f ca="1">IFERROR(__xludf.DUMMYFUNCTION("""COMPUTED_VALUE"""),"dima_ida@bk.ru")</f>
        <v>dima_ida@bk.ru</v>
      </c>
      <c r="C517" s="15" t="str">
        <f ca="1">IFERROR(__xludf.DUMMYFUNCTION("""COMPUTED_VALUE"""),"+79093360020")</f>
        <v>+79093360020</v>
      </c>
      <c r="D517" s="15" t="str">
        <f ca="1">IFERROR(__xludf.DUMMYFUNCTION("""COMPUTED_VALUE"""),"Россия")</f>
        <v>Россия</v>
      </c>
      <c r="E517" s="14"/>
      <c r="F517" s="8" t="str">
        <f ca="1">IFERROR(__xludf.DUMMYFUNCTION("""COMPUTED_VALUE"""),"- Тишина Челлендж (бесплатная часть)")</f>
        <v>- Тишина Челлендж (бесплатная часть)</v>
      </c>
      <c r="G517" s="1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>
      <c r="A518" s="14" t="str">
        <f ca="1">IFERROR(__xludf.DUMMYFUNCTION("""COMPUTED_VALUE"""),"Дмитрий Власов")</f>
        <v>Дмитрий Власов</v>
      </c>
      <c r="B518" s="14" t="str">
        <f ca="1">IFERROR(__xludf.DUMMYFUNCTION("""COMPUTED_VALUE"""),"dimanim@mai.ru")</f>
        <v>dimanim@mai.ru</v>
      </c>
      <c r="C518" s="15" t="str">
        <f ca="1">IFERROR(__xludf.DUMMYFUNCTION("""COMPUTED_VALUE"""),", +998903462752")</f>
        <v>, +998903462752</v>
      </c>
      <c r="D518" s="15" t="str">
        <f ca="1">IFERROR(__xludf.DUMMYFUNCTION("""COMPUTED_VALUE"""),"Узбекистан")</f>
        <v>Узбекистан</v>
      </c>
      <c r="E518" s="14"/>
      <c r="F518" s="8" t="str">
        <f ca="1">IFERROR(__xludf.DUMMYFUNCTION("""COMPUTED_VALUE"""),"Мероприятий не обнаружено")</f>
        <v>Мероприятий не обнаружено</v>
      </c>
      <c r="G518" s="1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>
      <c r="A519" s="14" t="str">
        <f ca="1">IFERROR(__xludf.DUMMYFUNCTION("""COMPUTED_VALUE"""),"Dmitriy Vlasov")</f>
        <v>Dmitriy Vlasov</v>
      </c>
      <c r="B519" s="14" t="str">
        <f ca="1">IFERROR(__xludf.DUMMYFUNCTION("""COMPUTED_VALUE"""),"dimanim@mail.ru")</f>
        <v>dimanim@mail.ru</v>
      </c>
      <c r="C519" s="15" t="str">
        <f ca="1">IFERROR(__xludf.DUMMYFUNCTION("""COMPUTED_VALUE"""),"+998903462752")</f>
        <v>+998903462752</v>
      </c>
      <c r="D519" s="15" t="str">
        <f ca="1">IFERROR(__xludf.DUMMYFUNCTION("""COMPUTED_VALUE"""),"Узбекистан")</f>
        <v>Узбекистан</v>
      </c>
      <c r="E519" s="14"/>
      <c r="F519" s="8" t="str">
        <f ca="1">IFERROR(__xludf.DUMMYFUNCTION("""COMPUTED_VALUE"""),"- Тест")</f>
        <v>- Тест</v>
      </c>
      <c r="G519" s="1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5.5">
      <c r="A520" s="14" t="str">
        <f ca="1">IFERROR(__xludf.DUMMYFUNCTION("""COMPUTED_VALUE"""),"Димитрий Вагнер")</f>
        <v>Димитрий Вагнер</v>
      </c>
      <c r="B520" s="14" t="str">
        <f ca="1">IFERROR(__xludf.DUMMYFUNCTION("""COMPUTED_VALUE"""),"dimitri_wagner@mail.ru")</f>
        <v>dimitri_wagner@mail.ru</v>
      </c>
      <c r="C520" s="15" t="str">
        <f ca="1">IFERROR(__xludf.DUMMYFUNCTION("""COMPUTED_VALUE"""),"491708879669")</f>
        <v>491708879669</v>
      </c>
      <c r="D520" s="15" t="str">
        <f ca="1">IFERROR(__xludf.DUMMYFUNCTION("""COMPUTED_VALUE"""),"Германия")</f>
        <v>Германия</v>
      </c>
      <c r="E520" s="14"/>
      <c r="F520" s="8" t="str">
        <f ca="1">IFERROR(__xludf.DUMMYFUNCTION("""COMPUTED_VALUE"""),"- ретрит ЕВРОПЕЙСКИЙ 14-21.1.2022 Германия (550€)в номере на двоих")</f>
        <v>- ретрит ЕВРОПЕЙСКИЙ 14-21.1.2022 Германия (550€)в номере на двоих</v>
      </c>
      <c r="G520" s="1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>
      <c r="A521" s="14" t="str">
        <f ca="1">IFERROR(__xludf.DUMMYFUNCTION("""COMPUTED_VALUE"""),"Дмитрий Шагин")</f>
        <v>Дмитрий Шагин</v>
      </c>
      <c r="B521" s="14" t="str">
        <f ca="1">IFERROR(__xludf.DUMMYFUNCTION("""COMPUTED_VALUE"""),"dimon_07011975@mail.ru")</f>
        <v>dimon_07011975@mail.ru</v>
      </c>
      <c r="C521" s="15" t="str">
        <f ca="1">IFERROR(__xludf.DUMMYFUNCTION("""COMPUTED_VALUE"""),"79689302649")</f>
        <v>79689302649</v>
      </c>
      <c r="D521" s="15" t="str">
        <f ca="1">IFERROR(__xludf.DUMMYFUNCTION("""COMPUTED_VALUE"""),"Россия")</f>
        <v>Россия</v>
      </c>
      <c r="E521" s="14"/>
      <c r="F521" s="8" t="str">
        <f ca="1">IFERROR(__xludf.DUMMYFUNCTION("""COMPUTED_VALUE"""),"- Тишина Челлендж (бесплатная часть)")</f>
        <v>- Тишина Челлендж (бесплатная часть)</v>
      </c>
      <c r="G521" s="1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>
      <c r="A522" s="14" t="str">
        <f ca="1">IFERROR(__xludf.DUMMYFUNCTION("""COMPUTED_VALUE"""),"Дмитрий ДАР")</f>
        <v>Дмитрий ДАР</v>
      </c>
      <c r="B522" s="14" t="str">
        <f ca="1">IFERROR(__xludf.DUMMYFUNCTION("""COMPUTED_VALUE"""),"dimon-dfl@mail.ru")</f>
        <v>dimon-dfl@mail.ru</v>
      </c>
      <c r="C522" s="15" t="str">
        <f ca="1">IFERROR(__xludf.DUMMYFUNCTION("""COMPUTED_VALUE"""),"+79109888865")</f>
        <v>+79109888865</v>
      </c>
      <c r="D522" s="15" t="str">
        <f ca="1">IFERROR(__xludf.DUMMYFUNCTION("""COMPUTED_VALUE"""),"Франция")</f>
        <v>Франция</v>
      </c>
      <c r="E522" s="14"/>
      <c r="F522" s="8" t="str">
        <f ca="1">IFERROR(__xludf.DUMMYFUNCTION("""COMPUTED_VALUE"""),"- Тишина Челлендж (бесплатная часть)")</f>
        <v>- Тишина Челлендж (бесплатная часть)</v>
      </c>
      <c r="G522" s="1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51">
      <c r="A523" s="14" t="str">
        <f ca="1">IFERROR(__xludf.DUMMYFUNCTION("""COMPUTED_VALUE"""),"Дина Губайдулина")</f>
        <v>Дина Губайдулина</v>
      </c>
      <c r="B523" s="14" t="str">
        <f ca="1">IFERROR(__xludf.DUMMYFUNCTION("""COMPUTED_VALUE"""),"dina.gubajdulina77@gmail.com")</f>
        <v>dina.gubajdulina77@gmail.com</v>
      </c>
      <c r="C523" s="15" t="str">
        <f ca="1">IFERROR(__xludf.DUMMYFUNCTION("""COMPUTED_VALUE"""),"79193102777")</f>
        <v>79193102777</v>
      </c>
      <c r="D523" s="15" t="str">
        <f ca="1">IFERROR(__xludf.DUMMYFUNCTION("""COMPUTED_VALUE"""),"Россия")</f>
        <v>Россия</v>
      </c>
      <c r="E523" s="14"/>
      <c r="F523" s="8" t="str">
        <f ca="1">IFERROR(__xludf.DUMMYFUNCTION("""COMPUTED_VALUE"""),"- Вебинар все о ретрите 12.2.2022
- Практика тишины Магнитогорск 19.02.2022
- Интенсив Магнитогорск 20.02.2022
- Ретрит в РЦ Сочи 19-27 марта 2022 (Оплата до 6 марта)")</f>
        <v>- Вебинар все о ретрите 12.2.2022
- Практика тишины Магнитогорск 19.02.2022
- Интенсив Магнитогорск 20.02.2022
- Ретрит в РЦ Сочи 19-27 марта 2022 (Оплата до 6 марта)</v>
      </c>
      <c r="G523" s="1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>
      <c r="A524" s="14" t="str">
        <f ca="1">IFERROR(__xludf.DUMMYFUNCTION("""COMPUTED_VALUE"""),"Дина Алфёрова")</f>
        <v>Дина Алфёрова</v>
      </c>
      <c r="B524" s="14" t="str">
        <f ca="1">IFERROR(__xludf.DUMMYFUNCTION("""COMPUTED_VALUE"""),"dina802004@mail.ru")</f>
        <v>dina802004@mail.ru</v>
      </c>
      <c r="C524" s="15" t="str">
        <f ca="1">IFERROR(__xludf.DUMMYFUNCTION("""COMPUTED_VALUE"""),"79373308840")</f>
        <v>79373308840</v>
      </c>
      <c r="D524" s="15" t="str">
        <f ca="1">IFERROR(__xludf.DUMMYFUNCTION("""COMPUTED_VALUE"""),"Россия")</f>
        <v>Россия</v>
      </c>
      <c r="E524" s="14"/>
      <c r="F524" s="8" t="str">
        <f ca="1">IFERROR(__xludf.DUMMYFUNCTION("""COMPUTED_VALUE"""),"- Вебинар все о ретрите 12.2.2022")</f>
        <v>- Вебинар все о ретрите 12.2.2022</v>
      </c>
      <c r="G524" s="1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5.5">
      <c r="A525" s="14" t="str">
        <f ca="1">IFERROR(__xludf.DUMMYFUNCTION("""COMPUTED_VALUE"""),"Дина Касым")</f>
        <v>Дина Касым</v>
      </c>
      <c r="B525" s="14" t="str">
        <f ca="1">IFERROR(__xludf.DUMMYFUNCTION("""COMPUTED_VALUE"""),"dinakassy@gmail.com")</f>
        <v>dinakassy@gmail.com</v>
      </c>
      <c r="C525" s="15" t="str">
        <f ca="1">IFERROR(__xludf.DUMMYFUNCTION("""COMPUTED_VALUE"""),"+77017707712")</f>
        <v>+77017707712</v>
      </c>
      <c r="D525" s="15" t="str">
        <f ca="1">IFERROR(__xludf.DUMMYFUNCTION("""COMPUTED_VALUE"""),"Казахстан")</f>
        <v>Казахстан</v>
      </c>
      <c r="E525" s="14"/>
      <c r="F52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525" s="1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>
      <c r="A526" s="14" t="str">
        <f ca="1">IFERROR(__xludf.DUMMYFUNCTION("""COMPUTED_VALUE"""),"Динара Динар")</f>
        <v>Динара Динар</v>
      </c>
      <c r="B526" s="14" t="str">
        <f ca="1">IFERROR(__xludf.DUMMYFUNCTION("""COMPUTED_VALUE"""),"dinar87@mail.ru")</f>
        <v>dinar87@mail.ru</v>
      </c>
      <c r="C526" s="15" t="str">
        <f ca="1">IFERROR(__xludf.DUMMYFUNCTION("""COMPUTED_VALUE"""),"+77011877676")</f>
        <v>+77011877676</v>
      </c>
      <c r="D526" s="15" t="str">
        <f ca="1">IFERROR(__xludf.DUMMYFUNCTION("""COMPUTED_VALUE"""),"Грузия")</f>
        <v>Грузия</v>
      </c>
      <c r="E526" s="14"/>
      <c r="F526" s="8" t="str">
        <f ca="1">IFERROR(__xludf.DUMMYFUNCTION("""COMPUTED_VALUE"""),"- Тишина Челлендж (бесплатная часть)")</f>
        <v>- Тишина Челлендж (бесплатная часть)</v>
      </c>
      <c r="G526" s="1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>
      <c r="A527" s="14" t="str">
        <f ca="1">IFERROR(__xludf.DUMMYFUNCTION("""COMPUTED_VALUE"""),"Динара Грисюк")</f>
        <v>Динара Грисюк</v>
      </c>
      <c r="B527" s="14" t="str">
        <f ca="1">IFERROR(__xludf.DUMMYFUNCTION("""COMPUTED_VALUE"""),"dinara-grisyuk@yandex.ru")</f>
        <v>dinara-grisyuk@yandex.ru</v>
      </c>
      <c r="C527" s="15" t="str">
        <f ca="1">IFERROR(__xludf.DUMMYFUNCTION("""COMPUTED_VALUE"""),"+79041907007")</f>
        <v>+79041907007</v>
      </c>
      <c r="D527" s="15" t="str">
        <f ca="1">IFERROR(__xludf.DUMMYFUNCTION("""COMPUTED_VALUE"""),"Германия")</f>
        <v>Германия</v>
      </c>
      <c r="E527" s="14"/>
      <c r="F527" s="8" t="str">
        <f ca="1">IFERROR(__xludf.DUMMYFUNCTION("""COMPUTED_VALUE"""),"- Ретрит в РЦ Сочи май 2022  (Оплата с 18 до 29 апреля)")</f>
        <v>- Ретрит в РЦ Сочи май 2022  (Оплата с 18 до 29 апреля)</v>
      </c>
      <c r="G527" s="1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5.5">
      <c r="A528" s="14" t="str">
        <f ca="1">IFERROR(__xludf.DUMMYFUNCTION("""COMPUTED_VALUE"""),"Динара Аббосова")</f>
        <v>Динара Аббосова</v>
      </c>
      <c r="B528" s="14" t="str">
        <f ca="1">IFERROR(__xludf.DUMMYFUNCTION("""COMPUTED_VALUE"""),"dinara.abbosova@bk.ru")</f>
        <v>dinara.abbosova@bk.ru</v>
      </c>
      <c r="C528" s="15" t="str">
        <f ca="1">IFERROR(__xludf.DUMMYFUNCTION("""COMPUTED_VALUE"""),"972725727")</f>
        <v>972725727</v>
      </c>
      <c r="D528" s="15"/>
      <c r="E528" s="14"/>
      <c r="F52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528" s="1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5.5">
      <c r="A529" s="14" t="str">
        <f ca="1">IFERROR(__xludf.DUMMYFUNCTION("""COMPUTED_VALUE"""),"Динара Тумарбаева")</f>
        <v>Динара Тумарбаева</v>
      </c>
      <c r="B529" s="14" t="str">
        <f ca="1">IFERROR(__xludf.DUMMYFUNCTION("""COMPUTED_VALUE"""),"dinara.tumarbaeva@mail.ru")</f>
        <v>dinara.tumarbaeva@mail.ru</v>
      </c>
      <c r="C529" s="15" t="str">
        <f ca="1">IFERROR(__xludf.DUMMYFUNCTION("""COMPUTED_VALUE"""),"87053067877")</f>
        <v>87053067877</v>
      </c>
      <c r="D529" s="15"/>
      <c r="E529" s="14"/>
      <c r="F52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529" s="1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5.5">
      <c r="A530" s="14" t="str">
        <f ca="1">IFERROR(__xludf.DUMMYFUNCTION("""COMPUTED_VALUE"""),"Dinara Janysbayeva")</f>
        <v>Dinara Janysbayeva</v>
      </c>
      <c r="B530" s="14" t="str">
        <f ca="1">IFERROR(__xludf.DUMMYFUNCTION("""COMPUTED_VALUE"""),"dinara13081975@mail.ru")</f>
        <v>dinara13081975@mail.ru</v>
      </c>
      <c r="C530" s="15" t="str">
        <f ca="1">IFERROR(__xludf.DUMMYFUNCTION("""COMPUTED_VALUE"""),"87077663127")</f>
        <v>87077663127</v>
      </c>
      <c r="D530" s="15"/>
      <c r="E530" s="14"/>
      <c r="F53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530" s="1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>
      <c r="A531" s="14" t="str">
        <f ca="1">IFERROR(__xludf.DUMMYFUNCTION("""COMPUTED_VALUE"""),"Ира Ирина")</f>
        <v>Ира Ирина</v>
      </c>
      <c r="B531" s="14" t="str">
        <f ca="1">IFERROR(__xludf.DUMMYFUNCTION("""COMPUTED_VALUE"""),"diolain7@gmail.com")</f>
        <v>diolain7@gmail.com</v>
      </c>
      <c r="C531" s="15" t="str">
        <f ca="1">IFERROR(__xludf.DUMMYFUNCTION("""COMPUTED_VALUE"""),", 80297194397")</f>
        <v>, 80297194397</v>
      </c>
      <c r="D531" s="15" t="str">
        <f ca="1">IFERROR(__xludf.DUMMYFUNCTION("""COMPUTED_VALUE"""),"Беларусь")</f>
        <v>Беларусь</v>
      </c>
      <c r="E531" s="14"/>
      <c r="F531" s="8" t="str">
        <f ca="1">IFERROR(__xludf.DUMMYFUNCTION("""COMPUTED_VALUE"""),"Мероприятий не обнаружено")</f>
        <v>Мероприятий не обнаружено</v>
      </c>
      <c r="G531" s="1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5.5">
      <c r="A532" s="14" t="str">
        <f ca="1">IFERROR(__xludf.DUMMYFUNCTION("""COMPUTED_VALUE"""),"Диана Салыкова")</f>
        <v>Диана Салыкова</v>
      </c>
      <c r="B532" s="14" t="str">
        <f ca="1">IFERROR(__xludf.DUMMYFUNCTION("""COMPUTED_VALUE"""),"disalykova86@gmail.com")</f>
        <v>disalykova86@gmail.com</v>
      </c>
      <c r="C532" s="15" t="str">
        <f ca="1">IFERROR(__xludf.DUMMYFUNCTION("""COMPUTED_VALUE"""),"87082376564")</f>
        <v>87082376564</v>
      </c>
      <c r="D532" s="15"/>
      <c r="E532" s="14"/>
      <c r="F53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532" s="1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>
      <c r="A533" s="14" t="str">
        <f ca="1">IFERROR(__xludf.DUMMYFUNCTION("""COMPUTED_VALUE"""),"Нафиса Джафарова")</f>
        <v>Нафиса Джафарова</v>
      </c>
      <c r="B533" s="14" t="str">
        <f ca="1">IFERROR(__xludf.DUMMYFUNCTION("""COMPUTED_VALUE"""),"djafarova_nafisa@mail.ru")</f>
        <v>djafarova_nafisa@mail.ru</v>
      </c>
      <c r="C533" s="15" t="str">
        <f ca="1">IFERROR(__xludf.DUMMYFUNCTION("""COMPUTED_VALUE"""),", +998946577112")</f>
        <v>, +998946577112</v>
      </c>
      <c r="D533" s="15" t="str">
        <f ca="1">IFERROR(__xludf.DUMMYFUNCTION("""COMPUTED_VALUE"""),"Узбекистан")</f>
        <v>Узбекистан</v>
      </c>
      <c r="E533" s="14"/>
      <c r="F533" s="8" t="str">
        <f ca="1">IFERROR(__xludf.DUMMYFUNCTION("""COMPUTED_VALUE"""),"Мероприятий не обнаружено")</f>
        <v>Мероприятий не обнаружено</v>
      </c>
      <c r="G533" s="1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>
      <c r="A534" s="14" t="str">
        <f ca="1">IFERROR(__xludf.DUMMYFUNCTION("""COMPUTED_VALUE"""),"Владислав Дяков")</f>
        <v>Владислав Дяков</v>
      </c>
      <c r="B534" s="14" t="str">
        <f ca="1">IFERROR(__xludf.DUMMYFUNCTION("""COMPUTED_VALUE"""),"djakvlad@gmail.com")</f>
        <v>djakvlad@gmail.com</v>
      </c>
      <c r="C534" s="15" t="str">
        <f ca="1">IFERROR(__xludf.DUMMYFUNCTION("""COMPUTED_VALUE"""),"+375298742771")</f>
        <v>+375298742771</v>
      </c>
      <c r="D534" s="15" t="str">
        <f ca="1">IFERROR(__xludf.DUMMYFUNCTION("""COMPUTED_VALUE"""),"Беларусь")</f>
        <v>Беларусь</v>
      </c>
      <c r="E534" s="14"/>
      <c r="F534" s="8" t="str">
        <f ca="1">IFERROR(__xludf.DUMMYFUNCTION("""COMPUTED_VALUE"""),"- Чайная встреча Разговор по душам Минск 9.04.2022")</f>
        <v>- Чайная встреча Разговор по душам Минск 9.04.2022</v>
      </c>
      <c r="G534" s="1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5.5">
      <c r="A535" s="14" t="str">
        <f ca="1">IFERROR(__xludf.DUMMYFUNCTION("""COMPUTED_VALUE"""),"Диана Аскарова")</f>
        <v>Диана Аскарова</v>
      </c>
      <c r="B535" s="14" t="str">
        <f ca="1">IFERROR(__xludf.DUMMYFUNCTION("""COMPUTED_VALUE"""),"Djekvorobey_94@list.ru")</f>
        <v>Djekvorobey_94@list.ru</v>
      </c>
      <c r="C535" s="15" t="str">
        <f ca="1">IFERROR(__xludf.DUMMYFUNCTION("""COMPUTED_VALUE"""),"+998909352484")</f>
        <v>+998909352484</v>
      </c>
      <c r="D535" s="15"/>
      <c r="E535" s="14"/>
      <c r="F53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535" s="1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>
      <c r="A536" s="14" t="str">
        <f ca="1">IFERROR(__xludf.DUMMYFUNCTION("""COMPUTED_VALUE"""),"Евгений Ермак")</f>
        <v>Евгений Ермак</v>
      </c>
      <c r="B536" s="14" t="str">
        <f ca="1">IFERROR(__xludf.DUMMYFUNCTION("""COMPUTED_VALUE"""),"Djoniermakk@gmail.com")</f>
        <v>Djoniermakk@gmail.com</v>
      </c>
      <c r="C536" s="15"/>
      <c r="D536" s="15" t="str">
        <f ca="1">IFERROR(__xludf.DUMMYFUNCTION("""COMPUTED_VALUE"""),"Россия")</f>
        <v>Россия</v>
      </c>
      <c r="E536" s="14"/>
      <c r="F536" s="8" t="str">
        <f ca="1">IFERROR(__xludf.DUMMYFUNCTION("""COMPUTED_VALUE"""),"- Базовая бесплатная часть")</f>
        <v>- Базовая бесплатная часть</v>
      </c>
      <c r="G536" s="1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>
      <c r="A537" s="14" t="str">
        <f ca="1">IFERROR(__xludf.DUMMYFUNCTION("""COMPUTED_VALUE"""),"Дмитрий Лаврушкин")</f>
        <v>Дмитрий Лаврушкин</v>
      </c>
      <c r="B537" s="14" t="str">
        <f ca="1">IFERROR(__xludf.DUMMYFUNCTION("""COMPUTED_VALUE"""),"dlap53@mail.ru")</f>
        <v>dlap53@mail.ru</v>
      </c>
      <c r="C537" s="15" t="str">
        <f ca="1">IFERROR(__xludf.DUMMYFUNCTION("""COMPUTED_VALUE"""),"79633303744")</f>
        <v>79633303744</v>
      </c>
      <c r="D537" s="15" t="str">
        <f ca="1">IFERROR(__xludf.DUMMYFUNCTION("""COMPUTED_VALUE"""),"Россия")</f>
        <v>Россия</v>
      </c>
      <c r="E537" s="14"/>
      <c r="F537" s="8" t="str">
        <f ca="1">IFERROR(__xludf.DUMMYFUNCTION("""COMPUTED_VALUE"""),"- Вводный вебинар 3.5.22 на Шаг к Пробуждению")</f>
        <v>- Вводный вебинар 3.5.22 на Шаг к Пробуждению</v>
      </c>
      <c r="G537" s="1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>
      <c r="A538" s="14" t="str">
        <f ca="1">IFERROR(__xludf.DUMMYFUNCTION("""COMPUTED_VALUE"""),"Дмитрий НА ВЫСОТЕ")</f>
        <v>Дмитрий НА ВЫСОТЕ</v>
      </c>
      <c r="B538" s="14" t="str">
        <f ca="1">IFERROR(__xludf.DUMMYFUNCTION("""COMPUTED_VALUE"""),"dmisharin@yandex.ru")</f>
        <v>dmisharin@yandex.ru</v>
      </c>
      <c r="C538" s="15" t="str">
        <f ca="1">IFERROR(__xludf.DUMMYFUNCTION("""COMPUTED_VALUE"""),"79119613492")</f>
        <v>79119613492</v>
      </c>
      <c r="D538" s="15" t="str">
        <f ca="1">IFERROR(__xludf.DUMMYFUNCTION("""COMPUTED_VALUE"""),"Россия")</f>
        <v>Россия</v>
      </c>
      <c r="E538" s="14"/>
      <c r="F538" s="8" t="str">
        <f ca="1">IFERROR(__xludf.DUMMYFUNCTION("""COMPUTED_VALUE"""),"- Вебинар все о ретрите 12.2.2022")</f>
        <v>- Вебинар все о ретрите 12.2.2022</v>
      </c>
      <c r="G538" s="1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5.5">
      <c r="A539" s="14" t="str">
        <f ca="1">IFERROR(__xludf.DUMMYFUNCTION("""COMPUTED_VALUE"""),"Дима Несмелов")</f>
        <v>Дима Несмелов</v>
      </c>
      <c r="B539" s="14" t="str">
        <f ca="1">IFERROR(__xludf.DUMMYFUNCTION("""COMPUTED_VALUE"""),"dmitriinesmelov9@gmail.com")</f>
        <v>dmitriinesmelov9@gmail.com</v>
      </c>
      <c r="C539" s="15" t="str">
        <f ca="1">IFERROR(__xludf.DUMMYFUNCTION("""COMPUTED_VALUE"""),"+79822027642")</f>
        <v>+79822027642</v>
      </c>
      <c r="D539" s="15" t="str">
        <f ca="1">IFERROR(__xludf.DUMMYFUNCTION("""COMPUTED_VALUE"""),"Россия")</f>
        <v>Россия</v>
      </c>
      <c r="E539" s="14"/>
      <c r="F539" s="8" t="str">
        <f ca="1">IFERROR(__xludf.DUMMYFUNCTION("""COMPUTED_VALUE"""),"- Партнерская программа
- Вводный вебинар 3.5.22 на Шаг к Пробуждению")</f>
        <v>- Партнерская программа
- Вводный вебинар 3.5.22 на Шаг к Пробуждению</v>
      </c>
      <c r="G539" s="1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>
      <c r="A540" s="14" t="str">
        <f ca="1">IFERROR(__xludf.DUMMYFUNCTION("""COMPUTED_VALUE"""),"Дмитрий Титов")</f>
        <v>Дмитрий Титов</v>
      </c>
      <c r="B540" s="14" t="str">
        <f ca="1">IFERROR(__xludf.DUMMYFUNCTION("""COMPUTED_VALUE"""),"dmitriyda777@gmail.com")</f>
        <v>dmitriyda777@gmail.com</v>
      </c>
      <c r="C540" s="15" t="str">
        <f ca="1">IFERROR(__xludf.DUMMYFUNCTION("""COMPUTED_VALUE"""),"79940072416")</f>
        <v>79940072416</v>
      </c>
      <c r="D540" s="15" t="str">
        <f ca="1">IFERROR(__xludf.DUMMYFUNCTION("""COMPUTED_VALUE"""),"Россия")</f>
        <v>Россия</v>
      </c>
      <c r="E540" s="14"/>
      <c r="F540" s="8" t="str">
        <f ca="1">IFERROR(__xludf.DUMMYFUNCTION("""COMPUTED_VALUE"""),"- Базовая бесплатная часть")</f>
        <v>- Базовая бесплатная часть</v>
      </c>
      <c r="G540" s="1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>
      <c r="A541" s="14" t="str">
        <f ca="1">IFERROR(__xludf.DUMMYFUNCTION("""COMPUTED_VALUE"""),"Анастасия Кот")</f>
        <v>Анастасия Кот</v>
      </c>
      <c r="B541" s="14" t="str">
        <f ca="1">IFERROR(__xludf.DUMMYFUNCTION("""COMPUTED_VALUE"""),"dmitriyevna_1990@inbox.ru")</f>
        <v>dmitriyevna_1990@inbox.ru</v>
      </c>
      <c r="C541" s="15"/>
      <c r="D541" s="15" t="str">
        <f ca="1">IFERROR(__xludf.DUMMYFUNCTION("""COMPUTED_VALUE"""),"Россия")</f>
        <v>Россия</v>
      </c>
      <c r="E541" s="14"/>
      <c r="F541" s="8" t="str">
        <f ca="1">IFERROR(__xludf.DUMMYFUNCTION("""COMPUTED_VALUE"""),"- Тишина Челлендж (бесплатная часть)")</f>
        <v>- Тишина Челлендж (бесплатная часть)</v>
      </c>
      <c r="G541" s="1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>
      <c r="A542" s="14" t="str">
        <f ca="1">IFERROR(__xludf.DUMMYFUNCTION("""COMPUTED_VALUE"""),"Дима Черногор")</f>
        <v>Дима Черногор</v>
      </c>
      <c r="B542" s="14" t="str">
        <f ca="1">IFERROR(__xludf.DUMMYFUNCTION("""COMPUTED_VALUE"""),"dmutruk.chernogor@gmail.com")</f>
        <v>dmutruk.chernogor@gmail.com</v>
      </c>
      <c r="C542" s="15" t="str">
        <f ca="1">IFERROR(__xludf.DUMMYFUNCTION("""COMPUTED_VALUE"""),"+380730840884")</f>
        <v>+380730840884</v>
      </c>
      <c r="D542" s="15" t="str">
        <f ca="1">IFERROR(__xludf.DUMMYFUNCTION("""COMPUTED_VALUE"""),"Украина")</f>
        <v>Украина</v>
      </c>
      <c r="E542" s="14"/>
      <c r="F542" s="8" t="str">
        <f ca="1">IFERROR(__xludf.DUMMYFUNCTION("""COMPUTED_VALUE"""),"- Вебинар все о ретрите 12.2.2022")</f>
        <v>- Вебинар все о ретрите 12.2.2022</v>
      </c>
      <c r="G542" s="1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>
      <c r="A543" s="14" t="str">
        <f ca="1">IFERROR(__xludf.DUMMYFUNCTION("""COMPUTED_VALUE"""),"dno14061995,  ")</f>
        <v xml:space="preserve">dno14061995,  </v>
      </c>
      <c r="B543" s="14" t="str">
        <f ca="1">IFERROR(__xludf.DUMMYFUNCTION("""COMPUTED_VALUE"""),"dno14061995@mail.ru")</f>
        <v>dno14061995@mail.ru</v>
      </c>
      <c r="C543" s="15"/>
      <c r="D543" s="15"/>
      <c r="E543" s="14"/>
      <c r="F543" s="8" t="str">
        <f ca="1">IFERROR(__xludf.DUMMYFUNCTION("""COMPUTED_VALUE"""),"- USA Челлендж Тишина")</f>
        <v>- USA Челлендж Тишина</v>
      </c>
      <c r="G543" s="1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>
      <c r="A544" s="14" t="str">
        <f ca="1">IFERROR(__xludf.DUMMYFUNCTION("""COMPUTED_VALUE"""),"Николай Пахомов")</f>
        <v>Николай Пахомов</v>
      </c>
      <c r="B544" s="14" t="str">
        <f ca="1">IFERROR(__xludf.DUMMYFUNCTION("""COMPUTED_VALUE"""),"dnxqhv@hi2.in")</f>
        <v>dnxqhv@hi2.in</v>
      </c>
      <c r="C544" s="15" t="str">
        <f ca="1">IFERROR(__xludf.DUMMYFUNCTION("""COMPUTED_VALUE"""),"79778751255")</f>
        <v>79778751255</v>
      </c>
      <c r="D544" s="15" t="str">
        <f ca="1">IFERROR(__xludf.DUMMYFUNCTION("""COMPUTED_VALUE"""),"Россия")</f>
        <v>Россия</v>
      </c>
      <c r="E544" s="14"/>
      <c r="F544" s="8" t="str">
        <f ca="1">IFERROR(__xludf.DUMMYFUNCTION("""COMPUTED_VALUE"""),"- Однодневный ретрит Россия 14 мая 2022")</f>
        <v>- Однодневный ретрит Россия 14 мая 2022</v>
      </c>
      <c r="G544" s="1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38.25">
      <c r="A545" s="14" t="str">
        <f ca="1">IFERROR(__xludf.DUMMYFUNCTION("""COMPUTED_VALUE"""),"Владимир Ващенко")</f>
        <v>Владимир Ващенко</v>
      </c>
      <c r="B545" s="14" t="str">
        <f ca="1">IFERROR(__xludf.DUMMYFUNCTION("""COMPUTED_VALUE"""),"doctorz83@mail.ru")</f>
        <v>doctorz83@mail.ru</v>
      </c>
      <c r="C545" s="15" t="str">
        <f ca="1">IFERROR(__xludf.DUMMYFUNCTION("""COMPUTED_VALUE"""),"79228081877")</f>
        <v>79228081877</v>
      </c>
      <c r="D545" s="15" t="str">
        <f ca="1">IFERROR(__xludf.DUMMYFUNCTION("""COMPUTED_VALUE"""),"Россия")</f>
        <v>Россия</v>
      </c>
      <c r="E545" s="14"/>
      <c r="F545" s="8" t="str">
        <f ca="1">IFERROR(__xludf.DUMMYFUNCTION("""COMPUTED_VALUE"""),"- Марафон Тишины - Тишина челлендж: Урал, Казахстан, Узбекистан 25-29.04.2022
- Вводный вебинар 3.5.22 на Шаг к Пробуждению")</f>
        <v>- Марафон Тишины - Тишина челлендж: Урал, Казахстан, Узбекистан 25-29.04.2022
- Вводный вебинар 3.5.22 на Шаг к Пробуждению</v>
      </c>
      <c r="G545" s="1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>
      <c r="A546" s="14" t="str">
        <f ca="1">IFERROR(__xludf.DUMMYFUNCTION("""COMPUTED_VALUE"""),"Андрей Филин")</f>
        <v>Андрей Филин</v>
      </c>
      <c r="B546" s="14" t="str">
        <f ca="1">IFERROR(__xludf.DUMMYFUNCTION("""COMPUTED_VALUE"""),"doktor8992018@gmail.com")</f>
        <v>doktor8992018@gmail.com</v>
      </c>
      <c r="C546" s="15" t="str">
        <f ca="1">IFERROR(__xludf.DUMMYFUNCTION("""COMPUTED_VALUE"""),"79051559717")</f>
        <v>79051559717</v>
      </c>
      <c r="D546" s="15" t="str">
        <f ca="1">IFERROR(__xludf.DUMMYFUNCTION("""COMPUTED_VALUE"""),"Россия")</f>
        <v>Россия</v>
      </c>
      <c r="E546" s="14"/>
      <c r="F546" s="8" t="str">
        <f ca="1">IFERROR(__xludf.DUMMYFUNCTION("""COMPUTED_VALUE"""),"- Тишина Челлендж (бесплатная часть)")</f>
        <v>- Тишина Челлендж (бесплатная часть)</v>
      </c>
      <c r="G546" s="1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5.5">
      <c r="A547" s="14" t="str">
        <f ca="1">IFERROR(__xludf.DUMMYFUNCTION("""COMPUTED_VALUE"""),"Елена Кудайбергенова")</f>
        <v>Елена Кудайбергенова</v>
      </c>
      <c r="B547" s="14" t="str">
        <f ca="1">IFERROR(__xludf.DUMMYFUNCTION("""COMPUTED_VALUE"""),"dolce1984@mail.ru")</f>
        <v>dolce1984@mail.ru</v>
      </c>
      <c r="C547" s="15" t="str">
        <f ca="1">IFERROR(__xludf.DUMMYFUNCTION("""COMPUTED_VALUE"""),"+998909390967")</f>
        <v>+998909390967</v>
      </c>
      <c r="D547" s="15"/>
      <c r="E547" s="14"/>
      <c r="F54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547" s="1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38.25">
      <c r="A548" s="14" t="str">
        <f ca="1">IFERROR(__xludf.DUMMYFUNCTION("""COMPUTED_VALUE"""),"Елена Квасова")</f>
        <v>Елена Квасова</v>
      </c>
      <c r="B548" s="14" t="str">
        <f ca="1">IFERROR(__xludf.DUMMYFUNCTION("""COMPUTED_VALUE"""),"Dolen.100@mail.ru")</f>
        <v>Dolen.100@mail.ru</v>
      </c>
      <c r="C548" s="15" t="str">
        <f ca="1">IFERROR(__xludf.DUMMYFUNCTION("""COMPUTED_VALUE"""),"+79005973405")</f>
        <v>+79005973405</v>
      </c>
      <c r="D548" s="15" t="str">
        <f ca="1">IFERROR(__xludf.DUMMYFUNCTION("""COMPUTED_VALUE"""),"Россия")</f>
        <v>Россия</v>
      </c>
      <c r="E548" s="14"/>
      <c r="F548" s="8" t="str">
        <f ca="1">IFERROR(__xludf.DUMMYFUNCTION("""COMPUTED_VALUE"""),"- Заявка на СЪЕЗД+ФЕСТИВАЛЬ ""Мы вместе"" 3-8.01.22
- Вебинар все о ретрите 12.2.2022
- Выездной ретрит Воронеж-Липецк 25-27.2.2022")</f>
        <v>- Заявка на СЪЕЗД+ФЕСТИВАЛЬ "Мы вместе" 3-8.01.22
- Вебинар все о ретрите 12.2.2022
- Выездной ретрит Воронеж-Липецк 25-27.2.2022</v>
      </c>
      <c r="G548" s="1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>
      <c r="A549" s="14" t="str">
        <f ca="1">IFERROR(__xludf.DUMMYFUNCTION("""COMPUTED_VALUE"""),"Елена Любина")</f>
        <v>Елена Любина</v>
      </c>
      <c r="B549" s="14" t="str">
        <f ca="1">IFERROR(__xludf.DUMMYFUNCTION("""COMPUTED_VALUE"""),"dolganova_elena17@mail.ru")</f>
        <v>dolganova_elena17@mail.ru</v>
      </c>
      <c r="C549" s="15"/>
      <c r="D549" s="15" t="str">
        <f ca="1">IFERROR(__xludf.DUMMYFUNCTION("""COMPUTED_VALUE"""),"Россия")</f>
        <v>Россия</v>
      </c>
      <c r="E549" s="14"/>
      <c r="F549" s="8" t="str">
        <f ca="1">IFERROR(__xludf.DUMMYFUNCTION("""COMPUTED_VALUE"""),"- Тишина Челлендж (бесплатная часть)")</f>
        <v>- Тишина Челлендж (бесплатная часть)</v>
      </c>
      <c r="G549" s="1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5.5">
      <c r="A550" s="14" t="str">
        <f ca="1">IFERROR(__xludf.DUMMYFUNCTION("""COMPUTED_VALUE"""),"Domile Semeskeviciute")</f>
        <v>Domile Semeskeviciute</v>
      </c>
      <c r="B550" s="14" t="str">
        <f ca="1">IFERROR(__xludf.DUMMYFUNCTION("""COMPUTED_VALUE"""),"domile99@gmail.com")</f>
        <v>domile99@gmail.com</v>
      </c>
      <c r="C550" s="15" t="str">
        <f ca="1">IFERROR(__xludf.DUMMYFUNCTION("""COMPUTED_VALUE"""),"+37061421915")</f>
        <v>+37061421915</v>
      </c>
      <c r="D550" s="15" t="str">
        <f ca="1">IFERROR(__xludf.DUMMYFUNCTION("""COMPUTED_VALUE"""),"Литва")</f>
        <v>Литва</v>
      </c>
      <c r="E550" s="14"/>
      <c r="F550" s="8" t="str">
        <f ca="1">IFERROR(__xludf.DUMMYFUNCTION("""COMPUTED_VALUE"""),"- ретрит ЕВРОПЕЙСКИЙ 14-21.1.2022 Латвия(550€)
- Вебинар с Никитой Бородулиным 11.02.2022 часть1")</f>
        <v>- ретрит ЕВРОПЕЙСКИЙ 14-21.1.2022 Латвия(550€)
- Вебинар с Никитой Бородулиным 11.02.2022 часть1</v>
      </c>
      <c r="G550" s="1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>
      <c r="A551" s="14" t="str">
        <f ca="1">IFERROR(__xludf.DUMMYFUNCTION("""COMPUTED_VALUE"""),"Christiane Ch")</f>
        <v>Christiane Ch</v>
      </c>
      <c r="B551" s="14" t="str">
        <f ca="1">IFERROR(__xludf.DUMMYFUNCTION("""COMPUTED_VALUE"""),"donner-christiane@web.de")</f>
        <v>donner-christiane@web.de</v>
      </c>
      <c r="C551" s="15"/>
      <c r="D551" s="15"/>
      <c r="E551" s="14"/>
      <c r="F551" s="8" t="str">
        <f ca="1">IFERROR(__xludf.DUMMYFUNCTION("""COMPUTED_VALUE"""),"- What hides behind anxiety? The quantum leap [EU]")</f>
        <v>- What hides behind anxiety? The quantum leap [EU]</v>
      </c>
      <c r="G551" s="1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5.5">
      <c r="A552" s="14" t="str">
        <f ca="1">IFERROR(__xludf.DUMMYFUNCTION("""COMPUTED_VALUE"""),"Батыр Насреддинов")</f>
        <v>Батыр Насреддинов</v>
      </c>
      <c r="B552" s="14" t="str">
        <f ca="1">IFERROR(__xludf.DUMMYFUNCTION("""COMPUTED_VALUE"""),"Donsancho1864@gmail.com")</f>
        <v>Donsancho1864@gmail.com</v>
      </c>
      <c r="C552" s="15" t="str">
        <f ca="1">IFERROR(__xludf.DUMMYFUNCTION("""COMPUTED_VALUE"""),"+998977569218")</f>
        <v>+998977569218</v>
      </c>
      <c r="D552" s="15"/>
      <c r="E552" s="14"/>
      <c r="F55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552" s="1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5.5">
      <c r="A553" s="14" t="str">
        <f ca="1">IFERROR(__xludf.DUMMYFUNCTION("""COMPUTED_VALUE"""),"Ирина Третьякова")</f>
        <v>Ирина Третьякова</v>
      </c>
      <c r="B553" s="14" t="str">
        <f ca="1">IFERROR(__xludf.DUMMYFUNCTION("""COMPUTED_VALUE"""),"dorofeeva.1971@mail.ru")</f>
        <v>dorofeeva.1971@mail.ru</v>
      </c>
      <c r="C553" s="15" t="str">
        <f ca="1">IFERROR(__xludf.DUMMYFUNCTION("""COMPUTED_VALUE"""),"79645438902")</f>
        <v>79645438902</v>
      </c>
      <c r="D553" s="15" t="str">
        <f ca="1">IFERROR(__xludf.DUMMYFUNCTION("""COMPUTED_VALUE"""),"Россия")</f>
        <v>Россия</v>
      </c>
      <c r="E553" s="14"/>
      <c r="F553" s="8" t="str">
        <f ca="1">IFERROR(__xludf.DUMMYFUNCTION("""COMPUTED_VALUE"""),"- Живая ""Практика тишины"" г. Санкт-Петербург (регулярные занятия)")</f>
        <v>- Живая "Практика тишины" г. Санкт-Петербург (регулярные занятия)</v>
      </c>
      <c r="G553" s="1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>
      <c r="A554" s="14" t="str">
        <f ca="1">IFERROR(__xludf.DUMMYFUNCTION("""COMPUTED_VALUE"""),"Жанат Доспаев")</f>
        <v>Жанат Доспаев</v>
      </c>
      <c r="B554" s="14" t="str">
        <f ca="1">IFERROR(__xludf.DUMMYFUNCTION("""COMPUTED_VALUE"""),"dospaev@mail.ru")</f>
        <v>dospaev@mail.ru</v>
      </c>
      <c r="C554" s="15"/>
      <c r="D554" s="15" t="str">
        <f ca="1">IFERROR(__xludf.DUMMYFUNCTION("""COMPUTED_VALUE"""),"Швеция")</f>
        <v>Швеция</v>
      </c>
      <c r="E554" s="14"/>
      <c r="F554" s="8" t="str">
        <f ca="1">IFERROR(__xludf.DUMMYFUNCTION("""COMPUTED_VALUE"""),"- Тишина Челлендж (бесплатная часть)")</f>
        <v>- Тишина Челлендж (бесплатная часть)</v>
      </c>
      <c r="G554" s="1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5.5">
      <c r="A555" s="14" t="str">
        <f ca="1">IFERROR(__xludf.DUMMYFUNCTION("""COMPUTED_VALUE"""),"Айгуль Дос")</f>
        <v>Айгуль Дос</v>
      </c>
      <c r="B555" s="14" t="str">
        <f ca="1">IFERROR(__xludf.DUMMYFUNCTION("""COMPUTED_VALUE"""),"Dossanai@mail.ru")</f>
        <v>Dossanai@mail.ru</v>
      </c>
      <c r="C555" s="15" t="str">
        <f ca="1">IFERROR(__xludf.DUMMYFUNCTION("""COMPUTED_VALUE"""),"87026027992")</f>
        <v>87026027992</v>
      </c>
      <c r="D555" s="15"/>
      <c r="E555" s="14"/>
      <c r="F55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555" s="1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>
      <c r="A556" s="14" t="str">
        <f ca="1">IFERROR(__xludf.DUMMYFUNCTION("""COMPUTED_VALUE"""),"Ирина Мутина")</f>
        <v>Ирина Мутина</v>
      </c>
      <c r="B556" s="14" t="str">
        <f ca="1">IFERROR(__xludf.DUMMYFUNCTION("""COMPUTED_VALUE"""),"dou_83_ku@mail.ru")</f>
        <v>dou_83_ku@mail.ru</v>
      </c>
      <c r="C556" s="15" t="str">
        <f ca="1">IFERROR(__xludf.DUMMYFUNCTION("""COMPUTED_VALUE"""),"79086311436")</f>
        <v>79086311436</v>
      </c>
      <c r="D556" s="15" t="str">
        <f ca="1">IFERROR(__xludf.DUMMYFUNCTION("""COMPUTED_VALUE"""),"Россия")</f>
        <v>Россия</v>
      </c>
      <c r="E556" s="14"/>
      <c r="F556" s="8" t="str">
        <f ca="1">IFERROR(__xludf.DUMMYFUNCTION("""COMPUTED_VALUE"""),"- Практика Тишины в Екатеринбурге одно занятие")</f>
        <v>- Практика Тишины в Екатеринбурге одно занятие</v>
      </c>
      <c r="G556" s="1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>
      <c r="A557" s="14" t="str">
        <f ca="1">IFERROR(__xludf.DUMMYFUNCTION("""COMPUTED_VALUE"""),"Денис Полозенко")</f>
        <v>Денис Полозенко</v>
      </c>
      <c r="B557" s="14" t="str">
        <f ca="1">IFERROR(__xludf.DUMMYFUNCTION("""COMPUTED_VALUE"""),"Dpolozenko@mail.ru")</f>
        <v>Dpolozenko@mail.ru</v>
      </c>
      <c r="C557" s="15" t="str">
        <f ca="1">IFERROR(__xludf.DUMMYFUNCTION("""COMPUTED_VALUE"""),"87074242121")</f>
        <v>87074242121</v>
      </c>
      <c r="D557" s="15" t="str">
        <f ca="1">IFERROR(__xludf.DUMMYFUNCTION("""COMPUTED_VALUE"""),"Казахстан")</f>
        <v>Казахстан</v>
      </c>
      <c r="E557" s="14"/>
      <c r="F557" s="8" t="str">
        <f ca="1">IFERROR(__xludf.DUMMYFUNCTION("""COMPUTED_VALUE"""),"- Живая ""Практика тишины"" Алматы (регулярные занятия)")</f>
        <v>- Живая "Практика тишины" Алматы (регулярные занятия)</v>
      </c>
      <c r="G557" s="1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5.5">
      <c r="A558" s="14" t="str">
        <f ca="1">IFERROR(__xludf.DUMMYFUNCTION("""COMPUTED_VALUE"""),"Dayana Chernenko")</f>
        <v>Dayana Chernenko</v>
      </c>
      <c r="B558" s="14" t="str">
        <f ca="1">IFERROR(__xludf.DUMMYFUNCTION("""COMPUTED_VALUE"""),"drakosha543@gmail.com")</f>
        <v>drakosha543@gmail.com</v>
      </c>
      <c r="C558" s="15" t="str">
        <f ca="1">IFERROR(__xludf.DUMMYFUNCTION("""COMPUTED_VALUE"""),"+972523912203")</f>
        <v>+972523912203</v>
      </c>
      <c r="D558" s="15" t="str">
        <f ca="1">IFERROR(__xludf.DUMMYFUNCTION("""COMPUTED_VALUE"""),"Израиль")</f>
        <v>Израиль</v>
      </c>
      <c r="E558" s="14"/>
      <c r="F558" s="8" t="str">
        <f ca="1">IFERROR(__xludf.DUMMYFUNCTION("""COMPUTED_VALUE"""),"- Онлайн курс Шаг к Пробуждению №16 26.2-5.3.22 Пакет стандартный")</f>
        <v>- Онлайн курс Шаг к Пробуждению №16 26.2-5.3.22 Пакет стандартный</v>
      </c>
      <c r="G558" s="1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>
      <c r="A559" s="14" t="str">
        <f ca="1">IFERROR(__xludf.DUMMYFUNCTION("""COMPUTED_VALUE"""),"drobinana,  ")</f>
        <v xml:space="preserve">drobinana,  </v>
      </c>
      <c r="B559" s="14" t="str">
        <f ca="1">IFERROR(__xludf.DUMMYFUNCTION("""COMPUTED_VALUE"""),"drobinana@gmail.com")</f>
        <v>drobinana@gmail.com</v>
      </c>
      <c r="C559" s="15"/>
      <c r="D559" s="15"/>
      <c r="E559" s="14"/>
      <c r="F559" s="8" t="str">
        <f ca="1">IFERROR(__xludf.DUMMYFUNCTION("""COMPUTED_VALUE"""),"- Челлендж Тишины")</f>
        <v>- Челлендж Тишины</v>
      </c>
      <c r="G559" s="1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>
      <c r="A560" s="14" t="str">
        <f ca="1">IFERROR(__xludf.DUMMYFUNCTION("""COMPUTED_VALUE"""),"Дмитрий Симченко")</f>
        <v>Дмитрий Симченко</v>
      </c>
      <c r="B560" s="14" t="str">
        <f ca="1">IFERROR(__xludf.DUMMYFUNCTION("""COMPUTED_VALUE"""),"dsimchenko@gmail.com")</f>
        <v>dsimchenko@gmail.com</v>
      </c>
      <c r="C560" s="15" t="str">
        <f ca="1">IFERROR(__xludf.DUMMYFUNCTION("""COMPUTED_VALUE"""),"+79384405221")</f>
        <v>+79384405221</v>
      </c>
      <c r="D560" s="15" t="str">
        <f ca="1">IFERROR(__xludf.DUMMYFUNCTION("""COMPUTED_VALUE"""),"Россия")</f>
        <v>Россия</v>
      </c>
      <c r="E560" s="14"/>
      <c r="F560" s="8" t="str">
        <f ca="1">IFERROR(__xludf.DUMMYFUNCTION("""COMPUTED_VALUE"""),"- Партнерская программа")</f>
        <v>- Партнерская программа</v>
      </c>
      <c r="G560" s="1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>
      <c r="A561" s="14" t="str">
        <f ca="1">IFERROR(__xludf.DUMMYFUNCTION("""COMPUTED_VALUE"""),"Татьяна Николаевна")</f>
        <v>Татьяна Николаевна</v>
      </c>
      <c r="B561" s="14" t="str">
        <f ca="1">IFERROR(__xludf.DUMMYFUNCTION("""COMPUTED_VALUE"""),"dubovicova01@gmail.com")</f>
        <v>dubovicova01@gmail.com</v>
      </c>
      <c r="C561" s="15"/>
      <c r="D561" s="15" t="str">
        <f ca="1">IFERROR(__xludf.DUMMYFUNCTION("""COMPUTED_VALUE"""),"Молдова")</f>
        <v>Молдова</v>
      </c>
      <c r="E561" s="14"/>
      <c r="F561" s="8" t="str">
        <f ca="1">IFERROR(__xludf.DUMMYFUNCTION("""COMPUTED_VALUE"""),"- Тишина Челлендж (бесплатная часть)")</f>
        <v>- Тишина Челлендж (бесплатная часть)</v>
      </c>
      <c r="G561" s="1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>
      <c r="A562" s="14" t="str">
        <f ca="1">IFERROR(__xludf.DUMMYFUNCTION("""COMPUTED_VALUE"""),"Дарья Дубовская")</f>
        <v>Дарья Дубовская</v>
      </c>
      <c r="B562" s="14" t="str">
        <f ca="1">IFERROR(__xludf.DUMMYFUNCTION("""COMPUTED_VALUE"""),"Dubovskaya-1985@mail.ru")</f>
        <v>Dubovskaya-1985@mail.ru</v>
      </c>
      <c r="C562" s="15" t="str">
        <f ca="1">IFERROR(__xludf.DUMMYFUNCTION("""COMPUTED_VALUE"""),"375297604563")</f>
        <v>375297604563</v>
      </c>
      <c r="D562" s="15" t="str">
        <f ca="1">IFERROR(__xludf.DUMMYFUNCTION("""COMPUTED_VALUE"""),"Беларусь")</f>
        <v>Беларусь</v>
      </c>
      <c r="E562" s="14"/>
      <c r="F562" s="8" t="str">
        <f ca="1">IFERROR(__xludf.DUMMYFUNCTION("""COMPUTED_VALUE"""),"- Чайная встреча Разговор по душам Минск 11.12.2021")</f>
        <v>- Чайная встреча Разговор по душам Минск 11.12.2021</v>
      </c>
      <c r="G562" s="1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5.5">
      <c r="A563" s="14" t="str">
        <f ca="1">IFERROR(__xludf.DUMMYFUNCTION("""COMPUTED_VALUE"""),"Валерий Дубровин")</f>
        <v>Валерий Дубровин</v>
      </c>
      <c r="B563" s="14" t="str">
        <f ca="1">IFERROR(__xludf.DUMMYFUNCTION("""COMPUTED_VALUE"""),"dubrovin61@gmail.com")</f>
        <v>dubrovin61@gmail.com</v>
      </c>
      <c r="C563" s="15" t="str">
        <f ca="1">IFERROR(__xludf.DUMMYFUNCTION("""COMPUTED_VALUE"""),"+79647665200")</f>
        <v>+79647665200</v>
      </c>
      <c r="D563" s="15" t="str">
        <f ca="1">IFERROR(__xludf.DUMMYFUNCTION("""COMPUTED_VALUE"""),"Россия")</f>
        <v>Россия</v>
      </c>
      <c r="E563" s="14"/>
      <c r="F563" s="8" t="str">
        <f ca="1">IFERROR(__xludf.DUMMYFUNCTION("""COMPUTED_VALUE"""),"- Вебинар все о ретрите 12.2.2022
- Выездной ретрит Воронеж-Липецк 25-27.2.2022")</f>
        <v>- Вебинар все о ретрите 12.2.2022
- Выездной ретрит Воронеж-Липецк 25-27.2.2022</v>
      </c>
      <c r="G563" s="1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>
      <c r="A564" s="14" t="str">
        <f ca="1">IFERROR(__xludf.DUMMYFUNCTION("""COMPUTED_VALUE"""),"Ксана Купко")</f>
        <v>Ксана Купко</v>
      </c>
      <c r="B564" s="14" t="str">
        <f ca="1">IFERROR(__xludf.DUMMYFUNCTION("""COMPUTED_VALUE"""),"duduka_barbidoskaya@mail.ru")</f>
        <v>duduka_barbidoskaya@mail.ru</v>
      </c>
      <c r="C564" s="15" t="str">
        <f ca="1">IFERROR(__xludf.DUMMYFUNCTION("""COMPUTED_VALUE"""),"79103295589")</f>
        <v>79103295589</v>
      </c>
      <c r="D564" s="15" t="str">
        <f ca="1">IFERROR(__xludf.DUMMYFUNCTION("""COMPUTED_VALUE"""),"Россия ")</f>
        <v xml:space="preserve">Россия </v>
      </c>
      <c r="E564" s="14"/>
      <c r="F564" s="8" t="str">
        <f ca="1">IFERROR(__xludf.DUMMYFUNCTION("""COMPUTED_VALUE"""),"- Тишина Челлендж (бесплатная часть)")</f>
        <v>- Тишина Челлендж (бесплатная часть)</v>
      </c>
      <c r="G564" s="1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5.5">
      <c r="A565" s="14" t="str">
        <f ca="1">IFERROR(__xludf.DUMMYFUNCTION("""COMPUTED_VALUE"""),"Гулнур Джумабаева")</f>
        <v>Гулнур Джумабаева</v>
      </c>
      <c r="B565" s="14" t="str">
        <f ca="1">IFERROR(__xludf.DUMMYFUNCTION("""COMPUTED_VALUE"""),"Dzumabaevagulnur529@gmail.com")</f>
        <v>Dzumabaevagulnur529@gmail.com</v>
      </c>
      <c r="C565" s="15" t="str">
        <f ca="1">IFERROR(__xludf.DUMMYFUNCTION("""COMPUTED_VALUE"""),"995469549")</f>
        <v>995469549</v>
      </c>
      <c r="D565" s="15"/>
      <c r="E565" s="14"/>
      <c r="F56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565" s="1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>
      <c r="A566" s="14" t="str">
        <f ca="1">IFERROR(__xludf.DUMMYFUNCTION("""COMPUTED_VALUE"""),"Елена Смирнова")</f>
        <v>Елена Смирнова</v>
      </c>
      <c r="B566" s="14" t="str">
        <f ca="1">IFERROR(__xludf.DUMMYFUNCTION("""COMPUTED_VALUE"""),"e.cem79@mail.ru")</f>
        <v>e.cem79@mail.ru</v>
      </c>
      <c r="C566" s="15"/>
      <c r="D566" s="15" t="str">
        <f ca="1">IFERROR(__xludf.DUMMYFUNCTION("""COMPUTED_VALUE"""),"Беларусь")</f>
        <v>Беларусь</v>
      </c>
      <c r="E566" s="14"/>
      <c r="F566" s="8" t="str">
        <f ca="1">IFERROR(__xludf.DUMMYFUNCTION("""COMPUTED_VALUE"""),"- Тишина Челлендж (бесплатная часть)")</f>
        <v>- Тишина Челлендж (бесплатная часть)</v>
      </c>
      <c r="G566" s="1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>
      <c r="A567" s="14" t="str">
        <f ca="1">IFERROR(__xludf.DUMMYFUNCTION("""COMPUTED_VALUE"""),"Алена Двойникова")</f>
        <v>Алена Двойникова</v>
      </c>
      <c r="B567" s="14" t="str">
        <f ca="1">IFERROR(__xludf.DUMMYFUNCTION("""COMPUTED_VALUE"""),"e.dvoinikova@mail.ru")</f>
        <v>e.dvoinikova@mail.ru</v>
      </c>
      <c r="C567" s="15" t="str">
        <f ca="1">IFERROR(__xludf.DUMMYFUNCTION("""COMPUTED_VALUE"""),"+375295309826")</f>
        <v>+375295309826</v>
      </c>
      <c r="D567" s="15"/>
      <c r="E567" s="14"/>
      <c r="F567" s="8" t="str">
        <f ca="1">IFERROR(__xludf.DUMMYFUNCTION("""COMPUTED_VALUE"""),"- Тишина Челлендж (бесплатная часть)")</f>
        <v>- Тишина Челлендж (бесплатная часть)</v>
      </c>
      <c r="G567" s="1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>
      <c r="A568" s="14" t="str">
        <f ca="1">IFERROR(__xludf.DUMMYFUNCTION("""COMPUTED_VALUE"""),"Ева Мухамад")</f>
        <v>Ева Мухамад</v>
      </c>
      <c r="B568" s="14" t="str">
        <f ca="1">IFERROR(__xludf.DUMMYFUNCTION("""COMPUTED_VALUE"""),"e634472@gmail.com")</f>
        <v>e634472@gmail.com</v>
      </c>
      <c r="C568" s="15" t="str">
        <f ca="1">IFERROR(__xludf.DUMMYFUNCTION("""COMPUTED_VALUE"""),"+375336053219")</f>
        <v>+375336053219</v>
      </c>
      <c r="D568" s="15" t="str">
        <f ca="1">IFERROR(__xludf.DUMMYFUNCTION("""COMPUTED_VALUE"""),"Беларусь")</f>
        <v>Беларусь</v>
      </c>
      <c r="E568" s="14"/>
      <c r="F568" s="8" t="str">
        <f ca="1">IFERROR(__xludf.DUMMYFUNCTION("""COMPUTED_VALUE"""),"- Чайная встреча Разговор по душам Минск 11.12.2021")</f>
        <v>- Чайная встреча Разговор по душам Минск 11.12.2021</v>
      </c>
      <c r="G568" s="1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>
      <c r="A569" s="14" t="str">
        <f ca="1">IFERROR(__xludf.DUMMYFUNCTION("""COMPUTED_VALUE"""),"Ekaterina Bukharova")</f>
        <v>Ekaterina Bukharova</v>
      </c>
      <c r="B569" s="14" t="str">
        <f ca="1">IFERROR(__xludf.DUMMYFUNCTION("""COMPUTED_VALUE"""),"eab_j@mail.ru")</f>
        <v>eab_j@mail.ru</v>
      </c>
      <c r="C569" s="15" t="str">
        <f ca="1">IFERROR(__xludf.DUMMYFUNCTION("""COMPUTED_VALUE"""),"79585580582")</f>
        <v>79585580582</v>
      </c>
      <c r="D569" s="15" t="str">
        <f ca="1">IFERROR(__xludf.DUMMYFUNCTION("""COMPUTED_VALUE"""),"Россия")</f>
        <v>Россия</v>
      </c>
      <c r="E569" s="14"/>
      <c r="F569" s="8" t="str">
        <f ca="1">IFERROR(__xludf.DUMMYFUNCTION("""COMPUTED_VALUE"""),"- Тишина Челлендж (бесплатная часть)")</f>
        <v>- Тишина Челлендж (бесплатная часть)</v>
      </c>
      <c r="G569" s="1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>
      <c r="A570" s="14" t="str">
        <f ca="1">IFERROR(__xludf.DUMMYFUNCTION("""COMPUTED_VALUE"""),"Денис Ли")</f>
        <v>Денис Ли</v>
      </c>
      <c r="B570" s="14" t="str">
        <f ca="1">IFERROR(__xludf.DUMMYFUNCTION("""COMPUTED_VALUE"""),"Ecams@inbox.ru")</f>
        <v>Ecams@inbox.ru</v>
      </c>
      <c r="C570" s="15"/>
      <c r="D570" s="15" t="str">
        <f ca="1">IFERROR(__xludf.DUMMYFUNCTION("""COMPUTED_VALUE"""),"Россия")</f>
        <v>Россия</v>
      </c>
      <c r="E570" s="14"/>
      <c r="F570" s="8" t="str">
        <f ca="1">IFERROR(__xludf.DUMMYFUNCTION("""COMPUTED_VALUE"""),"- Тишина Челлендж (бесплатная часть)")</f>
        <v>- Тишина Челлендж (бесплатная часть)</v>
      </c>
      <c r="G570" s="1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>
      <c r="A571" s="14" t="str">
        <f ca="1">IFERROR(__xludf.DUMMYFUNCTION("""COMPUTED_VALUE"""),"Едиля KR")</f>
        <v>Едиля KR</v>
      </c>
      <c r="B571" s="14" t="str">
        <f ca="1">IFERROR(__xludf.DUMMYFUNCTION("""COMPUTED_VALUE"""),"Edilyai@yandex.kz")</f>
        <v>Edilyai@yandex.kz</v>
      </c>
      <c r="C571" s="15"/>
      <c r="D571" s="15" t="str">
        <f ca="1">IFERROR(__xludf.DUMMYFUNCTION("""COMPUTED_VALUE"""),"Швеция")</f>
        <v>Швеция</v>
      </c>
      <c r="E571" s="14"/>
      <c r="F571" s="8" t="str">
        <f ca="1">IFERROR(__xludf.DUMMYFUNCTION("""COMPUTED_VALUE"""),"- Тишина Челлендж (бесплатная часть)")</f>
        <v>- Тишина Челлендж (бесплатная часть)</v>
      </c>
      <c r="G571" s="1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>
      <c r="A572" s="14" t="str">
        <f ca="1">IFERROR(__xludf.DUMMYFUNCTION("""COMPUTED_VALUE"""),"Дора Егорова")</f>
        <v>Дора Егорова</v>
      </c>
      <c r="B572" s="14" t="str">
        <f ca="1">IFERROR(__xludf.DUMMYFUNCTION("""COMPUTED_VALUE"""),"edorae@mail.ru")</f>
        <v>edorae@mail.ru</v>
      </c>
      <c r="C572" s="15" t="str">
        <f ca="1">IFERROR(__xludf.DUMMYFUNCTION("""COMPUTED_VALUE"""),"+79142902225")</f>
        <v>+79142902225</v>
      </c>
      <c r="D572" s="15" t="str">
        <f ca="1">IFERROR(__xludf.DUMMYFUNCTION("""COMPUTED_VALUE"""),"Россия")</f>
        <v>Россия</v>
      </c>
      <c r="E572" s="14"/>
      <c r="F572" s="8" t="str">
        <f ca="1">IFERROR(__xludf.DUMMYFUNCTION("""COMPUTED_VALUE"""),"-  Курс Пробуждение. Начало.")</f>
        <v>-  Курс Пробуждение. Начало.</v>
      </c>
      <c r="G572" s="1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>
      <c r="A573" s="14" t="str">
        <f ca="1">IFERROR(__xludf.DUMMYFUNCTION("""COMPUTED_VALUE""")," ")</f>
        <v xml:space="preserve"> </v>
      </c>
      <c r="B573" s="14" t="str">
        <f ca="1">IFERROR(__xludf.DUMMYFUNCTION("""COMPUTED_VALUE"""),"Eduard.Stovbira@yandex.ru")</f>
        <v>Eduard.Stovbira@yandex.ru</v>
      </c>
      <c r="C573" s="15"/>
      <c r="D573" s="15" t="str">
        <f ca="1">IFERROR(__xludf.DUMMYFUNCTION("""COMPUTED_VALUE"""),"Россия")</f>
        <v>Россия</v>
      </c>
      <c r="E573" s="14"/>
      <c r="F573" s="8" t="str">
        <f ca="1">IFERROR(__xludf.DUMMYFUNCTION("""COMPUTED_VALUE"""),"Мероприятий не обнаружено")</f>
        <v>Мероприятий не обнаружено</v>
      </c>
      <c r="G573" s="1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>
      <c r="A574" s="14" t="str">
        <f ca="1">IFERROR(__xludf.DUMMYFUNCTION("""COMPUTED_VALUE"""),"Аида Ефимова")</f>
        <v>Аида Ефимова</v>
      </c>
      <c r="B574" s="14" t="str">
        <f ca="1">IFERROR(__xludf.DUMMYFUNCTION("""COMPUTED_VALUE"""),"efimovaaida13@gmail.com")</f>
        <v>efimovaaida13@gmail.com</v>
      </c>
      <c r="C574" s="15" t="str">
        <f ca="1">IFERROR(__xludf.DUMMYFUNCTION("""COMPUTED_VALUE"""),"+79179959804")</f>
        <v>+79179959804</v>
      </c>
      <c r="D574" s="15" t="str">
        <f ca="1">IFERROR(__xludf.DUMMYFUNCTION("""COMPUTED_VALUE"""),"Россия ")</f>
        <v xml:space="preserve">Россия </v>
      </c>
      <c r="E574" s="14"/>
      <c r="F574" s="8" t="str">
        <f ca="1">IFERROR(__xludf.DUMMYFUNCTION("""COMPUTED_VALUE"""),"- Тишина Челлендж (бесплатная часть)")</f>
        <v>- Тишина Челлендж (бесплатная часть)</v>
      </c>
      <c r="G574" s="1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>
      <c r="A575" s="14" t="str">
        <f ca="1">IFERROR(__xludf.DUMMYFUNCTION("""COMPUTED_VALUE"""),"Елена Ефимова")</f>
        <v>Елена Ефимова</v>
      </c>
      <c r="B575" s="14" t="str">
        <f ca="1">IFERROR(__xludf.DUMMYFUNCTION("""COMPUTED_VALUE"""),"efimovaelena_pskov@mail.ru")</f>
        <v>efimovaelena_pskov@mail.ru</v>
      </c>
      <c r="C575" s="15" t="str">
        <f ca="1">IFERROR(__xludf.DUMMYFUNCTION("""COMPUTED_VALUE"""),"79532350253")</f>
        <v>79532350253</v>
      </c>
      <c r="D575" s="15" t="str">
        <f ca="1">IFERROR(__xludf.DUMMYFUNCTION("""COMPUTED_VALUE"""),"Россия")</f>
        <v>Россия</v>
      </c>
      <c r="E575" s="14"/>
      <c r="F575" s="8" t="str">
        <f ca="1">IFERROR(__xludf.DUMMYFUNCTION("""COMPUTED_VALUE"""),"- Тишина Челлендж (бесплатная часть)")</f>
        <v>- Тишина Челлендж (бесплатная часть)</v>
      </c>
      <c r="G575" s="1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>
      <c r="A576" s="14" t="str">
        <f ca="1">IFERROR(__xludf.DUMMYFUNCTION("""COMPUTED_VALUE"""),"Egle Petrosiene")</f>
        <v>Egle Petrosiene</v>
      </c>
      <c r="B576" s="14" t="str">
        <f ca="1">IFERROR(__xludf.DUMMYFUNCTION("""COMPUTED_VALUE"""),"egpetrosiene@gmail.com")</f>
        <v>egpetrosiene@gmail.com</v>
      </c>
      <c r="C576" s="15" t="str">
        <f ca="1">IFERROR(__xludf.DUMMYFUNCTION("""COMPUTED_VALUE"""),"+37060663157")</f>
        <v>+37060663157</v>
      </c>
      <c r="D576" s="15" t="str">
        <f ca="1">IFERROR(__xludf.DUMMYFUNCTION("""COMPUTED_VALUE"""),"Литва")</f>
        <v>Литва</v>
      </c>
      <c r="E576" s="14"/>
      <c r="F576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576" s="1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38.25">
      <c r="A577" s="14" t="str">
        <f ca="1">IFERROR(__xludf.DUMMYFUNCTION("""COMPUTED_VALUE"""),"Ерофеева ИРИНА")</f>
        <v>Ерофеева ИРИНА</v>
      </c>
      <c r="B577" s="14" t="str">
        <f ca="1">IFERROR(__xludf.DUMMYFUNCTION("""COMPUTED_VALUE"""),"eis280482@gmail.com")</f>
        <v>eis280482@gmail.com</v>
      </c>
      <c r="C577" s="15" t="str">
        <f ca="1">IFERROR(__xludf.DUMMYFUNCTION("""COMPUTED_VALUE"""),"79636048668")</f>
        <v>79636048668</v>
      </c>
      <c r="D577" s="15" t="str">
        <f ca="1">IFERROR(__xludf.DUMMYFUNCTION("""COMPUTED_VALUE"""),"Россия")</f>
        <v>Россия</v>
      </c>
      <c r="E577" s="14"/>
      <c r="F577" s="8" t="str">
        <f ca="1">IFERROR(__xludf.DUMMYFUNCTION("""COMPUTED_VALUE"""),"- Вводный вебинар 3.5.22 на Шаг к Пробуждению
- Тишина Челлендж (бесплатная часть)
-  Курс Пробуждение. Начало.")</f>
        <v>- Вводный вебинар 3.5.22 на Шаг к Пробуждению
- Тишина Челлендж (бесплатная часть)
-  Курс Пробуждение. Начало.</v>
      </c>
      <c r="G577" s="1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>
      <c r="A578" s="14" t="str">
        <f ca="1">IFERROR(__xludf.DUMMYFUNCTION("""COMPUTED_VALUE"""),"Павел Кравцов")</f>
        <v>Павел Кравцов</v>
      </c>
      <c r="B578" s="14" t="str">
        <f ca="1">IFERROR(__xludf.DUMMYFUNCTION("""COMPUTED_VALUE"""),"ejaminsk@gmail.com")</f>
        <v>ejaminsk@gmail.com</v>
      </c>
      <c r="C578" s="15" t="str">
        <f ca="1">IFERROR(__xludf.DUMMYFUNCTION("""COMPUTED_VALUE"""),"+375333568669")</f>
        <v>+375333568669</v>
      </c>
      <c r="D578" s="15" t="str">
        <f ca="1">IFERROR(__xludf.DUMMYFUNCTION("""COMPUTED_VALUE"""),"Беларусь")</f>
        <v>Беларусь</v>
      </c>
      <c r="E578" s="14"/>
      <c r="F578" s="8" t="str">
        <f ca="1">IFERROR(__xludf.DUMMYFUNCTION("""COMPUTED_VALUE"""),"- Чайная встреча в Минске")</f>
        <v>- Чайная встреча в Минске</v>
      </c>
      <c r="G578" s="1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5.5">
      <c r="A579" s="14" t="str">
        <f ca="1">IFERROR(__xludf.DUMMYFUNCTION("""COMPUTED_VALUE"""),"Евгения Тутова")</f>
        <v>Евгения Тутова</v>
      </c>
      <c r="B579" s="14" t="str">
        <f ca="1">IFERROR(__xludf.DUMMYFUNCTION("""COMPUTED_VALUE"""),"Ejeny@ukr.net")</f>
        <v>Ejeny@ukr.net</v>
      </c>
      <c r="C579" s="15" t="str">
        <f ca="1">IFERROR(__xludf.DUMMYFUNCTION("""COMPUTED_VALUE"""),"+380671226612")</f>
        <v>+380671226612</v>
      </c>
      <c r="D579" s="15" t="str">
        <f ca="1">IFERROR(__xludf.DUMMYFUNCTION("""COMPUTED_VALUE"""),"Германия")</f>
        <v>Германия</v>
      </c>
      <c r="E579" s="14"/>
      <c r="F579" s="8" t="str">
        <f ca="1">IFERROR(__xludf.DUMMYFUNCTION("""COMPUTED_VALUE"""),"- Интенсив онлайн 11-13.03.2022 Пакет - ""Украина""
- Онлайн курс Шаг к Шаг к Пробуждению №18 7-24 мая 2022")</f>
        <v>- Интенсив онлайн 11-13.03.2022 Пакет - "Украина"
- Онлайн курс Шаг к Шаг к Пробуждению №18 7-24 мая 2022</v>
      </c>
      <c r="G579" s="1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38.25">
      <c r="A580" s="14" t="str">
        <f ca="1">IFERROR(__xludf.DUMMYFUNCTION("""COMPUTED_VALUE"""),"Евгения Карпова")</f>
        <v>Евгения Карпова</v>
      </c>
      <c r="B580" s="14" t="str">
        <f ca="1">IFERROR(__xludf.DUMMYFUNCTION("""COMPUTED_VALUE"""),"ekabernik@mail.ru")</f>
        <v>ekabernik@mail.ru</v>
      </c>
      <c r="C580" s="15" t="str">
        <f ca="1">IFERROR(__xludf.DUMMYFUNCTION("""COMPUTED_VALUE"""),"+375298525655")</f>
        <v>+375298525655</v>
      </c>
      <c r="D580" s="15" t="str">
        <f ca="1">IFERROR(__xludf.DUMMYFUNCTION("""COMPUTED_VALUE"""),"Беларусь")</f>
        <v>Беларусь</v>
      </c>
      <c r="E580" s="14"/>
      <c r="F580" s="8" t="str">
        <f ca="1">IFERROR(__xludf.DUMMYFUNCTION("""COMPUTED_VALUE"""),"- Вебинар все о ретрите 12.2.2022
- Вебинар с Никитой Бородулиным 11.02.2022 часть1
- Тишина Челлендж (бесплатная часть)")</f>
        <v>- Вебинар все о ретрите 12.2.2022
- Вебинар с Никитой Бородулиным 11.02.2022 часть1
- Тишина Челлендж (бесплатная часть)</v>
      </c>
      <c r="G580" s="1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5.5">
      <c r="A581" s="14" t="str">
        <f ca="1">IFERROR(__xludf.DUMMYFUNCTION("""COMPUTED_VALUE"""),"Екатерина Тимофеева")</f>
        <v>Екатерина Тимофеева</v>
      </c>
      <c r="B581" s="14" t="str">
        <f ca="1">IFERROR(__xludf.DUMMYFUNCTION("""COMPUTED_VALUE"""),"ekaterin.timof@mail.ru")</f>
        <v>ekaterin.timof@mail.ru</v>
      </c>
      <c r="C581" s="15" t="str">
        <f ca="1">IFERROR(__xludf.DUMMYFUNCTION("""COMPUTED_VALUE"""),"+79990342562")</f>
        <v>+79990342562</v>
      </c>
      <c r="D581" s="15" t="str">
        <f ca="1">IFERROR(__xludf.DUMMYFUNCTION("""COMPUTED_VALUE"""),"Россия")</f>
        <v>Россия</v>
      </c>
      <c r="E581" s="14"/>
      <c r="F581" s="8" t="str">
        <f ca="1">IFERROR(__xludf.DUMMYFUNCTION("""COMPUTED_VALUE"""),"- Базовая бесплатная часть
- Городской интенсив Санкт-Петербург 27-29.05.2022")</f>
        <v>- Базовая бесплатная часть
- Городской интенсив Санкт-Петербург 27-29.05.2022</v>
      </c>
      <c r="G581" s="1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>
      <c r="A582" s="14" t="str">
        <f ca="1">IFERROR(__xludf.DUMMYFUNCTION("""COMPUTED_VALUE"""),"ekaterina.spector,  ")</f>
        <v xml:space="preserve">ekaterina.spector,  </v>
      </c>
      <c r="B582" s="14" t="str">
        <f ca="1">IFERROR(__xludf.DUMMYFUNCTION("""COMPUTED_VALUE"""),"ekaterina.spector@gmail.com")</f>
        <v>ekaterina.spector@gmail.com</v>
      </c>
      <c r="C582" s="15"/>
      <c r="D582" s="15"/>
      <c r="E582" s="14"/>
      <c r="F582" s="8" t="str">
        <f ca="1">IFERROR(__xludf.DUMMYFUNCTION("""COMPUTED_VALUE"""),"- USA Челлендж Тишина")</f>
        <v>- USA Челлендж Тишина</v>
      </c>
      <c r="G582" s="1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>
      <c r="A583" s="14" t="str">
        <f ca="1">IFERROR(__xludf.DUMMYFUNCTION("""COMPUTED_VALUE"""),"Ekaterina0122,  ")</f>
        <v xml:space="preserve">Ekaterina0122,  </v>
      </c>
      <c r="B583" s="14" t="str">
        <f ca="1">IFERROR(__xludf.DUMMYFUNCTION("""COMPUTED_VALUE"""),"Ekaterina0122@rambler.ru")</f>
        <v>Ekaterina0122@rambler.ru</v>
      </c>
      <c r="C583" s="15"/>
      <c r="D583" s="15"/>
      <c r="E583" s="14"/>
      <c r="F583" s="8" t="str">
        <f ca="1">IFERROR(__xludf.DUMMYFUNCTION("""COMPUTED_VALUE"""),"- Челлендж Тишины")</f>
        <v>- Челлендж Тишины</v>
      </c>
      <c r="G583" s="1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>
      <c r="A584" s="14" t="str">
        <f ca="1">IFERROR(__xludf.DUMMYFUNCTION("""COMPUTED_VALUE"""),"ekaterinakurbatova35,  ")</f>
        <v xml:space="preserve">ekaterinakurbatova35,  </v>
      </c>
      <c r="B584" s="14" t="str">
        <f ca="1">IFERROR(__xludf.DUMMYFUNCTION("""COMPUTED_VALUE"""),"ekaterinakurbatova35@gmail.com")</f>
        <v>ekaterinakurbatova35@gmail.com</v>
      </c>
      <c r="C584" s="15"/>
      <c r="D584" s="15" t="str">
        <f ca="1">IFERROR(__xludf.DUMMYFUNCTION("""COMPUTED_VALUE"""),"Россия")</f>
        <v>Россия</v>
      </c>
      <c r="E584" s="14"/>
      <c r="F584" s="8" t="str">
        <f ca="1">IFERROR(__xludf.DUMMYFUNCTION("""COMPUTED_VALUE"""),"- Базовая бесплатная часть")</f>
        <v>- Базовая бесплатная часть</v>
      </c>
      <c r="G584" s="1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>
      <c r="A585" s="14" t="str">
        <f ca="1">IFERROR(__xludf.DUMMYFUNCTION("""COMPUTED_VALUE"""),"Екатерина Андриенко")</f>
        <v>Екатерина Андриенко</v>
      </c>
      <c r="B585" s="14" t="str">
        <f ca="1">IFERROR(__xludf.DUMMYFUNCTION("""COMPUTED_VALUE"""),"ekaterinatrafimcik@gmail.com")</f>
        <v>ekaterinatrafimcik@gmail.com</v>
      </c>
      <c r="C585" s="15" t="str">
        <f ca="1">IFERROR(__xludf.DUMMYFUNCTION("""COMPUTED_VALUE"""),"+375292559355")</f>
        <v>+375292559355</v>
      </c>
      <c r="D585" s="15" t="str">
        <f ca="1">IFERROR(__xludf.DUMMYFUNCTION("""COMPUTED_VALUE"""),"Беларусь")</f>
        <v>Беларусь</v>
      </c>
      <c r="E585" s="14"/>
      <c r="F585" s="8" t="str">
        <f ca="1">IFERROR(__xludf.DUMMYFUNCTION("""COMPUTED_VALUE"""),"- Чайная встреча Разговор по душам Минск 9.04.2022")</f>
        <v>- Чайная встреча Разговор по душам Минск 9.04.2022</v>
      </c>
      <c r="G585" s="1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5.5">
      <c r="A586" s="14" t="str">
        <f ca="1">IFERROR(__xludf.DUMMYFUNCTION("""COMPUTED_VALUE"""),"Екатерина Пшеничникова")</f>
        <v>Екатерина Пшеничникова</v>
      </c>
      <c r="B586" s="14" t="str">
        <f ca="1">IFERROR(__xludf.DUMMYFUNCTION("""COMPUTED_VALUE"""),"Ekatirena.ekatirena@gmail.com")</f>
        <v>Ekatirena.ekatirena@gmail.com</v>
      </c>
      <c r="C586" s="15" t="str">
        <f ca="1">IFERROR(__xludf.DUMMYFUNCTION("""COMPUTED_VALUE"""),"+998903470315")</f>
        <v>+998903470315</v>
      </c>
      <c r="D586" s="15"/>
      <c r="E586" s="14"/>
      <c r="F58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586" s="1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>
      <c r="A587" s="14" t="str">
        <f ca="1">IFERROR(__xludf.DUMMYFUNCTION("""COMPUTED_VALUE"""),"Елена Кутусова")</f>
        <v>Елена Кутусова</v>
      </c>
      <c r="B587" s="14" t="str">
        <f ca="1">IFERROR(__xludf.DUMMYFUNCTION("""COMPUTED_VALUE"""),"Ekutusova@bk.ru")</f>
        <v>Ekutusova@bk.ru</v>
      </c>
      <c r="C587" s="15" t="str">
        <f ca="1">IFERROR(__xludf.DUMMYFUNCTION("""COMPUTED_VALUE"""),"79030986224")</f>
        <v>79030986224</v>
      </c>
      <c r="D587" s="15" t="str">
        <f ca="1">IFERROR(__xludf.DUMMYFUNCTION("""COMPUTED_VALUE"""),"Россия")</f>
        <v>Россия</v>
      </c>
      <c r="E587" s="14"/>
      <c r="F587" s="8" t="str">
        <f ca="1">IFERROR(__xludf.DUMMYFUNCTION("""COMPUTED_VALUE"""),"- Чайная встреча Жить сердцем Питер 30.12.2021")</f>
        <v>- Чайная встреча Жить сердцем Питер 30.12.2021</v>
      </c>
      <c r="G587" s="1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5.5">
      <c r="A588" s="14" t="str">
        <f ca="1">IFERROR(__xludf.DUMMYFUNCTION("""COMPUTED_VALUE"""),"Елена Федорова")</f>
        <v>Елена Федорова</v>
      </c>
      <c r="B588" s="14" t="str">
        <f ca="1">IFERROR(__xludf.DUMMYFUNCTION("""COMPUTED_VALUE"""),"ekz040298@mail.ru")</f>
        <v>ekz040298@mail.ru</v>
      </c>
      <c r="C588" s="15" t="str">
        <f ca="1">IFERROR(__xludf.DUMMYFUNCTION("""COMPUTED_VALUE"""),"87771429559")</f>
        <v>87771429559</v>
      </c>
      <c r="D588" s="15"/>
      <c r="E588" s="14"/>
      <c r="F58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588" s="1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>
      <c r="A589" s="14" t="str">
        <f ca="1">IFERROR(__xludf.DUMMYFUNCTION("""COMPUTED_VALUE"""),"Elena -")</f>
        <v>Elena -</v>
      </c>
      <c r="B589" s="14" t="str">
        <f ca="1">IFERROR(__xludf.DUMMYFUNCTION("""COMPUTED_VALUE"""),"el_sl@mail.ru")</f>
        <v>el_sl@mail.ru</v>
      </c>
      <c r="C589" s="15" t="str">
        <f ca="1">IFERROR(__xludf.DUMMYFUNCTION("""COMPUTED_VALUE"""),"+79154714919")</f>
        <v>+79154714919</v>
      </c>
      <c r="D589" s="15" t="str">
        <f ca="1">IFERROR(__xludf.DUMMYFUNCTION("""COMPUTED_VALUE"""),"Россия")</f>
        <v>Россия</v>
      </c>
      <c r="E589" s="14"/>
      <c r="F589" s="8" t="str">
        <f ca="1">IFERROR(__xludf.DUMMYFUNCTION("""COMPUTED_VALUE"""),"- Вебинар все о ретрите 12.2.2022")</f>
        <v>- Вебинар все о ретрите 12.2.2022</v>
      </c>
      <c r="G589" s="1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>
      <c r="A590" s="14" t="str">
        <f ca="1">IFERROR(__xludf.DUMMYFUNCTION("""COMPUTED_VALUE"""),"Елена El")</f>
        <v>Елена El</v>
      </c>
      <c r="B590" s="14" t="str">
        <f ca="1">IFERROR(__xludf.DUMMYFUNCTION("""COMPUTED_VALUE"""),"el03122021@gmail.com")</f>
        <v>el03122021@gmail.com</v>
      </c>
      <c r="C590" s="15" t="str">
        <f ca="1">IFERROR(__xludf.DUMMYFUNCTION("""COMPUTED_VALUE"""),"+79611817761")</f>
        <v>+79611817761</v>
      </c>
      <c r="D590" s="15" t="str">
        <f ca="1">IFERROR(__xludf.DUMMYFUNCTION("""COMPUTED_VALUE"""),"Россия")</f>
        <v>Россия</v>
      </c>
      <c r="E590" s="14"/>
      <c r="F590" s="8" t="str">
        <f ca="1">IFERROR(__xludf.DUMMYFUNCTION("""COMPUTED_VALUE"""),"- Тишина Челлендж (бесплатная часть)")</f>
        <v>- Тишина Челлендж (бесплатная часть)</v>
      </c>
      <c r="G590" s="1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5.5">
      <c r="A591" s="14" t="str">
        <f ca="1">IFERROR(__xludf.DUMMYFUNCTION("""COMPUTED_VALUE"""),"Эля Меллали")</f>
        <v>Эля Меллали</v>
      </c>
      <c r="B591" s="14" t="str">
        <f ca="1">IFERROR(__xludf.DUMMYFUNCTION("""COMPUTED_VALUE"""),"elay8411@gmail.com")</f>
        <v>elay8411@gmail.com</v>
      </c>
      <c r="C591" s="15" t="str">
        <f ca="1">IFERROR(__xludf.DUMMYFUNCTION("""COMPUTED_VALUE"""),"+998990004518")</f>
        <v>+998990004518</v>
      </c>
      <c r="D591" s="15"/>
      <c r="E591" s="14"/>
      <c r="F59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591" s="1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>
      <c r="A592" s="14" t="str">
        <f ca="1">IFERROR(__xludf.DUMMYFUNCTION("""COMPUTED_VALUE"""),"eld123usa,  ")</f>
        <v xml:space="preserve">eld123usa,  </v>
      </c>
      <c r="B592" s="14" t="str">
        <f ca="1">IFERROR(__xludf.DUMMYFUNCTION("""COMPUTED_VALUE"""),"eld123usa@yahoo.com")</f>
        <v>eld123usa@yahoo.com</v>
      </c>
      <c r="C592" s="15"/>
      <c r="D592" s="15"/>
      <c r="E592" s="14"/>
      <c r="F592" s="8" t="str">
        <f ca="1">IFERROR(__xludf.DUMMYFUNCTION("""COMPUTED_VALUE"""),"- USA Челлендж Тишина")</f>
        <v>- USA Челлендж Тишина</v>
      </c>
      <c r="G592" s="1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>
      <c r="A593" s="14" t="str">
        <f ca="1">IFERROR(__xludf.DUMMYFUNCTION("""COMPUTED_VALUE"""),"Eleni Papadopoulou")</f>
        <v>Eleni Papadopoulou</v>
      </c>
      <c r="B593" s="14" t="str">
        <f ca="1">IFERROR(__xludf.DUMMYFUNCTION("""COMPUTED_VALUE"""),"ele27pap@yahoo.gr")</f>
        <v>ele27pap@yahoo.gr</v>
      </c>
      <c r="C593" s="15"/>
      <c r="D593" s="15"/>
      <c r="E593" s="14"/>
      <c r="F593" s="8" t="str">
        <f ca="1">IFERROR(__xludf.DUMMYFUNCTION("""COMPUTED_VALUE"""),"- What hides behind anxiety? The quantum leap [EU]")</f>
        <v>- What hides behind anxiety? The quantum leap [EU]</v>
      </c>
      <c r="G593" s="1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5.5">
      <c r="A594" s="14" t="str">
        <f ca="1">IFERROR(__xludf.DUMMYFUNCTION("""COMPUTED_VALUE"""),"Алена Окатенко")</f>
        <v>Алена Окатенко</v>
      </c>
      <c r="B594" s="14" t="str">
        <f ca="1">IFERROR(__xludf.DUMMYFUNCTION("""COMPUTED_VALUE"""),"elen_141@mail.ru")</f>
        <v>elen_141@mail.ru</v>
      </c>
      <c r="C594" s="15" t="str">
        <f ca="1">IFERROR(__xludf.DUMMYFUNCTION("""COMPUTED_VALUE"""),"87076079492")</f>
        <v>87076079492</v>
      </c>
      <c r="D594" s="15"/>
      <c r="E594" s="14"/>
      <c r="F59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594" s="1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>
      <c r="A595" s="14" t="str">
        <f ca="1">IFERROR(__xludf.DUMMYFUNCTION("""COMPUTED_VALUE"""),"Елена Любимова")</f>
        <v>Елена Любимова</v>
      </c>
      <c r="B595" s="14" t="str">
        <f ca="1">IFERROR(__xludf.DUMMYFUNCTION("""COMPUTED_VALUE"""),"elen.lyubimova@gmail.com")</f>
        <v>elen.lyubimova@gmail.com</v>
      </c>
      <c r="C595" s="15" t="str">
        <f ca="1">IFERROR(__xludf.DUMMYFUNCTION("""COMPUTED_VALUE"""),"+79781644281")</f>
        <v>+79781644281</v>
      </c>
      <c r="D595" s="15" t="str">
        <f ca="1">IFERROR(__xludf.DUMMYFUNCTION("""COMPUTED_VALUE"""),"Россия")</f>
        <v>Россия</v>
      </c>
      <c r="E595" s="14"/>
      <c r="F595" s="8" t="str">
        <f ca="1">IFERROR(__xludf.DUMMYFUNCTION("""COMPUTED_VALUE"""),"- Тишина Челлендж (бесплатная часть)")</f>
        <v>- Тишина Челлендж (бесплатная часть)</v>
      </c>
      <c r="G595" s="1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5.5">
      <c r="A596" s="14" t="str">
        <f ca="1">IFERROR(__xludf.DUMMYFUNCTION("""COMPUTED_VALUE"""),"Елена Будник")</f>
        <v>Елена Будник</v>
      </c>
      <c r="B596" s="14" t="str">
        <f ca="1">IFERROR(__xludf.DUMMYFUNCTION("""COMPUTED_VALUE"""),"elena_budnik@inbox.ru")</f>
        <v>elena_budnik@inbox.ru</v>
      </c>
      <c r="C596" s="15" t="str">
        <f ca="1">IFERROR(__xludf.DUMMYFUNCTION("""COMPUTED_VALUE"""),"+998909683691")</f>
        <v>+998909683691</v>
      </c>
      <c r="D596" s="15"/>
      <c r="E596" s="14"/>
      <c r="F59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596" s="1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>
      <c r="A597" s="14" t="str">
        <f ca="1">IFERROR(__xludf.DUMMYFUNCTION("""COMPUTED_VALUE"""),"Елена Федорова")</f>
        <v>Елена Федорова</v>
      </c>
      <c r="B597" s="14" t="str">
        <f ca="1">IFERROR(__xludf.DUMMYFUNCTION("""COMPUTED_VALUE"""),"elena-fedorova-66@bk.ru")</f>
        <v>elena-fedorova-66@bk.ru</v>
      </c>
      <c r="C597" s="15"/>
      <c r="D597" s="15" t="str">
        <f ca="1">IFERROR(__xludf.DUMMYFUNCTION("""COMPUTED_VALUE"""),"Россия")</f>
        <v>Россия</v>
      </c>
      <c r="E597" s="14"/>
      <c r="F597" s="8" t="str">
        <f ca="1">IFERROR(__xludf.DUMMYFUNCTION("""COMPUTED_VALUE"""),"- Тишина Челлендж (бесплатная часть)")</f>
        <v>- Тишина Челлендж (бесплатная часть)</v>
      </c>
      <c r="G597" s="1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>
      <c r="A598" s="14" t="str">
        <f ca="1">IFERROR(__xludf.DUMMYFUNCTION("""COMPUTED_VALUE"""),"Елена Думова")</f>
        <v>Елена Думова</v>
      </c>
      <c r="B598" s="14" t="str">
        <f ca="1">IFERROR(__xludf.DUMMYFUNCTION("""COMPUTED_VALUE"""),"elena.dumova72@gmail.com")</f>
        <v>elena.dumova72@gmail.com</v>
      </c>
      <c r="C598" s="15" t="str">
        <f ca="1">IFERROR(__xludf.DUMMYFUNCTION("""COMPUTED_VALUE"""),"+79270791378")</f>
        <v>+79270791378</v>
      </c>
      <c r="D598" s="15" t="str">
        <f ca="1">IFERROR(__xludf.DUMMYFUNCTION("""COMPUTED_VALUE"""),"Россия")</f>
        <v>Россия</v>
      </c>
      <c r="E598" s="14"/>
      <c r="F598" s="8" t="str">
        <f ca="1">IFERROR(__xludf.DUMMYFUNCTION("""COMPUTED_VALUE"""),"- Вводный вебинар 3.5.22 на Шаг к Пробуждению")</f>
        <v>- Вводный вебинар 3.5.22 на Шаг к Пробуждению</v>
      </c>
      <c r="G598" s="1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5.5">
      <c r="A599" s="14" t="str">
        <f ca="1">IFERROR(__xludf.DUMMYFUNCTION("""COMPUTED_VALUE"""),"Елена Останина")</f>
        <v>Елена Останина</v>
      </c>
      <c r="B599" s="14" t="str">
        <f ca="1">IFERROR(__xludf.DUMMYFUNCTION("""COMPUTED_VALUE"""),"elena.ostanina.82@mail.ru")</f>
        <v>elena.ostanina.82@mail.ru</v>
      </c>
      <c r="C599" s="15" t="str">
        <f ca="1">IFERROR(__xludf.DUMMYFUNCTION("""COMPUTED_VALUE"""),"+77771722078")</f>
        <v>+77771722078</v>
      </c>
      <c r="D599" s="15"/>
      <c r="E599" s="14"/>
      <c r="F59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599" s="1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>
      <c r="A600" s="14" t="str">
        <f ca="1">IFERROR(__xludf.DUMMYFUNCTION("""COMPUTED_VALUE"""),"Elena, Elena ")</f>
        <v xml:space="preserve">Elena, Elena </v>
      </c>
      <c r="B600" s="14" t="str">
        <f ca="1">IFERROR(__xludf.DUMMYFUNCTION("""COMPUTED_VALUE"""),"Elena.s.Stoyakina@gmail.com")</f>
        <v>Elena.s.Stoyakina@gmail.com</v>
      </c>
      <c r="C600" s="15"/>
      <c r="D600" s="15" t="str">
        <f ca="1">IFERROR(__xludf.DUMMYFUNCTION("""COMPUTED_VALUE"""),"США")</f>
        <v>США</v>
      </c>
      <c r="E600" s="14"/>
      <c r="F600" s="8" t="str">
        <f ca="1">IFERROR(__xludf.DUMMYFUNCTION("""COMPUTED_VALUE"""),"- Онлайн Интенсив Дальний Восток 25-27.03.2022 ")</f>
        <v xml:space="preserve">- Онлайн Интенсив Дальний Восток 25-27.03.2022 </v>
      </c>
      <c r="G600" s="1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51">
      <c r="A601" s="14" t="str">
        <f ca="1">IFERROR(__xludf.DUMMYFUNCTION("""COMPUTED_VALUE"""),"Елена Рождественская")</f>
        <v>Елена Рождественская</v>
      </c>
      <c r="B601" s="14" t="str">
        <f ca="1">IFERROR(__xludf.DUMMYFUNCTION("""COMPUTED_VALUE"""),"elena@panasolar.net")</f>
        <v>elena@panasolar.net</v>
      </c>
      <c r="C601" s="15" t="str">
        <f ca="1">IFERROR(__xludf.DUMMYFUNCTION("""COMPUTED_VALUE"""),"+50762855485")</f>
        <v>+50762855485</v>
      </c>
      <c r="D601" s="15" t="str">
        <f ca="1">IFERROR(__xludf.DUMMYFUNCTION("""COMPUTED_VALUE"""),"Панама")</f>
        <v>Панама</v>
      </c>
      <c r="E601" s="14" t="str">
        <f ca="1">IFERROR(__xludf.DUMMYFUNCTION("""COMPUTED_VALUE"""),"@sunnybird_507")</f>
        <v>@sunnybird_507</v>
      </c>
      <c r="F601" s="8" t="str">
        <f ca="1">IFERROR(__xludf.DUMMYFUNCTION("""COMPUTED_VALUE"""),"- КОНСПЕКТИРОВАНИЕ лекций ГЕНАДИЯ - Декабрь ""21
- Клуб пробуждения Друзья (2 уровень) - 1 месяц
- Новогодний вечер в Givin School Москва 30.12.2021
- КОНСПЕКТИРОВАНИЕ лекций ГЕНАДИЯ - Январь""22")</f>
        <v>- КОНСПЕКТИРОВАНИЕ лекций ГЕНАДИЯ - Декабрь "21
- Клуб пробуждения Друзья (2 уровень) - 1 месяц
- Новогодний вечер в Givin School Москва 30.12.2021
- КОНСПЕКТИРОВАНИЕ лекций ГЕНАДИЯ - Январь"22</v>
      </c>
      <c r="G601" s="1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>
      <c r="A602" s="14" t="str">
        <f ca="1">IFERROR(__xludf.DUMMYFUNCTION("""COMPUTED_VALUE"""),"Елена Вахрушев")</f>
        <v>Елена Вахрушев</v>
      </c>
      <c r="B602" s="14" t="str">
        <f ca="1">IFERROR(__xludf.DUMMYFUNCTION("""COMPUTED_VALUE"""),"elena01.06@mail.ru")</f>
        <v>elena01.06@mail.ru</v>
      </c>
      <c r="C602" s="15"/>
      <c r="D602" s="15" t="str">
        <f ca="1">IFERROR(__xludf.DUMMYFUNCTION("""COMPUTED_VALUE"""),"Франция")</f>
        <v>Франция</v>
      </c>
      <c r="E602" s="14"/>
      <c r="F602" s="8" t="str">
        <f ca="1">IFERROR(__xludf.DUMMYFUNCTION("""COMPUTED_VALUE"""),"- Тишина Челлендж (бесплатная часть)")</f>
        <v>- Тишина Челлендж (бесплатная часть)</v>
      </c>
      <c r="G602" s="1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>
      <c r="A603" s="14" t="str">
        <f ca="1">IFERROR(__xludf.DUMMYFUNCTION("""COMPUTED_VALUE"""),"Елена Цапусова")</f>
        <v>Елена Цапусова</v>
      </c>
      <c r="B603" s="14" t="str">
        <f ca="1">IFERROR(__xludf.DUMMYFUNCTION("""COMPUTED_VALUE"""),"Elena2019-06@yndex.ru")</f>
        <v>Elena2019-06@yndex.ru</v>
      </c>
      <c r="C603" s="15" t="str">
        <f ca="1">IFERROR(__xludf.DUMMYFUNCTION("""COMPUTED_VALUE"""),", 79530995210")</f>
        <v>, 79530995210</v>
      </c>
      <c r="D603" s="15" t="str">
        <f ca="1">IFERROR(__xludf.DUMMYFUNCTION("""COMPUTED_VALUE"""),"Россия")</f>
        <v>Россия</v>
      </c>
      <c r="E603" s="14"/>
      <c r="F603" s="8" t="str">
        <f ca="1">IFERROR(__xludf.DUMMYFUNCTION("""COMPUTED_VALUE"""),"Мероприятий не обнаружено")</f>
        <v>Мероприятий не обнаружено</v>
      </c>
      <c r="G603" s="1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>
      <c r="A604" s="14" t="str">
        <f ca="1">IFERROR(__xludf.DUMMYFUNCTION("""COMPUTED_VALUE"""),"Елена Овчарова")</f>
        <v>Елена Овчарова</v>
      </c>
      <c r="B604" s="14" t="str">
        <f ca="1">IFERROR(__xludf.DUMMYFUNCTION("""COMPUTED_VALUE"""),"elenaandreevna@gmail.com")</f>
        <v>elenaandreevna@gmail.com</v>
      </c>
      <c r="C604" s="15" t="str">
        <f ca="1">IFERROR(__xludf.DUMMYFUNCTION("""COMPUTED_VALUE"""),"79501273168")</f>
        <v>79501273168</v>
      </c>
      <c r="D604" s="15" t="str">
        <f ca="1">IFERROR(__xludf.DUMMYFUNCTION("""COMPUTED_VALUE"""),"Россия")</f>
        <v>Россия</v>
      </c>
      <c r="E604" s="14"/>
      <c r="F604" s="8" t="str">
        <f ca="1">IFERROR(__xludf.DUMMYFUNCTION("""COMPUTED_VALUE"""),"- Онлайн Интенсив Дальний Восток 25-27.02.2022 ")</f>
        <v xml:space="preserve">- Онлайн Интенсив Дальний Восток 25-27.02.2022 </v>
      </c>
      <c r="G604" s="1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>
      <c r="A605" s="14" t="str">
        <f ca="1">IFERROR(__xludf.DUMMYFUNCTION("""COMPUTED_VALUE"""),"Елена Синтирева")</f>
        <v>Елена Синтирева</v>
      </c>
      <c r="B605" s="14" t="str">
        <f ca="1">IFERROR(__xludf.DUMMYFUNCTION("""COMPUTED_VALUE"""),"elenadar979@maill.ru")</f>
        <v>elenadar979@maill.ru</v>
      </c>
      <c r="C605" s="15" t="str">
        <f ca="1">IFERROR(__xludf.DUMMYFUNCTION("""COMPUTED_VALUE"""),", +77771372799")</f>
        <v>, +77771372799</v>
      </c>
      <c r="D605" s="15"/>
      <c r="E605" s="14"/>
      <c r="F605" s="8" t="str">
        <f ca="1">IFERROR(__xludf.DUMMYFUNCTION("""COMPUTED_VALUE"""),"Мероприятий не обнаружено")</f>
        <v>Мероприятий не обнаружено</v>
      </c>
      <c r="G605" s="1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5.5">
      <c r="A606" s="14" t="str">
        <f ca="1">IFERROR(__xludf.DUMMYFUNCTION("""COMPUTED_VALUE"""),"Елена Герберсгаген")</f>
        <v>Елена Герберсгаген</v>
      </c>
      <c r="B606" s="14" t="str">
        <f ca="1">IFERROR(__xludf.DUMMYFUNCTION("""COMPUTED_VALUE"""),"elenagerbersgagen87@gmail.com")</f>
        <v>elenagerbersgagen87@gmail.com</v>
      </c>
      <c r="C606" s="15" t="str">
        <f ca="1">IFERROR(__xludf.DUMMYFUNCTION("""COMPUTED_VALUE"""),"+77052216648")</f>
        <v>+77052216648</v>
      </c>
      <c r="D606" s="15"/>
      <c r="E606" s="14"/>
      <c r="F60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606" s="1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51">
      <c r="A607" s="14" t="str">
        <f ca="1">IFERROR(__xludf.DUMMYFUNCTION("""COMPUTED_VALUE"""),"Елена Кармазина")</f>
        <v>Елена Кармазина</v>
      </c>
      <c r="B607" s="14" t="str">
        <f ca="1">IFERROR(__xludf.DUMMYFUNCTION("""COMPUTED_VALUE"""),"elenakarmazina@yandex.ru")</f>
        <v>elenakarmazina@yandex.ru</v>
      </c>
      <c r="C607" s="15" t="str">
        <f ca="1">IFERROR(__xludf.DUMMYFUNCTION("""COMPUTED_VALUE"""),"+79859647373")</f>
        <v>+79859647373</v>
      </c>
      <c r="D607" s="15" t="str">
        <f ca="1">IFERROR(__xludf.DUMMYFUNCTION("""COMPUTED_VALUE"""),"Россия")</f>
        <v>Россия</v>
      </c>
      <c r="E607" s="14"/>
      <c r="F607" s="8" t="str">
        <f ca="1">IFERROR(__xludf.DUMMYFUNCTION("""COMPUTED_VALUE"""),"- Заявка на СЪЕЗД+ФЕСТИВАЛЬ ""Мы вместе"" 3-8.01.22
- Новогодний вечер в Givin School Москва 30.12.2021
- Беседа - сатсанг с Екатериной Сосниной: Счастье внутри нас 15.1.22")</f>
        <v>- Заявка на СЪЕЗД+ФЕСТИВАЛЬ "Мы вместе" 3-8.01.22
- Новогодний вечер в Givin School Москва 30.12.2021
- Беседа - сатсанг с Екатериной Сосниной: Счастье внутри нас 15.1.22</v>
      </c>
      <c r="G607" s="1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38.25">
      <c r="A608" s="14" t="str">
        <f ca="1">IFERROR(__xludf.DUMMYFUNCTION("""COMPUTED_VALUE"""),"Елена Логинова")</f>
        <v>Елена Логинова</v>
      </c>
      <c r="B608" s="14" t="str">
        <f ca="1">IFERROR(__xludf.DUMMYFUNCTION("""COMPUTED_VALUE"""),"elenalogi69@mail.ru")</f>
        <v>elenalogi69@mail.ru</v>
      </c>
      <c r="C608" s="15" t="str">
        <f ca="1">IFERROR(__xludf.DUMMYFUNCTION("""COMPUTED_VALUE"""),"+79036454306")</f>
        <v>+79036454306</v>
      </c>
      <c r="D608" s="15" t="str">
        <f ca="1">IFERROR(__xludf.DUMMYFUNCTION("""COMPUTED_VALUE"""),"Россия")</f>
        <v>Россия</v>
      </c>
      <c r="E608" s="14"/>
      <c r="F608" s="8" t="str">
        <f ca="1">IFERROR(__xludf.DUMMYFUNCTION("""COMPUTED_VALUE"""),"- Медитация без стереотипов
- Марафон Тишины - Тишина челлендж: Урал, Казахстан, Узбекистан 25-29.04.2022")</f>
        <v>- Медитация без стереотипов
- Марафон Тишины - Тишина челлендж: Урал, Казахстан, Узбекистан 25-29.04.2022</v>
      </c>
      <c r="G608" s="1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>
      <c r="A609" s="14" t="str">
        <f ca="1">IFERROR(__xludf.DUMMYFUNCTION("""COMPUTED_VALUE""")," ")</f>
        <v xml:space="preserve"> </v>
      </c>
      <c r="B609" s="14" t="str">
        <f ca="1">IFERROR(__xludf.DUMMYFUNCTION("""COMPUTED_VALUE"""),"elenanary@list.ru")</f>
        <v>elenanary@list.ru</v>
      </c>
      <c r="C609" s="15"/>
      <c r="D609" s="15"/>
      <c r="E609" s="14"/>
      <c r="F609" s="8" t="str">
        <f ca="1">IFERROR(__xludf.DUMMYFUNCTION("""COMPUTED_VALUE"""),"Мероприятий не обнаружено")</f>
        <v>Мероприятий не обнаружено</v>
      </c>
      <c r="G609" s="1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>
      <c r="A610" s="14" t="str">
        <f ca="1">IFERROR(__xludf.DUMMYFUNCTION("""COMPUTED_VALUE"""),"Елена Пьянкова")</f>
        <v>Елена Пьянкова</v>
      </c>
      <c r="B610" s="14" t="str">
        <f ca="1">IFERROR(__xludf.DUMMYFUNCTION("""COMPUTED_VALUE"""),"elenaobuv@rambler.ru")</f>
        <v>elenaobuv@rambler.ru</v>
      </c>
      <c r="C610" s="15" t="str">
        <f ca="1">IFERROR(__xludf.DUMMYFUNCTION("""COMPUTED_VALUE"""),"79184852208")</f>
        <v>79184852208</v>
      </c>
      <c r="D610" s="15" t="str">
        <f ca="1">IFERROR(__xludf.DUMMYFUNCTION("""COMPUTED_VALUE"""),"Россия")</f>
        <v>Россия</v>
      </c>
      <c r="E610" s="14"/>
      <c r="F610" s="8" t="str">
        <f ca="1">IFERROR(__xludf.DUMMYFUNCTION("""COMPUTED_VALUE"""),"- Заявка на СЪЕЗД+ФЕСТИВАЛЬ ""Мы вместе"" 3-8.01.22")</f>
        <v>- Заявка на СЪЕЗД+ФЕСТИВАЛЬ "Мы вместе" 3-8.01.22</v>
      </c>
      <c r="G610" s="1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>
      <c r="A611" s="14" t="str">
        <f ca="1">IFERROR(__xludf.DUMMYFUNCTION("""COMPUTED_VALUE"""),"elenarivera,  ")</f>
        <v xml:space="preserve">elenarivera,  </v>
      </c>
      <c r="B611" s="14" t="str">
        <f ca="1">IFERROR(__xludf.DUMMYFUNCTION("""COMPUTED_VALUE"""),"elenarivera@mail.ru")</f>
        <v>elenarivera@mail.ru</v>
      </c>
      <c r="C611" s="15"/>
      <c r="D611" s="15"/>
      <c r="E611" s="14"/>
      <c r="F611" s="8" t="str">
        <f ca="1">IFERROR(__xludf.DUMMYFUNCTION("""COMPUTED_VALUE"""),"- USA Челлендж Тишина")</f>
        <v>- USA Челлендж Тишина</v>
      </c>
      <c r="G611" s="1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>
      <c r="A612" s="14" t="str">
        <f ca="1">IFERROR(__xludf.DUMMYFUNCTION("""COMPUTED_VALUE"""),"Елена Шишкова")</f>
        <v>Елена Шишкова</v>
      </c>
      <c r="B612" s="14" t="str">
        <f ca="1">IFERROR(__xludf.DUMMYFUNCTION("""COMPUTED_VALUE"""),"elenash1706@mail.ru")</f>
        <v>elenash1706@mail.ru</v>
      </c>
      <c r="C612" s="15" t="str">
        <f ca="1">IFERROR(__xludf.DUMMYFUNCTION("""COMPUTED_VALUE"""),"+79104408845")</f>
        <v>+79104408845</v>
      </c>
      <c r="D612" s="15" t="str">
        <f ca="1">IFERROR(__xludf.DUMMYFUNCTION("""COMPUTED_VALUE"""),"Россия")</f>
        <v>Россия</v>
      </c>
      <c r="E612" s="14"/>
      <c r="F612" s="8" t="str">
        <f ca="1">IFERROR(__xludf.DUMMYFUNCTION("""COMPUTED_VALUE"""),"- Тишина Челлендж (бесплатная часть)")</f>
        <v>- Тишина Челлендж (бесплатная часть)</v>
      </c>
      <c r="G612" s="1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>
      <c r="A613" s="14" t="str">
        <f ca="1">IFERROR(__xludf.DUMMYFUNCTION("""COMPUTED_VALUE"""),"Елена Шибко")</f>
        <v>Елена Шибко</v>
      </c>
      <c r="B613" s="14" t="str">
        <f ca="1">IFERROR(__xludf.DUMMYFUNCTION("""COMPUTED_VALUE"""),"elenashybko@gmail.com")</f>
        <v>elenashybko@gmail.com</v>
      </c>
      <c r="C613" s="15" t="str">
        <f ca="1">IFERROR(__xludf.DUMMYFUNCTION("""COMPUTED_VALUE"""),"+375291814521")</f>
        <v>+375291814521</v>
      </c>
      <c r="D613" s="15" t="str">
        <f ca="1">IFERROR(__xludf.DUMMYFUNCTION("""COMPUTED_VALUE"""),"Беларусь")</f>
        <v>Беларусь</v>
      </c>
      <c r="E613" s="14"/>
      <c r="F613" s="8" t="str">
        <f ca="1">IFERROR(__xludf.DUMMYFUNCTION("""COMPUTED_VALUE"""),"- Чайная встреча в Минске 8.1.22")</f>
        <v>- Чайная встреча в Минске 8.1.22</v>
      </c>
      <c r="G613" s="1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>
      <c r="A614" s="14" t="str">
        <f ca="1">IFERROR(__xludf.DUMMYFUNCTION("""COMPUTED_VALUE"""),"Елена Видеман")</f>
        <v>Елена Видеман</v>
      </c>
      <c r="B614" s="14" t="str">
        <f ca="1">IFERROR(__xludf.DUMMYFUNCTION("""COMPUTED_VALUE"""),"elenavideman75@mail.ru")</f>
        <v>elenavideman75@mail.ru</v>
      </c>
      <c r="C614" s="15" t="str">
        <f ca="1">IFERROR(__xludf.DUMMYFUNCTION("""COMPUTED_VALUE"""),"79375348929")</f>
        <v>79375348929</v>
      </c>
      <c r="D614" s="15" t="str">
        <f ca="1">IFERROR(__xludf.DUMMYFUNCTION("""COMPUTED_VALUE"""),"Россия")</f>
        <v>Россия</v>
      </c>
      <c r="E614" s="14"/>
      <c r="F614" s="8" t="str">
        <f ca="1">IFERROR(__xludf.DUMMYFUNCTION("""COMPUTED_VALUE"""),"- Запись на ""Беседу по душам""")</f>
        <v>- Запись на "Беседу по душам"</v>
      </c>
      <c r="G614" s="1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>
      <c r="A615" s="14" t="str">
        <f ca="1">IFERROR(__xludf.DUMMYFUNCTION("""COMPUTED_VALUE""")," ")</f>
        <v xml:space="preserve"> </v>
      </c>
      <c r="B615" s="14" t="str">
        <f ca="1">IFERROR(__xludf.DUMMYFUNCTION("""COMPUTED_VALUE"""),"elenazvet76@mail.ru")</f>
        <v>elenazvet76@mail.ru</v>
      </c>
      <c r="C615" s="15"/>
      <c r="D615" s="15" t="str">
        <f ca="1">IFERROR(__xludf.DUMMYFUNCTION("""COMPUTED_VALUE"""),"Россия")</f>
        <v>Россия</v>
      </c>
      <c r="E615" s="14"/>
      <c r="F615" s="8" t="str">
        <f ca="1">IFERROR(__xludf.DUMMYFUNCTION("""COMPUTED_VALUE"""),"Мероприятий не обнаружено")</f>
        <v>Мероприятий не обнаружено</v>
      </c>
      <c r="G615" s="1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>
      <c r="A616" s="14" t="str">
        <f ca="1">IFERROR(__xludf.DUMMYFUNCTION("""COMPUTED_VALUE"""),"Елена Захарова")</f>
        <v>Елена Захарова</v>
      </c>
      <c r="B616" s="14" t="str">
        <f ca="1">IFERROR(__xludf.DUMMYFUNCTION("""COMPUTED_VALUE"""),"elensvon8@gmail.com")</f>
        <v>elensvon8@gmail.com</v>
      </c>
      <c r="C616" s="15" t="str">
        <f ca="1">IFERROR(__xludf.DUMMYFUNCTION("""COMPUTED_VALUE"""),", 79967918649")</f>
        <v>, 79967918649</v>
      </c>
      <c r="D616" s="15"/>
      <c r="E616" s="14" t="str">
        <f ca="1">IFERROR(__xludf.DUMMYFUNCTION("""COMPUTED_VALUE"""),"Елена Захарова")</f>
        <v>Елена Захарова</v>
      </c>
      <c r="F616" s="8" t="str">
        <f ca="1">IFERROR(__xludf.DUMMYFUNCTION("""COMPUTED_VALUE"""),"Мероприятий не обнаружено")</f>
        <v>Мероприятий не обнаружено</v>
      </c>
      <c r="G616" s="1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>
      <c r="A617" s="14" t="str">
        <f ca="1">IFERROR(__xludf.DUMMYFUNCTION("""COMPUTED_VALUE"""),"Марина Тернавчук")</f>
        <v>Марина Тернавчук</v>
      </c>
      <c r="B617" s="14" t="str">
        <f ca="1">IFERROR(__xludf.DUMMYFUNCTION("""COMPUTED_VALUE"""),"elige_78@mail.ru")</f>
        <v>elige_78@mail.ru</v>
      </c>
      <c r="C617" s="15" t="str">
        <f ca="1">IFERROR(__xludf.DUMMYFUNCTION("""COMPUTED_VALUE"""),"+79771977559")</f>
        <v>+79771977559</v>
      </c>
      <c r="D617" s="15" t="str">
        <f ca="1">IFERROR(__xludf.DUMMYFUNCTION("""COMPUTED_VALUE"""),"Россия")</f>
        <v>Россия</v>
      </c>
      <c r="E617" s="14"/>
      <c r="F617" s="8" t="str">
        <f ca="1">IFERROR(__xludf.DUMMYFUNCTION("""COMPUTED_VALUE"""),"- Тишина Челлендж (бесплатная часть)")</f>
        <v>- Тишина Челлендж (бесплатная часть)</v>
      </c>
      <c r="G617" s="1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5.5">
      <c r="A618" s="14" t="str">
        <f ca="1">IFERROR(__xludf.DUMMYFUNCTION("""COMPUTED_VALUE"""),"Элина Улыбышева")</f>
        <v>Элина Улыбышева</v>
      </c>
      <c r="B618" s="14" t="str">
        <f ca="1">IFERROR(__xludf.DUMMYFUNCTION("""COMPUTED_VALUE"""),"elinaulibisheva@gmail.com")</f>
        <v>elinaulibisheva@gmail.com</v>
      </c>
      <c r="C618" s="15" t="str">
        <f ca="1">IFERROR(__xludf.DUMMYFUNCTION("""COMPUTED_VALUE"""),"+998909798338")</f>
        <v>+998909798338</v>
      </c>
      <c r="D618" s="15"/>
      <c r="E618" s="14"/>
      <c r="F61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618" s="1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>
      <c r="A619" s="14" t="str">
        <f ca="1">IFERROR(__xludf.DUMMYFUNCTION("""COMPUTED_VALUE"""),"elisyuk.olga,  ")</f>
        <v xml:space="preserve">elisyuk.olga,  </v>
      </c>
      <c r="B619" s="14" t="str">
        <f ca="1">IFERROR(__xludf.DUMMYFUNCTION("""COMPUTED_VALUE"""),"elisyuk.olga@mail.ru")</f>
        <v>elisyuk.olga@mail.ru</v>
      </c>
      <c r="C619" s="15"/>
      <c r="D619" s="15"/>
      <c r="E619" s="14"/>
      <c r="F619" s="8" t="str">
        <f ca="1">IFERROR(__xludf.DUMMYFUNCTION("""COMPUTED_VALUE"""),"- USA Челлендж Тишина")</f>
        <v>- USA Челлендж Тишина</v>
      </c>
      <c r="G619" s="1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>
      <c r="A620" s="14" t="str">
        <f ca="1">IFERROR(__xludf.DUMMYFUNCTION("""COMPUTED_VALUE"""),"Елизавета Савина")</f>
        <v>Елизавета Савина</v>
      </c>
      <c r="B620" s="14" t="str">
        <f ca="1">IFERROR(__xludf.DUMMYFUNCTION("""COMPUTED_VALUE"""),"elizavetaelizavettovna@gmail.com")</f>
        <v>elizavetaelizavettovna@gmail.com</v>
      </c>
      <c r="C620" s="15" t="str">
        <f ca="1">IFERROR(__xludf.DUMMYFUNCTION("""COMPUTED_VALUE"""),"+375293169528")</f>
        <v>+375293169528</v>
      </c>
      <c r="D620" s="15" t="str">
        <f ca="1">IFERROR(__xludf.DUMMYFUNCTION("""COMPUTED_VALUE"""),"Беларусь")</f>
        <v>Беларусь</v>
      </c>
      <c r="E620" s="14"/>
      <c r="F620" s="8" t="str">
        <f ca="1">IFERROR(__xludf.DUMMYFUNCTION("""COMPUTED_VALUE"""),"- Йога тишины 28 марта 2022 Минск")</f>
        <v>- Йога тишины 28 марта 2022 Минск</v>
      </c>
      <c r="G620" s="1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51">
      <c r="A621" s="14" t="str">
        <f ca="1">IFERROR(__xludf.DUMMYFUNCTION("""COMPUTED_VALUE"""),"Елизавета Косарева")</f>
        <v>Елизавета Косарева</v>
      </c>
      <c r="B621" s="14" t="str">
        <f ca="1">IFERROR(__xludf.DUMMYFUNCTION("""COMPUTED_VALUE"""),"elizavetta.kosareva@yandex.ru")</f>
        <v>elizavetta.kosareva@yandex.ru</v>
      </c>
      <c r="C621" s="15" t="str">
        <f ca="1">IFERROR(__xludf.DUMMYFUNCTION("""COMPUTED_VALUE"""),"+79253451760")</f>
        <v>+79253451760</v>
      </c>
      <c r="D621" s="15" t="str">
        <f ca="1">IFERROR(__xludf.DUMMYFUNCTION("""COMPUTED_VALUE"""),"Россия")</f>
        <v>Россия</v>
      </c>
      <c r="E621" s="14"/>
      <c r="F621" s="8" t="str">
        <f ca="1">IFERROR(__xludf.DUMMYFUNCTION("""COMPUTED_VALUE"""),"- Вебинар-батл Я уже все знаю! Мне не нужна Школа 9.01.2022
- Вебинар с Никитой Бородулиным 11.02.2022 часть1
- Марафон Тишины - Тишина челлендж: Урал, Казахстан, Узбекистан 25-29.04.2022")</f>
        <v>- Вебинар-батл Я уже все знаю! Мне не нужна Школа 9.01.2022
- Вебинар с Никитой Бородулиным 11.02.2022 часть1
- Марафон Тишины - Тишина челлендж: Урал, Казахстан, Узбекистан 25-29.04.2022</v>
      </c>
      <c r="G621" s="1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5.5">
      <c r="A622" s="14" t="str">
        <f ca="1">IFERROR(__xludf.DUMMYFUNCTION("""COMPUTED_VALUE"""),"Эллада Аблямиди")</f>
        <v>Эллада Аблямиди</v>
      </c>
      <c r="B622" s="14" t="str">
        <f ca="1">IFERROR(__xludf.DUMMYFUNCTION("""COMPUTED_VALUE"""),"Elladaablyamidi@gmail.com")</f>
        <v>Elladaablyamidi@gmail.com</v>
      </c>
      <c r="C622" s="15" t="str">
        <f ca="1">IFERROR(__xludf.DUMMYFUNCTION("""COMPUTED_VALUE"""),"+998909029305")</f>
        <v>+998909029305</v>
      </c>
      <c r="D622" s="15"/>
      <c r="E622" s="14"/>
      <c r="F62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622" s="1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5.5">
      <c r="A623" s="14" t="str">
        <f ca="1">IFERROR(__xludf.DUMMYFUNCTION("""COMPUTED_VALUE"""),"Елена Горбачева")</f>
        <v>Елена Горбачева</v>
      </c>
      <c r="B623" s="14" t="str">
        <f ca="1">IFERROR(__xludf.DUMMYFUNCTION("""COMPUTED_VALUE"""),"Elleenaa0331@yandex.ru")</f>
        <v>Elleenaa0331@yandex.ru</v>
      </c>
      <c r="C623" s="15" t="str">
        <f ca="1">IFERROR(__xludf.DUMMYFUNCTION("""COMPUTED_VALUE"""),"79823598978")</f>
        <v>79823598978</v>
      </c>
      <c r="D623" s="15" t="str">
        <f ca="1">IFERROR(__xludf.DUMMYFUNCTION("""COMPUTED_VALUE"""),"Россия")</f>
        <v>Россия</v>
      </c>
      <c r="E623" s="14"/>
      <c r="F623" s="8" t="str">
        <f ca="1">IFERROR(__xludf.DUMMYFUNCTION("""COMPUTED_VALUE"""),"- Ретрит в РЦ Сочи май 2022 (Оплата до 17 апреля)
- Запись на ""Беседу по душам""")</f>
        <v>- Ретрит в РЦ Сочи май 2022 (Оплата до 17 апреля)
- Запись на "Беседу по душам"</v>
      </c>
      <c r="G623" s="1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>
      <c r="A624" s="14" t="str">
        <f ca="1">IFERROR(__xludf.DUMMYFUNCTION("""COMPUTED_VALUE"""),"Falkou Elena")</f>
        <v>Falkou Elena</v>
      </c>
      <c r="B624" s="14" t="str">
        <f ca="1">IFERROR(__xludf.DUMMYFUNCTION("""COMPUTED_VALUE"""),"ellenaflk@gmail.com")</f>
        <v>ellenaflk@gmail.com</v>
      </c>
      <c r="C624" s="15"/>
      <c r="D624" s="15"/>
      <c r="E624" s="14"/>
      <c r="F624" s="8" t="str">
        <f ca="1">IFERROR(__xludf.DUMMYFUNCTION("""COMPUTED_VALUE"""),"- What hides behind anxiety? The quantum leap [EU]")</f>
        <v>- What hides behind anxiety? The quantum leap [EU]</v>
      </c>
      <c r="G624" s="1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5.5">
      <c r="A625" s="14" t="str">
        <f ca="1">IFERROR(__xludf.DUMMYFUNCTION("""COMPUTED_VALUE"""),"Хулкар Эллиева")</f>
        <v>Хулкар Эллиева</v>
      </c>
      <c r="B625" s="14" t="str">
        <f ca="1">IFERROR(__xludf.DUMMYFUNCTION("""COMPUTED_VALUE"""),"ellievah@gmail.com")</f>
        <v>ellievah@gmail.com</v>
      </c>
      <c r="C625" s="15" t="str">
        <f ca="1">IFERROR(__xludf.DUMMYFUNCTION("""COMPUTED_VALUE"""),"998975857503")</f>
        <v>998975857503</v>
      </c>
      <c r="D625" s="15"/>
      <c r="E625" s="14"/>
      <c r="F62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625" s="1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5.5">
      <c r="A626" s="14" t="str">
        <f ca="1">IFERROR(__xludf.DUMMYFUNCTION("""COMPUTED_VALUE"""),"Виктория Дю")</f>
        <v>Виктория Дю</v>
      </c>
      <c r="B626" s="14" t="str">
        <f ca="1">IFERROR(__xludf.DUMMYFUNCTION("""COMPUTED_VALUE"""),"Elly_cool89@inbox.ru")</f>
        <v>Elly_cool89@inbox.ru</v>
      </c>
      <c r="C626" s="15" t="str">
        <f ca="1">IFERROR(__xludf.DUMMYFUNCTION("""COMPUTED_VALUE"""),"998977553836")</f>
        <v>998977553836</v>
      </c>
      <c r="D626" s="15"/>
      <c r="E626" s="14"/>
      <c r="F62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626" s="1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>
      <c r="A627" s="14" t="str">
        <f ca="1">IFERROR(__xludf.DUMMYFUNCTION("""COMPUTED_VALUE"""),"Эльмира Цай")</f>
        <v>Эльмира Цай</v>
      </c>
      <c r="B627" s="14" t="str">
        <f ca="1">IFERROR(__xludf.DUMMYFUNCTION("""COMPUTED_VALUE"""),"elmiratsay@gmail.com")</f>
        <v>elmiratsay@gmail.com</v>
      </c>
      <c r="C627" s="15"/>
      <c r="D627" s="15" t="str">
        <f ca="1">IFERROR(__xludf.DUMMYFUNCTION("""COMPUTED_VALUE"""),"Швеция")</f>
        <v>Швеция</v>
      </c>
      <c r="E627" s="14"/>
      <c r="F627" s="8" t="str">
        <f ca="1">IFERROR(__xludf.DUMMYFUNCTION("""COMPUTED_VALUE"""),"- Тишина Челлендж (бесплатная часть)")</f>
        <v>- Тишина Челлендж (бесплатная часть)</v>
      </c>
      <c r="G627" s="1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5.5">
      <c r="A628" s="14" t="str">
        <f ca="1">IFERROR(__xludf.DUMMYFUNCTION("""COMPUTED_VALUE"""),"Elmira Rahmatullaeva")</f>
        <v>Elmira Rahmatullaeva</v>
      </c>
      <c r="B628" s="14" t="str">
        <f ca="1">IFERROR(__xludf.DUMMYFUNCTION("""COMPUTED_VALUE"""),"elmirrahmatullaeva@gmail.com")</f>
        <v>elmirrahmatullaeva@gmail.com</v>
      </c>
      <c r="C628" s="15" t="str">
        <f ca="1">IFERROR(__xludf.DUMMYFUNCTION("""COMPUTED_VALUE"""),"+998933956987")</f>
        <v>+998933956987</v>
      </c>
      <c r="D628" s="15"/>
      <c r="E628" s="14"/>
      <c r="F62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628" s="1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5.5">
      <c r="A629" s="14" t="str">
        <f ca="1">IFERROR(__xludf.DUMMYFUNCTION("""COMPUTED_VALUE"""),"Эльнора Ибрагимова")</f>
        <v>Эльнора Ибрагимова</v>
      </c>
      <c r="B629" s="14" t="str">
        <f ca="1">IFERROR(__xludf.DUMMYFUNCTION("""COMPUTED_VALUE"""),"elnora1125@mail.ru")</f>
        <v>elnora1125@mail.ru</v>
      </c>
      <c r="C629" s="15" t="str">
        <f ca="1">IFERROR(__xludf.DUMMYFUNCTION("""COMPUTED_VALUE"""),"+998977565883")</f>
        <v>+998977565883</v>
      </c>
      <c r="D629" s="15"/>
      <c r="E629" s="14"/>
      <c r="F62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629" s="1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5.5">
      <c r="A630" s="14" t="str">
        <f ca="1">IFERROR(__xludf.DUMMYFUNCTION("""COMPUTED_VALUE"""),"Yuriy Svetly")</f>
        <v>Yuriy Svetly</v>
      </c>
      <c r="B630" s="14" t="str">
        <f ca="1">IFERROR(__xludf.DUMMYFUNCTION("""COMPUTED_VALUE"""),"elvampiro1285@gmail.com")</f>
        <v>elvampiro1285@gmail.com</v>
      </c>
      <c r="C630" s="15" t="str">
        <f ca="1">IFERROR(__xludf.DUMMYFUNCTION("""COMPUTED_VALUE"""),"+77770219334")</f>
        <v>+77770219334</v>
      </c>
      <c r="D630" s="15" t="str">
        <f ca="1">IFERROR(__xludf.DUMMYFUNCTION("""COMPUTED_VALUE"""),"Казахстан")</f>
        <v>Казахстан</v>
      </c>
      <c r="E630" s="14"/>
      <c r="F63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630" s="1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>
      <c r="A631" s="14" t="str">
        <f ca="1">IFERROR(__xludf.DUMMYFUNCTION("""COMPUTED_VALUE"""),"Эля Темникова")</f>
        <v>Эля Темникова</v>
      </c>
      <c r="B631" s="14" t="str">
        <f ca="1">IFERROR(__xludf.DUMMYFUNCTION("""COMPUTED_VALUE"""),"elyatemnikova@ibox.ru")</f>
        <v>elyatemnikova@ibox.ru</v>
      </c>
      <c r="C631" s="15" t="str">
        <f ca="1">IFERROR(__xludf.DUMMYFUNCTION("""COMPUTED_VALUE"""),", +79090900008")</f>
        <v>, +79090900008</v>
      </c>
      <c r="D631" s="15" t="str">
        <f ca="1">IFERROR(__xludf.DUMMYFUNCTION("""COMPUTED_VALUE"""),"Россия")</f>
        <v>Россия</v>
      </c>
      <c r="E631" s="14"/>
      <c r="F631" s="8" t="str">
        <f ca="1">IFERROR(__xludf.DUMMYFUNCTION("""COMPUTED_VALUE"""),"Мероприятий не обнаружено")</f>
        <v>Мероприятий не обнаружено</v>
      </c>
      <c r="G631" s="1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5.5">
      <c r="A632" s="14" t="str">
        <f ca="1">IFERROR(__xludf.DUMMYFUNCTION("""COMPUTED_VALUE"""),"Эльза Ахм, ")</f>
        <v xml:space="preserve">Эльза Ахм, </v>
      </c>
      <c r="B632" s="14" t="str">
        <f ca="1">IFERROR(__xludf.DUMMYFUNCTION("""COMPUTED_VALUE"""),"elza.ahmetnurova@mail.ru")</f>
        <v>elza.ahmetnurova@mail.ru</v>
      </c>
      <c r="C632" s="15" t="str">
        <f ca="1">IFERROR(__xludf.DUMMYFUNCTION("""COMPUTED_VALUE"""),"87710944615, ")</f>
        <v xml:space="preserve">87710944615, </v>
      </c>
      <c r="D632" s="15"/>
      <c r="E632" s="14"/>
      <c r="F63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632" s="1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>
      <c r="A633" s="14" t="str">
        <f ca="1">IFERROR(__xludf.DUMMYFUNCTION("""COMPUTED_VALUE"""),"Евгения Михайлова")</f>
        <v>Евгения Михайлова</v>
      </c>
      <c r="B633" s="14" t="str">
        <f ca="1">IFERROR(__xludf.DUMMYFUNCTION("""COMPUTED_VALUE"""),"em1401u@gmail.com")</f>
        <v>em1401u@gmail.com</v>
      </c>
      <c r="C633" s="15" t="str">
        <f ca="1">IFERROR(__xludf.DUMMYFUNCTION("""COMPUTED_VALUE"""),"79185971234")</f>
        <v>79185971234</v>
      </c>
      <c r="D633" s="15" t="str">
        <f ca="1">IFERROR(__xludf.DUMMYFUNCTION("""COMPUTED_VALUE"""),"Россия")</f>
        <v>Россия</v>
      </c>
      <c r="E633" s="14"/>
      <c r="F633" s="8" t="str">
        <f ca="1">IFERROR(__xludf.DUMMYFUNCTION("""COMPUTED_VALUE"""),"- Вводный вебинар 3.5.22 на Шаг к Пробуждению")</f>
        <v>- Вводный вебинар 3.5.22 на Шаг к Пробуждению</v>
      </c>
      <c r="G633" s="1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5.5">
      <c r="A634" s="14" t="str">
        <f ca="1">IFERROR(__xludf.DUMMYFUNCTION("""COMPUTED_VALUE"""),"Регина Абезбаева")</f>
        <v>Регина Абезбаева</v>
      </c>
      <c r="B634" s="14" t="str">
        <f ca="1">IFERROR(__xludf.DUMMYFUNCTION("""COMPUTED_VALUE"""),"Emiralmira-2014@mail.ru")</f>
        <v>Emiralmira-2014@mail.ru</v>
      </c>
      <c r="C634" s="15" t="str">
        <f ca="1">IFERROR(__xludf.DUMMYFUNCTION("""COMPUTED_VALUE"""),"+77759509009")</f>
        <v>+77759509009</v>
      </c>
      <c r="D634" s="15"/>
      <c r="E634" s="14"/>
      <c r="F63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634" s="1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>
      <c r="A635" s="14" t="str">
        <f ca="1">IFERROR(__xludf.DUMMYFUNCTION("""COMPUTED_VALUE"""),"Эмидь Муртазаев")</f>
        <v>Эмидь Муртазаев</v>
      </c>
      <c r="B635" s="14" t="str">
        <f ca="1">IFERROR(__xludf.DUMMYFUNCTION("""COMPUTED_VALUE"""),"emmyy03@mail.ru")</f>
        <v>emmyy03@mail.ru</v>
      </c>
      <c r="C635" s="15"/>
      <c r="D635" s="15" t="str">
        <f ca="1">IFERROR(__xludf.DUMMYFUNCTION("""COMPUTED_VALUE"""),"Швеция")</f>
        <v>Швеция</v>
      </c>
      <c r="E635" s="14"/>
      <c r="F635" s="8" t="str">
        <f ca="1">IFERROR(__xludf.DUMMYFUNCTION("""COMPUTED_VALUE"""),"- Тишина Челлендж (бесплатная часть)")</f>
        <v>- Тишина Челлендж (бесплатная часть)</v>
      </c>
      <c r="G635" s="1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5.5">
      <c r="A636" s="14" t="str">
        <f ca="1">IFERROR(__xludf.DUMMYFUNCTION("""COMPUTED_VALUE"""),"Eugenija Sakalauskiene")</f>
        <v>Eugenija Sakalauskiene</v>
      </c>
      <c r="B636" s="14" t="str">
        <f ca="1">IFERROR(__xludf.DUMMYFUNCTION("""COMPUTED_VALUE"""),"enija8@gmail.com")</f>
        <v>enija8@gmail.com</v>
      </c>
      <c r="C636" s="15" t="str">
        <f ca="1">IFERROR(__xludf.DUMMYFUNCTION("""COMPUTED_VALUE"""),"+4552641322")</f>
        <v>+4552641322</v>
      </c>
      <c r="D636" s="15" t="str">
        <f ca="1">IFERROR(__xludf.DUMMYFUNCTION("""COMPUTED_VALUE"""),"Дания")</f>
        <v>Дания</v>
      </c>
      <c r="E636" s="14"/>
      <c r="F636" s="8" t="str">
        <f ca="1">IFERROR(__xludf.DUMMYFUNCTION("""COMPUTED_VALUE"""),"- Вебинар с Никитой Бородулиным 11.02.2022 часть1
-  Ретрит в Латвии 19-27.03.2022")</f>
        <v>- Вебинар с Никитой Бородулиным 11.02.2022 часть1
-  Ретрит в Латвии 19-27.03.2022</v>
      </c>
      <c r="G636" s="1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5.5">
      <c r="A637" s="14" t="str">
        <f ca="1">IFERROR(__xludf.DUMMYFUNCTION("""COMPUTED_VALUE"""),"Diana Gumiriva")</f>
        <v>Diana Gumiriva</v>
      </c>
      <c r="B637" s="14" t="str">
        <f ca="1">IFERROR(__xludf.DUMMYFUNCTION("""COMPUTED_VALUE"""),"enjoy.190.dg@gmail.com")</f>
        <v>enjoy.190.dg@gmail.com</v>
      </c>
      <c r="C637" s="15" t="str">
        <f ca="1">IFERROR(__xludf.DUMMYFUNCTION("""COMPUTED_VALUE"""),"+998977063068")</f>
        <v>+998977063068</v>
      </c>
      <c r="D637" s="15"/>
      <c r="E637" s="14"/>
      <c r="F63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637" s="1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>
      <c r="A638" s="14" t="str">
        <f ca="1">IFERROR(__xludf.DUMMYFUNCTION("""COMPUTED_VALUE"""),"Ellena Naumenko")</f>
        <v>Ellena Naumenko</v>
      </c>
      <c r="B638" s="14" t="str">
        <f ca="1">IFERROR(__xludf.DUMMYFUNCTION("""COMPUTED_VALUE"""),"envipik@gmail.com")</f>
        <v>envipik@gmail.com</v>
      </c>
      <c r="C638" s="15" t="str">
        <f ca="1">IFERROR(__xludf.DUMMYFUNCTION("""COMPUTED_VALUE"""),"+79373104305")</f>
        <v>+79373104305</v>
      </c>
      <c r="D638" s="15" t="str">
        <f ca="1">IFERROR(__xludf.DUMMYFUNCTION("""COMPUTED_VALUE"""),"Россия")</f>
        <v>Россия</v>
      </c>
      <c r="E638" s="14"/>
      <c r="F638" s="8" t="str">
        <f ca="1">IFERROR(__xludf.DUMMYFUNCTION("""COMPUTED_VALUE"""),"- Однодневный ретрит Россия 14 мая 2022")</f>
        <v>- Однодневный ретрит Россия 14 мая 2022</v>
      </c>
      <c r="G638" s="1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>
      <c r="A639" s="14" t="str">
        <f ca="1">IFERROR(__xludf.DUMMYFUNCTION("""COMPUTED_VALUE"""),"Элина Разумовьска")</f>
        <v>Элина Разумовьска</v>
      </c>
      <c r="B639" s="14" t="str">
        <f ca="1">IFERROR(__xludf.DUMMYFUNCTION("""COMPUTED_VALUE"""),"erazumovskaja@gmail.com")</f>
        <v>erazumovskaja@gmail.com</v>
      </c>
      <c r="C639" s="15" t="str">
        <f ca="1">IFERROR(__xludf.DUMMYFUNCTION("""COMPUTED_VALUE"""),"+380630516393")</f>
        <v>+380630516393</v>
      </c>
      <c r="D639" s="15" t="str">
        <f ca="1">IFERROR(__xludf.DUMMYFUNCTION("""COMPUTED_VALUE"""),"Украина")</f>
        <v>Украина</v>
      </c>
      <c r="E639" s="14" t="str">
        <f ca="1">IFERROR(__xludf.DUMMYFUNCTION("""COMPUTED_VALUE"""),"@Luna_aestas")</f>
        <v>@Luna_aestas</v>
      </c>
      <c r="F639" s="8" t="str">
        <f ca="1">IFERROR(__xludf.DUMMYFUNCTION("""COMPUTED_VALUE"""),"- Клуб пробуждения Друзья (2 уровень) - 3 месяца - скидка 7%")</f>
        <v>- Клуб пробуждения Друзья (2 уровень) - 3 месяца - скидка 7%</v>
      </c>
      <c r="G639" s="1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>
      <c r="A640" s="14" t="str">
        <f ca="1">IFERROR(__xludf.DUMMYFUNCTION("""COMPUTED_VALUE"""),"ertertrt ertertrt")</f>
        <v>ertertrt ertertrt</v>
      </c>
      <c r="B640" s="14" t="str">
        <f ca="1">IFERROR(__xludf.DUMMYFUNCTION("""COMPUTED_VALUE"""),"ertertrt@gmail.com")</f>
        <v>ertertrt@gmail.com</v>
      </c>
      <c r="C640" s="15" t="str">
        <f ca="1">IFERROR(__xludf.DUMMYFUNCTION("""COMPUTED_VALUE"""),"234234234")</f>
        <v>234234234</v>
      </c>
      <c r="D640" s="15" t="str">
        <f ca="1">IFERROR(__xludf.DUMMYFUNCTION("""COMPUTED_VALUE"""),"Россия")</f>
        <v>Россия</v>
      </c>
      <c r="E640" s="14"/>
      <c r="F640" s="8" t="str">
        <f ca="1">IFERROR(__xludf.DUMMYFUNCTION("""COMPUTED_VALUE"""),"- Медитация без стереотипов")</f>
        <v>- Медитация без стереотипов</v>
      </c>
      <c r="G640" s="1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>
      <c r="A641" s="14" t="str">
        <f ca="1">IFERROR(__xludf.DUMMYFUNCTION("""COMPUTED_VALUE"""),"Ксения Гришанович")</f>
        <v>Ксения Гришанович</v>
      </c>
      <c r="B641" s="14" t="str">
        <f ca="1">IFERROR(__xludf.DUMMYFUNCTION("""COMPUTED_VALUE"""),"esenia.grish@gmail.com")</f>
        <v>esenia.grish@gmail.com</v>
      </c>
      <c r="C641" s="15" t="str">
        <f ca="1">IFERROR(__xludf.DUMMYFUNCTION("""COMPUTED_VALUE"""),"+375256881339")</f>
        <v>+375256881339</v>
      </c>
      <c r="D641" s="15" t="str">
        <f ca="1">IFERROR(__xludf.DUMMYFUNCTION("""COMPUTED_VALUE"""),"Беларусь")</f>
        <v>Беларусь</v>
      </c>
      <c r="E641" s="14"/>
      <c r="F641" s="8" t="str">
        <f ca="1">IFERROR(__xludf.DUMMYFUNCTION("""COMPUTED_VALUE"""),"- Чайная встреча Разговор по душам Минск 12.03.2022")</f>
        <v>- Чайная встреча Разговор по душам Минск 12.03.2022</v>
      </c>
      <c r="G641" s="1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>
      <c r="A642" s="14" t="str">
        <f ca="1">IFERROR(__xludf.DUMMYFUNCTION("""COMPUTED_VALUE"""),"Евгений Сивоконь")</f>
        <v>Евгений Сивоконь</v>
      </c>
      <c r="B642" s="14" t="str">
        <f ca="1">IFERROR(__xludf.DUMMYFUNCTION("""COMPUTED_VALUE"""),"esivokon1978@gmail.com")</f>
        <v>esivokon1978@gmail.com</v>
      </c>
      <c r="C642" s="15" t="str">
        <f ca="1">IFERROR(__xludf.DUMMYFUNCTION("""COMPUTED_VALUE"""),"+380713402145")</f>
        <v>+380713402145</v>
      </c>
      <c r="D642" s="15" t="str">
        <f ca="1">IFERROR(__xludf.DUMMYFUNCTION("""COMPUTED_VALUE"""),"Россия")</f>
        <v>Россия</v>
      </c>
      <c r="E642" s="14"/>
      <c r="F642" s="8" t="str">
        <f ca="1">IFERROR(__xludf.DUMMYFUNCTION("""COMPUTED_VALUE"""),"- Тишина Челлендж (бесплатная часть)")</f>
        <v>- Тишина Челлендж (бесплатная часть)</v>
      </c>
      <c r="G642" s="1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51">
      <c r="A643" s="14" t="str">
        <f ca="1">IFERROR(__xludf.DUMMYFUNCTION("""COMPUTED_VALUE"""),"Екатерина Соленюк")</f>
        <v>Екатерина Соленюк</v>
      </c>
      <c r="B643" s="14" t="str">
        <f ca="1">IFERROR(__xludf.DUMMYFUNCTION("""COMPUTED_VALUE"""),"esolenyuk@bk.ru")</f>
        <v>esolenyuk@bk.ru</v>
      </c>
      <c r="C643" s="15" t="str">
        <f ca="1">IFERROR(__xludf.DUMMYFUNCTION("""COMPUTED_VALUE"""),"+79683898846")</f>
        <v>+79683898846</v>
      </c>
      <c r="D643" s="15" t="str">
        <f ca="1">IFERROR(__xludf.DUMMYFUNCTION("""COMPUTED_VALUE"""),"Россия")</f>
        <v>Россия</v>
      </c>
      <c r="E643" s="14"/>
      <c r="F643" s="8" t="str">
        <f ca="1">IFERROR(__xludf.DUMMYFUNCTION("""COMPUTED_VALUE"""),"- Вебинар-батл Я уже все знаю! Мне не нужна Школа 9.01.2022
- Беседа - сатсанг с Екатериной Сосниной: Счастье внутри нас 15.1.22
- Городской ретрит Москва 18-20.02.2022")</f>
        <v>- Вебинар-батл Я уже все знаю! Мне не нужна Школа 9.01.2022
- Беседа - сатсанг с Екатериной Сосниной: Счастье внутри нас 15.1.22
- Городской ретрит Москва 18-20.02.2022</v>
      </c>
      <c r="G643" s="1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>
      <c r="A644" s="14" t="str">
        <f ca="1">IFERROR(__xludf.DUMMYFUNCTION("""COMPUTED_VALUE"""),"eulicheva,  ")</f>
        <v xml:space="preserve">eulicheva,  </v>
      </c>
      <c r="B644" s="14" t="str">
        <f ca="1">IFERROR(__xludf.DUMMYFUNCTION("""COMPUTED_VALUE"""),"eulicheva@inbox.ru")</f>
        <v>eulicheva@inbox.ru</v>
      </c>
      <c r="C644" s="15"/>
      <c r="D644" s="15" t="str">
        <f ca="1">IFERROR(__xludf.DUMMYFUNCTION("""COMPUTED_VALUE"""),"Россия")</f>
        <v>Россия</v>
      </c>
      <c r="E644" s="14"/>
      <c r="F644" s="8" t="str">
        <f ca="1">IFERROR(__xludf.DUMMYFUNCTION("""COMPUTED_VALUE"""),"- Базовая бесплатная часть")</f>
        <v>- Базовая бесплатная часть</v>
      </c>
      <c r="G644" s="1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>
      <c r="A645" s="14" t="str">
        <f ca="1">IFERROR(__xludf.DUMMYFUNCTION("""COMPUTED_VALUE"""),"Ева Велижанина")</f>
        <v>Ева Велижанина</v>
      </c>
      <c r="B645" s="14" t="str">
        <f ca="1">IFERROR(__xludf.DUMMYFUNCTION("""COMPUTED_VALUE"""),"eva.eliseeva08@gmail.ru")</f>
        <v>eva.eliseeva08@gmail.ru</v>
      </c>
      <c r="C645" s="15" t="str">
        <f ca="1">IFERROR(__xludf.DUMMYFUNCTION("""COMPUTED_VALUE"""),", +79853940183")</f>
        <v>, +79853940183</v>
      </c>
      <c r="D645" s="15" t="str">
        <f ca="1">IFERROR(__xludf.DUMMYFUNCTION("""COMPUTED_VALUE"""),"Россия")</f>
        <v>Россия</v>
      </c>
      <c r="E645" s="14"/>
      <c r="F645" s="8" t="str">
        <f ca="1">IFERROR(__xludf.DUMMYFUNCTION("""COMPUTED_VALUE"""),"Мероприятий не обнаружено")</f>
        <v>Мероприятий не обнаружено</v>
      </c>
      <c r="G645" s="1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5.5">
      <c r="A646" s="14" t="str">
        <f ca="1">IFERROR(__xludf.DUMMYFUNCTION("""COMPUTED_VALUE"""),"Елена Шадрина")</f>
        <v>Елена Шадрина</v>
      </c>
      <c r="B646" s="14" t="str">
        <f ca="1">IFERROR(__xludf.DUMMYFUNCTION("""COMPUTED_VALUE"""),"eva.shadrina.82@mail.ru")</f>
        <v>eva.shadrina.82@mail.ru</v>
      </c>
      <c r="C646" s="15" t="str">
        <f ca="1">IFERROR(__xludf.DUMMYFUNCTION("""COMPUTED_VALUE"""),"+998935870791")</f>
        <v>+998935870791</v>
      </c>
      <c r="D646" s="15"/>
      <c r="E646" s="14"/>
      <c r="F64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646" s="1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>
      <c r="A647" s="14" t="str">
        <f ca="1">IFERROR(__xludf.DUMMYFUNCTION("""COMPUTED_VALUE"""),"Евгения Зарубина")</f>
        <v>Евгения Зарубина</v>
      </c>
      <c r="B647" s="14" t="str">
        <f ca="1">IFERROR(__xludf.DUMMYFUNCTION("""COMPUTED_VALUE"""),"eva.zaribina.1995@gmail.com")</f>
        <v>eva.zaribina.1995@gmail.com</v>
      </c>
      <c r="C647" s="15" t="str">
        <f ca="1">IFERROR(__xludf.DUMMYFUNCTION("""COMPUTED_VALUE"""),", 79823069197")</f>
        <v>, 79823069197</v>
      </c>
      <c r="D647" s="15"/>
      <c r="E647" s="14" t="str">
        <f ca="1">IFERROR(__xludf.DUMMYFUNCTION("""COMPUTED_VALUE"""),"@janezarubina")</f>
        <v>@janezarubina</v>
      </c>
      <c r="F647" s="8" t="str">
        <f ca="1">IFERROR(__xludf.DUMMYFUNCTION("""COMPUTED_VALUE"""),"Мероприятий не обнаружено")</f>
        <v>Мероприятий не обнаружено</v>
      </c>
      <c r="G647" s="1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63.75">
      <c r="A648" s="14" t="str">
        <f ca="1">IFERROR(__xludf.DUMMYFUNCTION("""COMPUTED_VALUE"""),"Евгения Зарубина")</f>
        <v>Евгения Зарубина</v>
      </c>
      <c r="B648" s="14" t="str">
        <f ca="1">IFERROR(__xludf.DUMMYFUNCTION("""COMPUTED_VALUE"""),"eva.zarubina.1995@gmail.com")</f>
        <v>eva.zarubina.1995@gmail.com</v>
      </c>
      <c r="C648" s="15" t="str">
        <f ca="1">IFERROR(__xludf.DUMMYFUNCTION("""COMPUTED_VALUE"""),"79823069197")</f>
        <v>79823069197</v>
      </c>
      <c r="D648" s="15" t="str">
        <f ca="1">IFERROR(__xludf.DUMMYFUNCTION("""COMPUTED_VALUE"""),"Россия")</f>
        <v>Россия</v>
      </c>
      <c r="E648" s="14" t="str">
        <f ca="1">IFERROR(__xludf.DUMMYFUNCTION("""COMPUTED_VALUE"""),"@janezarubina")</f>
        <v>@janezarubina</v>
      </c>
      <c r="F648" s="8" t="str">
        <f ca="1">IFERROR(__xludf.DUMMYFUNCTION("""COMPUTED_VALUE"""),"- Интенсив онлайн 11-13.02.2022
- Ретрит в РЦ Сочи 19-27 марта 2022 (Оплата до 6 марта)
- Интенсив  в Каменск-Уральском 27-29.5.2022 (оплата со 16 по 26 мая)
- Однодневный ретрит Европа 14 мая 2022 ")</f>
        <v xml:space="preserve">- Интенсив онлайн 11-13.02.2022
- Ретрит в РЦ Сочи 19-27 марта 2022 (Оплата до 6 марта)
- Интенсив  в Каменск-Уральском 27-29.5.2022 (оплата со 16 по 26 мая)
- Однодневный ретрит Европа 14 мая 2022 </v>
      </c>
      <c r="G648" s="1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>
      <c r="A649" s="14" t="str">
        <f ca="1">IFERROR(__xludf.DUMMYFUNCTION("""COMPUTED_VALUE"""),"Евгения Зарубина")</f>
        <v>Евгения Зарубина</v>
      </c>
      <c r="B649" s="14" t="str">
        <f ca="1">IFERROR(__xludf.DUMMYFUNCTION("""COMPUTED_VALUE"""),"eva.zarubina.1995@gmail.ru")</f>
        <v>eva.zarubina.1995@gmail.ru</v>
      </c>
      <c r="C649" s="15" t="str">
        <f ca="1">IFERROR(__xludf.DUMMYFUNCTION("""COMPUTED_VALUE"""),", +79823069197")</f>
        <v>, +79823069197</v>
      </c>
      <c r="D649" s="15" t="str">
        <f ca="1">IFERROR(__xludf.DUMMYFUNCTION("""COMPUTED_VALUE"""),"Россия")</f>
        <v>Россия</v>
      </c>
      <c r="E649" s="14"/>
      <c r="F649" s="8" t="str">
        <f ca="1">IFERROR(__xludf.DUMMYFUNCTION("""COMPUTED_VALUE"""),"Мероприятий не обнаружено")</f>
        <v>Мероприятий не обнаружено</v>
      </c>
      <c r="G649" s="1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5.5">
      <c r="A650" s="14" t="str">
        <f ca="1">IFERROR(__xludf.DUMMYFUNCTION("""COMPUTED_VALUE"""),"Ева Дик")</f>
        <v>Ева Дик</v>
      </c>
      <c r="B650" s="14" t="str">
        <f ca="1">IFERROR(__xludf.DUMMYFUNCTION("""COMPUTED_VALUE"""),"Eva888dik@mail.ru")</f>
        <v>Eva888dik@mail.ru</v>
      </c>
      <c r="C650" s="15" t="str">
        <f ca="1">IFERROR(__xludf.DUMMYFUNCTION("""COMPUTED_VALUE"""),"87081268832")</f>
        <v>87081268832</v>
      </c>
      <c r="D650" s="15"/>
      <c r="E650" s="14"/>
      <c r="F65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650" s="1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>
      <c r="A651" s="14" t="str">
        <f ca="1">IFERROR(__xludf.DUMMYFUNCTION("""COMPUTED_VALUE"""),"Evangelos Karopoulos")</f>
        <v>Evangelos Karopoulos</v>
      </c>
      <c r="B651" s="14" t="str">
        <f ca="1">IFERROR(__xludf.DUMMYFUNCTION("""COMPUTED_VALUE"""),"evan281993@gmail.com")</f>
        <v>evan281993@gmail.com</v>
      </c>
      <c r="C651" s="15"/>
      <c r="D651" s="15"/>
      <c r="E651" s="14"/>
      <c r="F651" s="8" t="str">
        <f ca="1">IFERROR(__xludf.DUMMYFUNCTION("""COMPUTED_VALUE"""),"- What hides behind anxiety? The quantum leap [EU]")</f>
        <v>- What hides behind anxiety? The quantum leap [EU]</v>
      </c>
      <c r="G651" s="1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>
      <c r="A652" s="14" t="str">
        <f ca="1">IFERROR(__xludf.DUMMYFUNCTION("""COMPUTED_VALUE"""),"evapay05,  ")</f>
        <v xml:space="preserve">evapay05,  </v>
      </c>
      <c r="B652" s="14" t="str">
        <f ca="1">IFERROR(__xludf.DUMMYFUNCTION("""COMPUTED_VALUE"""),"evapay05@gmail.com")</f>
        <v>evapay05@gmail.com</v>
      </c>
      <c r="C652" s="15"/>
      <c r="D652" s="15"/>
      <c r="E652" s="14"/>
      <c r="F652" s="8" t="str">
        <f ca="1">IFERROR(__xludf.DUMMYFUNCTION("""COMPUTED_VALUE"""),"- USA Челлендж Тишина")</f>
        <v>- USA Челлендж Тишина</v>
      </c>
      <c r="G652" s="1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38.25">
      <c r="A653" s="14" t="str">
        <f ca="1">IFERROR(__xludf.DUMMYFUNCTION("""COMPUTED_VALUE"""),"Алексей Диченко")</f>
        <v>Алексей Диченко</v>
      </c>
      <c r="B653" s="14" t="str">
        <f ca="1">IFERROR(__xludf.DUMMYFUNCTION("""COMPUTED_VALUE"""),"evgduna@mail.ru")</f>
        <v>evgduna@mail.ru</v>
      </c>
      <c r="C653" s="15" t="str">
        <f ca="1">IFERROR(__xludf.DUMMYFUNCTION("""COMPUTED_VALUE"""),"79181351575")</f>
        <v>79181351575</v>
      </c>
      <c r="D653" s="15" t="str">
        <f ca="1">IFERROR(__xludf.DUMMYFUNCTION("""COMPUTED_VALUE"""),"Россия")</f>
        <v>Россия</v>
      </c>
      <c r="E653" s="14"/>
      <c r="F653" s="8" t="str">
        <f ca="1">IFERROR(__xludf.DUMMYFUNCTION("""COMPUTED_VALUE"""),"- Запись на ""Беседу по душам""
- Заявка на СЪЕЗД+ФЕСТИВАЛЬ ""Мы вместе"" 3-8.01.22
- Выездной ретрит Воронеж-Липецк 25-27.2.2022")</f>
        <v>- Запись на "Беседу по душам"
- Заявка на СЪЕЗД+ФЕСТИВАЛЬ "Мы вместе" 3-8.01.22
- Выездной ретрит Воронеж-Липецк 25-27.2.2022</v>
      </c>
      <c r="G653" s="1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>
      <c r="A654" s="14" t="str">
        <f ca="1">IFERROR(__xludf.DUMMYFUNCTION("""COMPUTED_VALUE"""),"Евгений Фистикан")</f>
        <v>Евгений Фистикан</v>
      </c>
      <c r="B654" s="14" t="str">
        <f ca="1">IFERROR(__xludf.DUMMYFUNCTION("""COMPUTED_VALUE"""),"evgenchumachenko888@gmail.com")</f>
        <v>evgenchumachenko888@gmail.com</v>
      </c>
      <c r="C654" s="15" t="str">
        <f ca="1">IFERROR(__xludf.DUMMYFUNCTION("""COMPUTED_VALUE"""),"+380991716071")</f>
        <v>+380991716071</v>
      </c>
      <c r="D654" s="15" t="str">
        <f ca="1">IFERROR(__xludf.DUMMYFUNCTION("""COMPUTED_VALUE"""),"Украина")</f>
        <v>Украина</v>
      </c>
      <c r="E654" s="14" t="str">
        <f ca="1">IFERROR(__xludf.DUMMYFUNCTION("""COMPUTED_VALUE"""),"@Chumachenko8888")</f>
        <v>@Chumachenko8888</v>
      </c>
      <c r="F654" s="8" t="str">
        <f ca="1">IFERROR(__xludf.DUMMYFUNCTION("""COMPUTED_VALUE"""),"- Клуб пробуждения Друзья (2 уровень) - 1 месяц")</f>
        <v>- Клуб пробуждения Друзья (2 уровень) - 1 месяц</v>
      </c>
      <c r="G654" s="1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38.25">
      <c r="A655" s="14" t="str">
        <f ca="1">IFERROR(__xludf.DUMMYFUNCTION("""COMPUTED_VALUE"""),"Евгения Шеметова")</f>
        <v>Евгения Шеметова</v>
      </c>
      <c r="B655" s="14" t="str">
        <f ca="1">IFERROR(__xludf.DUMMYFUNCTION("""COMPUTED_VALUE"""),"evgeniasemetova219@gmail.com")</f>
        <v>evgeniasemetova219@gmail.com</v>
      </c>
      <c r="C655" s="15" t="str">
        <f ca="1">IFERROR(__xludf.DUMMYFUNCTION("""COMPUTED_VALUE"""),"79085855505")</f>
        <v>79085855505</v>
      </c>
      <c r="D655" s="15" t="str">
        <f ca="1">IFERROR(__xludf.DUMMYFUNCTION("""COMPUTED_VALUE"""),"Россия")</f>
        <v>Россия</v>
      </c>
      <c r="E655" s="14"/>
      <c r="F655" s="8" t="str">
        <f ca="1">IFERROR(__xludf.DUMMYFUNCTION("""COMPUTED_VALUE"""),"- Практика тишины онлайн 3.03.2022
- Ретрит в РЦ Сочи 19-27 марта 2022  (Оплата с 7 марта до 16 марта)")</f>
        <v>- Практика тишины онлайн 3.03.2022
- Ретрит в РЦ Сочи 19-27 марта 2022  (Оплата с 7 марта до 16 марта)</v>
      </c>
      <c r="G655" s="1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>
      <c r="A656" s="14" t="str">
        <f ca="1">IFERROR(__xludf.DUMMYFUNCTION("""COMPUTED_VALUE"""),"Евгений Горюнов")</f>
        <v>Евгений Горюнов</v>
      </c>
      <c r="B656" s="14" t="str">
        <f ca="1">IFERROR(__xludf.DUMMYFUNCTION("""COMPUTED_VALUE"""),"evgenistranger89@gmail.com")</f>
        <v>evgenistranger89@gmail.com</v>
      </c>
      <c r="C656" s="15" t="str">
        <f ca="1">IFERROR(__xludf.DUMMYFUNCTION("""COMPUTED_VALUE"""),"79180163243")</f>
        <v>79180163243</v>
      </c>
      <c r="D656" s="15" t="str">
        <f ca="1">IFERROR(__xludf.DUMMYFUNCTION("""COMPUTED_VALUE"""),"Россия")</f>
        <v>Россия</v>
      </c>
      <c r="E656" s="14"/>
      <c r="F656" s="8" t="str">
        <f ca="1">IFERROR(__xludf.DUMMYFUNCTION("""COMPUTED_VALUE"""),"- Практика тишины в Краснодаре 26.12.21")</f>
        <v>- Практика тишины в Краснодаре 26.12.21</v>
      </c>
      <c r="G656" s="1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>
      <c r="A657" s="14" t="str">
        <f ca="1">IFERROR(__xludf.DUMMYFUNCTION("""COMPUTED_VALUE"""),"Евгения Ильина")</f>
        <v>Евгения Ильина</v>
      </c>
      <c r="B657" s="14" t="str">
        <f ca="1">IFERROR(__xludf.DUMMYFUNCTION("""COMPUTED_VALUE"""),"evgeniya.ilina@gmail.com")</f>
        <v>evgeniya.ilina@gmail.com</v>
      </c>
      <c r="C657" s="15"/>
      <c r="D657" s="15" t="str">
        <f ca="1">IFERROR(__xludf.DUMMYFUNCTION("""COMPUTED_VALUE"""),"Испания")</f>
        <v>Испания</v>
      </c>
      <c r="E657" s="14"/>
      <c r="F657" s="8" t="str">
        <f ca="1">IFERROR(__xludf.DUMMYFUNCTION("""COMPUTED_VALUE"""),"- Тишина Челлендж (бесплатная часть)")</f>
        <v>- Тишина Челлендж (бесплатная часть)</v>
      </c>
      <c r="G657" s="1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>
      <c r="A658" s="14" t="str">
        <f ca="1">IFERROR(__xludf.DUMMYFUNCTION("""COMPUTED_VALUE"""),"Евгения Соколова")</f>
        <v>Евгения Соколова</v>
      </c>
      <c r="B658" s="14" t="str">
        <f ca="1">IFERROR(__xludf.DUMMYFUNCTION("""COMPUTED_VALUE"""),"evgeniya15336@gmail.com")</f>
        <v>evgeniya15336@gmail.com</v>
      </c>
      <c r="C658" s="15" t="str">
        <f ca="1">IFERROR(__xludf.DUMMYFUNCTION("""COMPUTED_VALUE"""),"+996700079423")</f>
        <v>+996700079423</v>
      </c>
      <c r="D658" s="15" t="str">
        <f ca="1">IFERROR(__xludf.DUMMYFUNCTION("""COMPUTED_VALUE"""),"Кыргызстан")</f>
        <v>Кыргызстан</v>
      </c>
      <c r="E658" s="14"/>
      <c r="F658" s="8" t="str">
        <f ca="1">IFERROR(__xludf.DUMMYFUNCTION("""COMPUTED_VALUE"""),"- Тишина Челлендж (бесплатная часть)")</f>
        <v>- Тишина Челлендж (бесплатная часть)</v>
      </c>
      <c r="G658" s="1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>
      <c r="A659" s="14" t="str">
        <f ca="1">IFERROR(__xludf.DUMMYFUNCTION("""COMPUTED_VALUE"""),"evgeniyamih01,  ")</f>
        <v xml:space="preserve">evgeniyamih01,  </v>
      </c>
      <c r="B659" s="14" t="str">
        <f ca="1">IFERROR(__xludf.DUMMYFUNCTION("""COMPUTED_VALUE"""),"evgeniyamih01@gmail.com")</f>
        <v>evgeniyamih01@gmail.com</v>
      </c>
      <c r="C659" s="15"/>
      <c r="D659" s="15"/>
      <c r="E659" s="14"/>
      <c r="F659" s="8" t="str">
        <f ca="1">IFERROR(__xludf.DUMMYFUNCTION("""COMPUTED_VALUE"""),"- USA Челлендж Тишина")</f>
        <v>- USA Челлендж Тишина</v>
      </c>
      <c r="G659" s="1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5.5">
      <c r="A660" s="14" t="str">
        <f ca="1">IFERROR(__xludf.DUMMYFUNCTION("""COMPUTED_VALUE"""),"Евгения Шадрина")</f>
        <v>Евгения Шадрина</v>
      </c>
      <c r="B660" s="14" t="str">
        <f ca="1">IFERROR(__xludf.DUMMYFUNCTION("""COMPUTED_VALUE"""),"evgeniyashadrina@iclud.com")</f>
        <v>evgeniyashadrina@iclud.com</v>
      </c>
      <c r="C660" s="15" t="str">
        <f ca="1">IFERROR(__xludf.DUMMYFUNCTION("""COMPUTED_VALUE"""),"+77757474933")</f>
        <v>+77757474933</v>
      </c>
      <c r="D660" s="15"/>
      <c r="E660" s="14"/>
      <c r="F66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660" s="1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5.5">
      <c r="A661" s="14" t="str">
        <f ca="1">IFERROR(__xludf.DUMMYFUNCTION("""COMPUTED_VALUE"""),"Евгения Куприна")</f>
        <v>Евгения Куприна</v>
      </c>
      <c r="B661" s="14" t="str">
        <f ca="1">IFERROR(__xludf.DUMMYFUNCTION("""COMPUTED_VALUE"""),"evgesha.922222@mail.ru")</f>
        <v>evgesha.922222@mail.ru</v>
      </c>
      <c r="C661" s="15" t="str">
        <f ca="1">IFERROR(__xludf.DUMMYFUNCTION("""COMPUTED_VALUE"""),"87079047751")</f>
        <v>87079047751</v>
      </c>
      <c r="D661" s="15"/>
      <c r="E661" s="14"/>
      <c r="F66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661" s="1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>
      <c r="A662" s="14" t="str">
        <f ca="1">IFERROR(__xludf.DUMMYFUNCTION("""COMPUTED_VALUE"""),"Evita Tidmane")</f>
        <v>Evita Tidmane</v>
      </c>
      <c r="B662" s="14" t="str">
        <f ca="1">IFERROR(__xludf.DUMMYFUNCTION("""COMPUTED_VALUE"""),"evita.tidmane@gmail.com")</f>
        <v>evita.tidmane@gmail.com</v>
      </c>
      <c r="C662" s="15" t="str">
        <f ca="1">IFERROR(__xludf.DUMMYFUNCTION("""COMPUTED_VALUE"""),"+37129488824")</f>
        <v>+37129488824</v>
      </c>
      <c r="D662" s="15" t="str">
        <f ca="1">IFERROR(__xludf.DUMMYFUNCTION("""COMPUTED_VALUE"""),"Латвия")</f>
        <v>Латвия</v>
      </c>
      <c r="E662" s="14"/>
      <c r="F662" s="8" t="str">
        <f ca="1">IFERROR(__xludf.DUMMYFUNCTION("""COMPUTED_VALUE"""),"- Онлайн Интенсив 29-30 января 2022 Европа")</f>
        <v>- Онлайн Интенсив 29-30 января 2022 Европа</v>
      </c>
      <c r="G662" s="1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>
      <c r="A663" s="14" t="str">
        <f ca="1">IFERROR(__xludf.DUMMYFUNCTION("""COMPUTED_VALUE"""),"Телият Осман")</f>
        <v>Телият Осман</v>
      </c>
      <c r="B663" s="14" t="str">
        <f ca="1">IFERROR(__xludf.DUMMYFUNCTION("""COMPUTED_VALUE"""),"evropa13@abv.bg")</f>
        <v>evropa13@abv.bg</v>
      </c>
      <c r="C663" s="15" t="str">
        <f ca="1">IFERROR(__xludf.DUMMYFUNCTION("""COMPUTED_VALUE"""),"0888332671")</f>
        <v>0888332671</v>
      </c>
      <c r="D663" s="15" t="str">
        <f ca="1">IFERROR(__xludf.DUMMYFUNCTION("""COMPUTED_VALUE"""),"Болгария")</f>
        <v>Болгария</v>
      </c>
      <c r="E663" s="14"/>
      <c r="F663" s="8" t="str">
        <f ca="1">IFERROR(__xludf.DUMMYFUNCTION("""COMPUTED_VALUE"""),"- Тишина Челлендж (бесплатная часть)")</f>
        <v>- Тишина Челлендж (бесплатная часть)</v>
      </c>
      <c r="G663" s="1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5.5">
      <c r="A664" s="14" t="str">
        <f ca="1">IFERROR(__xludf.DUMMYFUNCTION("""COMPUTED_VALUE"""),"Евгения Шевченко")</f>
        <v>Евгения Шевченко</v>
      </c>
      <c r="B664" s="14" t="str">
        <f ca="1">IFERROR(__xludf.DUMMYFUNCTION("""COMPUTED_VALUE"""),"evseniasevcenko@gmail.com")</f>
        <v>evseniasevcenko@gmail.com</v>
      </c>
      <c r="C664" s="15" t="str">
        <f ca="1">IFERROR(__xludf.DUMMYFUNCTION("""COMPUTED_VALUE"""),"+77759431054")</f>
        <v>+77759431054</v>
      </c>
      <c r="D664" s="15"/>
      <c r="E664" s="14"/>
      <c r="F66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664" s="1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>
      <c r="A665" s="14" t="str">
        <f ca="1">IFERROR(__xludf.DUMMYFUNCTION("""COMPUTED_VALUE"""),"Оксана Романова")</f>
        <v>Оксана Романова</v>
      </c>
      <c r="B665" s="14" t="str">
        <f ca="1">IFERROR(__xludf.DUMMYFUNCTION("""COMPUTED_VALUE"""),"exo.agatebaekhyun@gmail.com")</f>
        <v>exo.agatebaekhyun@gmail.com</v>
      </c>
      <c r="C665" s="15"/>
      <c r="D665" s="15" t="str">
        <f ca="1">IFERROR(__xludf.DUMMYFUNCTION("""COMPUTED_VALUE"""),"Латвия")</f>
        <v>Латвия</v>
      </c>
      <c r="E665" s="14"/>
      <c r="F665" s="8" t="str">
        <f ca="1">IFERROR(__xludf.DUMMYFUNCTION("""COMPUTED_VALUE"""),"- Базовая бесплатная часть")</f>
        <v>- Базовая бесплатная часть</v>
      </c>
      <c r="G665" s="1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>
      <c r="A666" s="14" t="str">
        <f ca="1">IFERROR(__xludf.DUMMYFUNCTION("""COMPUTED_VALUE"""),"Gala Burninova")</f>
        <v>Gala Burninova</v>
      </c>
      <c r="B666" s="14" t="str">
        <f ca="1">IFERROR(__xludf.DUMMYFUNCTION("""COMPUTED_VALUE"""),"Expert-Gala@yandex.ru")</f>
        <v>Expert-Gala@yandex.ru</v>
      </c>
      <c r="C666" s="15" t="str">
        <f ca="1">IFERROR(__xludf.DUMMYFUNCTION("""COMPUTED_VALUE"""),"79064370440")</f>
        <v>79064370440</v>
      </c>
      <c r="D666" s="15" t="str">
        <f ca="1">IFERROR(__xludf.DUMMYFUNCTION("""COMPUTED_VALUE"""),"Россия")</f>
        <v>Россия</v>
      </c>
      <c r="E666" s="14"/>
      <c r="F666" s="8" t="str">
        <f ca="1">IFERROR(__xludf.DUMMYFUNCTION("""COMPUTED_VALUE"""),"- Тишина Челлендж (бесплатная часть)")</f>
        <v>- Тишина Челлендж (бесплатная часть)</v>
      </c>
      <c r="G666" s="1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>
      <c r="A667" s="14" t="str">
        <f ca="1">IFERROR(__xludf.DUMMYFUNCTION("""COMPUTED_VALUE"""),"Елена Ямских")</f>
        <v>Елена Ямских</v>
      </c>
      <c r="B667" s="14" t="str">
        <f ca="1">IFERROR(__xludf.DUMMYFUNCTION("""COMPUTED_VALUE"""),"eyamskih@yandex.ru")</f>
        <v>eyamskih@yandex.ru</v>
      </c>
      <c r="C667" s="15" t="str">
        <f ca="1">IFERROR(__xludf.DUMMYFUNCTION("""COMPUTED_VALUE"""),"79312303036")</f>
        <v>79312303036</v>
      </c>
      <c r="D667" s="15" t="str">
        <f ca="1">IFERROR(__xludf.DUMMYFUNCTION("""COMPUTED_VALUE"""),"Россия")</f>
        <v>Россия</v>
      </c>
      <c r="E667" s="14"/>
      <c r="F667" s="8" t="str">
        <f ca="1">IFERROR(__xludf.DUMMYFUNCTION("""COMPUTED_VALUE"""),"- Выездной ретрит Воронеж-Липецк 25-27.2.2022")</f>
        <v>- Выездной ретрит Воронеж-Липецк 25-27.2.2022</v>
      </c>
      <c r="G667" s="1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>
      <c r="A668" s="14" t="str">
        <f ca="1">IFERROR(__xludf.DUMMYFUNCTION("""COMPUTED_VALUE"""),"Василий Закладной")</f>
        <v>Василий Закладной</v>
      </c>
      <c r="B668" s="14" t="str">
        <f ca="1">IFERROR(__xludf.DUMMYFUNCTION("""COMPUTED_VALUE"""),"ezakladnaya@yandex.ru")</f>
        <v>ezakladnaya@yandex.ru</v>
      </c>
      <c r="C668" s="15" t="str">
        <f ca="1">IFERROR(__xludf.DUMMYFUNCTION("""COMPUTED_VALUE"""),"+79275681207")</f>
        <v>+79275681207</v>
      </c>
      <c r="D668" s="15" t="str">
        <f ca="1">IFERROR(__xludf.DUMMYFUNCTION("""COMPUTED_VALUE"""),"Россия")</f>
        <v>Россия</v>
      </c>
      <c r="E668" s="14"/>
      <c r="F668" s="8" t="str">
        <f ca="1">IFERROR(__xludf.DUMMYFUNCTION("""COMPUTED_VALUE"""),"- Базовая бесплатная часть")</f>
        <v>- Базовая бесплатная часть</v>
      </c>
      <c r="G668" s="1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5.5">
      <c r="A669" s="14" t="str">
        <f ca="1">IFERROR(__xludf.DUMMYFUNCTION("""COMPUTED_VALUE"""),"Frida Lisnyansky")</f>
        <v>Frida Lisnyansky</v>
      </c>
      <c r="B669" s="14" t="str">
        <f ca="1">IFERROR(__xludf.DUMMYFUNCTION("""COMPUTED_VALUE"""),"f.fridalis@gmail.com")</f>
        <v>f.fridalis@gmail.com</v>
      </c>
      <c r="C669" s="15" t="str">
        <f ca="1">IFERROR(__xludf.DUMMYFUNCTION("""COMPUTED_VALUE"""),"0504244576")</f>
        <v>0504244576</v>
      </c>
      <c r="D669" s="15" t="str">
        <f ca="1">IFERROR(__xludf.DUMMYFUNCTION("""COMPUTED_VALUE"""),"Израиль")</f>
        <v>Израиль</v>
      </c>
      <c r="E669" s="14"/>
      <c r="F669" s="8" t="str">
        <f ca="1">IFERROR(__xludf.DUMMYFUNCTION("""COMPUTED_VALUE"""),"- Курс Творческого Развития ""Скульптура и Керамика - Целостность""")</f>
        <v>- Курс Творческого Развития "Скульптура и Керамика - Целостность"</v>
      </c>
      <c r="G669" s="1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38.25">
      <c r="A670" s="14" t="str">
        <f ca="1">IFERROR(__xludf.DUMMYFUNCTION("""COMPUTED_VALUE"""),"Gulya Zhamalova")</f>
        <v>Gulya Zhamalova</v>
      </c>
      <c r="B670" s="14" t="str">
        <f ca="1">IFERROR(__xludf.DUMMYFUNCTION("""COMPUTED_VALUE"""),"f.uchet@mail.ru")</f>
        <v>f.uchet@mail.ru</v>
      </c>
      <c r="C670" s="15" t="str">
        <f ca="1">IFERROR(__xludf.DUMMYFUNCTION("""COMPUTED_VALUE"""),"+77773888844")</f>
        <v>+77773888844</v>
      </c>
      <c r="D670" s="15" t="str">
        <f ca="1">IFERROR(__xludf.DUMMYFUNCTION("""COMPUTED_VALUE"""),"Казахстан")</f>
        <v>Казахстан</v>
      </c>
      <c r="E670" s="14"/>
      <c r="F670" s="8" t="str">
        <f ca="1">IFERROR(__xludf.DUMMYFUNCTION("""COMPUTED_VALUE"""),"- Марафон Тишины - Тишина челлендж: Урал, Казахстан, Узбекистан 25-29.04.2022
- Тишина Челлендж (бесплатная часть)")</f>
        <v>- Марафон Тишины - Тишина челлендж: Урал, Казахстан, Узбекистан 25-29.04.2022
- Тишина Челлендж (бесплатная часть)</v>
      </c>
      <c r="G670" s="1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>
      <c r="A671" s="14" t="str">
        <f ca="1">IFERROR(__xludf.DUMMYFUNCTION("""COMPUTED_VALUE""")," ")</f>
        <v xml:space="preserve"> </v>
      </c>
      <c r="B671" s="14" t="str">
        <f ca="1">IFERROR(__xludf.DUMMYFUNCTION("""COMPUTED_VALUE"""),"f@gmail.com")</f>
        <v>f@gmail.com</v>
      </c>
      <c r="C671" s="15"/>
      <c r="D671" s="15"/>
      <c r="E671" s="14"/>
      <c r="F671" s="8" t="str">
        <f ca="1">IFERROR(__xludf.DUMMYFUNCTION("""COMPUTED_VALUE"""),"Мероприятий не обнаружено")</f>
        <v>Мероприятий не обнаружено</v>
      </c>
      <c r="G671" s="1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5.5">
      <c r="A672" s="14" t="str">
        <f ca="1">IFERROR(__xludf.DUMMYFUNCTION("""COMPUTED_VALUE"""),"Сергей Фесюнов")</f>
        <v>Сергей Фесюнов</v>
      </c>
      <c r="B672" s="14" t="str">
        <f ca="1">IFERROR(__xludf.DUMMYFUNCTION("""COMPUTED_VALUE"""),"f12reg@mail.ru")</f>
        <v>f12reg@mail.ru</v>
      </c>
      <c r="C672" s="15" t="str">
        <f ca="1">IFERROR(__xludf.DUMMYFUNCTION("""COMPUTED_VALUE"""),"+79880117090")</f>
        <v>+79880117090</v>
      </c>
      <c r="D672" s="15" t="str">
        <f ca="1">IFERROR(__xludf.DUMMYFUNCTION("""COMPUTED_VALUE"""),"Россия")</f>
        <v>Россия</v>
      </c>
      <c r="E672" s="14"/>
      <c r="F672" s="8" t="str">
        <f ca="1">IFERROR(__xludf.DUMMYFUNCTION("""COMPUTED_VALUE"""),"- Тишина Челлендж (бесплатная часть)
- Однодневный онлайн ретрит Россия 14 мая 2022")</f>
        <v>- Тишина Челлендж (бесплатная часть)
- Однодневный онлайн ретрит Россия 14 мая 2022</v>
      </c>
      <c r="G672" s="1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>
      <c r="A673" s="14" t="str">
        <f ca="1">IFERROR(__xludf.DUMMYFUNCTION("""COMPUTED_VALUE"""),"Dace Saulenberga")</f>
        <v>Dace Saulenberga</v>
      </c>
      <c r="B673" s="14" t="str">
        <f ca="1">IFERROR(__xludf.DUMMYFUNCTION("""COMPUTED_VALUE"""),"faberlic_oxy@inbox.lv")</f>
        <v>faberlic_oxy@inbox.lv</v>
      </c>
      <c r="C673" s="15" t="str">
        <f ca="1">IFERROR(__xludf.DUMMYFUNCTION("""COMPUTED_VALUE"""),"29164789")</f>
        <v>29164789</v>
      </c>
      <c r="D673" s="15" t="str">
        <f ca="1">IFERROR(__xludf.DUMMYFUNCTION("""COMPUTED_VALUE"""),"Латвия")</f>
        <v>Латвия</v>
      </c>
      <c r="E673" s="14"/>
      <c r="F673" s="8" t="str">
        <f ca="1">IFERROR(__xludf.DUMMYFUNCTION("""COMPUTED_VALUE"""),"- ретрит ЕВРОПЕЙСКИЙ 14-21.1.2022 Латвия(550€)")</f>
        <v>- ретрит ЕВРОПЕЙСКИЙ 14-21.1.2022 Латвия(550€)</v>
      </c>
      <c r="G673" s="1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>
      <c r="A674" s="14" t="str">
        <f ca="1">IFERROR(__xludf.DUMMYFUNCTION("""COMPUTED_VALUE"""),"Facelesssoulmate )")</f>
        <v>Facelesssoulmate )</v>
      </c>
      <c r="B674" s="14" t="str">
        <f ca="1">IFERROR(__xludf.DUMMYFUNCTION("""COMPUTED_VALUE"""),"Facelesssoulmate@gmail.com")</f>
        <v>Facelesssoulmate@gmail.com</v>
      </c>
      <c r="C674" s="15" t="str">
        <f ca="1">IFERROR(__xludf.DUMMYFUNCTION("""COMPUTED_VALUE"""),"87712423307")</f>
        <v>87712423307</v>
      </c>
      <c r="D674" s="15" t="str">
        <f ca="1">IFERROR(__xludf.DUMMYFUNCTION("""COMPUTED_VALUE"""),"Казахстан")</f>
        <v>Казахстан</v>
      </c>
      <c r="E674" s="14"/>
      <c r="F674" s="8" t="str">
        <f ca="1">IFERROR(__xludf.DUMMYFUNCTION("""COMPUTED_VALUE"""),"- Тишина Челлендж (бесплатная часть)")</f>
        <v>- Тишина Челлендж (бесплатная часть)</v>
      </c>
      <c r="G674" s="1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5.5">
      <c r="A675" s="14" t="str">
        <f ca="1">IFERROR(__xludf.DUMMYFUNCTION("""COMPUTED_VALUE"""),"Екатерина Тимофеева")</f>
        <v>Екатерина Тимофеева</v>
      </c>
      <c r="B675" s="14" t="str">
        <f ca="1">IFERROR(__xludf.DUMMYFUNCTION("""COMPUTED_VALUE"""),"fag45@inbox.ru")</f>
        <v>fag45@inbox.ru</v>
      </c>
      <c r="C675" s="15" t="str">
        <f ca="1">IFERROR(__xludf.DUMMYFUNCTION("""COMPUTED_VALUE"""),"79125253457")</f>
        <v>79125253457</v>
      </c>
      <c r="D675" s="15" t="str">
        <f ca="1">IFERROR(__xludf.DUMMYFUNCTION("""COMPUTED_VALUE"""),"США")</f>
        <v>США</v>
      </c>
      <c r="E675" s="14"/>
      <c r="F675" s="8" t="str">
        <f ca="1">IFERROR(__xludf.DUMMYFUNCTION("""COMPUTED_VALUE"""),"- Выездной ретрит Тюмень 18-20 марта 2022 (оплата до 22 февраля)")</f>
        <v>- Выездной ретрит Тюмень 18-20 марта 2022 (оплата до 22 февраля)</v>
      </c>
      <c r="G675" s="1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>
      <c r="A676" s="14" t="str">
        <f ca="1">IFERROR(__xludf.DUMMYFUNCTION("""COMPUTED_VALUE"""),"Владимир Соколов")</f>
        <v>Владимир Соколов</v>
      </c>
      <c r="B676" s="14" t="str">
        <f ca="1">IFERROR(__xludf.DUMMYFUNCTION("""COMPUTED_VALUE"""),"falconsk@yandex.ru")</f>
        <v>falconsk@yandex.ru</v>
      </c>
      <c r="C676" s="15" t="str">
        <f ca="1">IFERROR(__xludf.DUMMYFUNCTION("""COMPUTED_VALUE"""),"+79139067789")</f>
        <v>+79139067789</v>
      </c>
      <c r="D676" s="15" t="str">
        <f ca="1">IFERROR(__xludf.DUMMYFUNCTION("""COMPUTED_VALUE"""),"Россия")</f>
        <v>Россия</v>
      </c>
      <c r="E676" s="14"/>
      <c r="F676" s="8" t="str">
        <f ca="1">IFERROR(__xludf.DUMMYFUNCTION("""COMPUTED_VALUE"""),"- Однодневный онлайн ретрит Россия 14 мая 2022")</f>
        <v>- Однодневный онлайн ретрит Россия 14 мая 2022</v>
      </c>
      <c r="G676" s="1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>
      <c r="A677" s="14" t="str">
        <f ca="1">IFERROR(__xludf.DUMMYFUNCTION("""COMPUTED_VALUE"""),"Пархат Атбакиев")</f>
        <v>Пархат Атбакиев</v>
      </c>
      <c r="B677" s="14" t="str">
        <f ca="1">IFERROR(__xludf.DUMMYFUNCTION("""COMPUTED_VALUE"""),"Faraatbakiev@gmail.com")</f>
        <v>Faraatbakiev@gmail.com</v>
      </c>
      <c r="C677" s="15"/>
      <c r="D677" s="15" t="str">
        <f ca="1">IFERROR(__xludf.DUMMYFUNCTION("""COMPUTED_VALUE"""),"Россия")</f>
        <v>Россия</v>
      </c>
      <c r="E677" s="14"/>
      <c r="F677" s="8" t="str">
        <f ca="1">IFERROR(__xludf.DUMMYFUNCTION("""COMPUTED_VALUE"""),"- Тишина Челлендж (бесплатная часть)")</f>
        <v>- Тишина Челлендж (бесплатная часть)</v>
      </c>
      <c r="G677" s="1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5.5">
      <c r="A678" s="14" t="str">
        <f ca="1">IFERROR(__xludf.DUMMYFUNCTION("""COMPUTED_VALUE"""),"Гульнара Сулейманова")</f>
        <v>Гульнара Сулейманова</v>
      </c>
      <c r="B678" s="14" t="str">
        <f ca="1">IFERROR(__xludf.DUMMYFUNCTION("""COMPUTED_VALUE"""),"farguzur@yahoo.com")</f>
        <v>farguzur@yahoo.com</v>
      </c>
      <c r="C678" s="15" t="str">
        <f ca="1">IFERROR(__xludf.DUMMYFUNCTION("""COMPUTED_VALUE"""),"+998901866732")</f>
        <v>+998901866732</v>
      </c>
      <c r="D678" s="15"/>
      <c r="E678" s="14"/>
      <c r="F67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678" s="1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5.5">
      <c r="A679" s="14" t="str">
        <f ca="1">IFERROR(__xludf.DUMMYFUNCTION("""COMPUTED_VALUE"""),"Fariza Kass")</f>
        <v>Fariza Kass</v>
      </c>
      <c r="B679" s="14" t="str">
        <f ca="1">IFERROR(__xludf.DUMMYFUNCTION("""COMPUTED_VALUE"""),"Fariza_1312@mail.ru")</f>
        <v>Fariza_1312@mail.ru</v>
      </c>
      <c r="C679" s="15" t="str">
        <f ca="1">IFERROR(__xludf.DUMMYFUNCTION("""COMPUTED_VALUE"""),"87752641325")</f>
        <v>87752641325</v>
      </c>
      <c r="D679" s="15"/>
      <c r="E679" s="14"/>
      <c r="F67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679" s="1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>
      <c r="A680" s="14" t="str">
        <f ca="1">IFERROR(__xludf.DUMMYFUNCTION("""COMPUTED_VALUE"""),"Светлана Ткач")</f>
        <v>Светлана Ткач</v>
      </c>
      <c r="B680" s="14" t="str">
        <f ca="1">IFERROR(__xludf.DUMMYFUNCTION("""COMPUTED_VALUE"""),"Fatinia1973@ukr.net")</f>
        <v>Fatinia1973@ukr.net</v>
      </c>
      <c r="C680" s="15" t="str">
        <f ca="1">IFERROR(__xludf.DUMMYFUNCTION("""COMPUTED_VALUE"""),"380503362604")</f>
        <v>380503362604</v>
      </c>
      <c r="D680" s="15" t="str">
        <f ca="1">IFERROR(__xludf.DUMMYFUNCTION("""COMPUTED_VALUE"""),"Украина")</f>
        <v>Украина</v>
      </c>
      <c r="E680" s="14"/>
      <c r="F680" s="8" t="str">
        <f ca="1">IFERROR(__xludf.DUMMYFUNCTION("""COMPUTED_VALUE"""),"- Интенсив онлайн 11-13.02.2022")</f>
        <v>- Интенсив онлайн 11-13.02.2022</v>
      </c>
      <c r="G680" s="1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>
      <c r="A681" s="14" t="str">
        <f ca="1">IFERROR(__xludf.DUMMYFUNCTION("""COMPUTED_VALUE"""),"Фарход Каххаров")</f>
        <v>Фарход Каххаров</v>
      </c>
      <c r="B681" s="14" t="str">
        <f ca="1">IFERROR(__xludf.DUMMYFUNCTION("""COMPUTED_VALUE"""),"fd_qr@mail.ru")</f>
        <v>fd_qr@mail.ru</v>
      </c>
      <c r="C681" s="15" t="str">
        <f ca="1">IFERROR(__xludf.DUMMYFUNCTION("""COMPUTED_VALUE"""),", 991303388")</f>
        <v>, 991303388</v>
      </c>
      <c r="D681" s="15"/>
      <c r="E681" s="14"/>
      <c r="F681" s="8" t="str">
        <f ca="1">IFERROR(__xludf.DUMMYFUNCTION("""COMPUTED_VALUE"""),"Мероприятий не обнаружено")</f>
        <v>Мероприятий не обнаружено</v>
      </c>
      <c r="G681" s="1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>
      <c r="A682" s="14" t="str">
        <f ca="1">IFERROR(__xludf.DUMMYFUNCTION("""COMPUTED_VALUE"""),"Valeriya Fedorova")</f>
        <v>Valeriya Fedorova</v>
      </c>
      <c r="B682" s="14" t="str">
        <f ca="1">IFERROR(__xludf.DUMMYFUNCTION("""COMPUTED_VALUE"""),"fedorova.valeria@icloud.com")</f>
        <v>fedorova.valeria@icloud.com</v>
      </c>
      <c r="C682" s="15" t="str">
        <f ca="1">IFERROR(__xludf.DUMMYFUNCTION("""COMPUTED_VALUE"""),"79549400299")</f>
        <v>79549400299</v>
      </c>
      <c r="D682" s="15" t="str">
        <f ca="1">IFERROR(__xludf.DUMMYFUNCTION("""COMPUTED_VALUE"""),"USA ")</f>
        <v xml:space="preserve">USA </v>
      </c>
      <c r="E682" s="14"/>
      <c r="F682" s="8" t="str">
        <f ca="1">IFERROR(__xludf.DUMMYFUNCTION("""COMPUTED_VALUE"""),"- USA Челлендж Тишина")</f>
        <v>- USA Челлендж Тишина</v>
      </c>
      <c r="G682" s="1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38.25">
      <c r="A683" s="14" t="str">
        <f ca="1">IFERROR(__xludf.DUMMYFUNCTION("""COMPUTED_VALUE"""),"Анна Федорук")</f>
        <v>Анна Федорук</v>
      </c>
      <c r="B683" s="14" t="str">
        <f ca="1">IFERROR(__xludf.DUMMYFUNCTION("""COMPUTED_VALUE"""),"fedoruk.anna@gmail.com")</f>
        <v>fedoruk.anna@gmail.com</v>
      </c>
      <c r="C683" s="15" t="str">
        <f ca="1">IFERROR(__xludf.DUMMYFUNCTION("""COMPUTED_VALUE"""),"298718165")</f>
        <v>298718165</v>
      </c>
      <c r="D683" s="15" t="str">
        <f ca="1">IFERROR(__xludf.DUMMYFUNCTION("""COMPUTED_VALUE"""),"Беларусь")</f>
        <v>Беларусь</v>
      </c>
      <c r="E683" s="14"/>
      <c r="F683" s="8" t="str">
        <f ca="1">IFERROR(__xludf.DUMMYFUNCTION("""COMPUTED_VALUE"""),"- Чайная встреча в Минске 22.1.22
- Практика Тишины общая платная
- Чайная встреча Разговор по душам Минск 12.03.2022")</f>
        <v>- Чайная встреча в Минске 22.1.22
- Практика Тишины общая платная
- Чайная встреча Разговор по душам Минск 12.03.2022</v>
      </c>
      <c r="G683" s="1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>
      <c r="A684" s="14" t="str">
        <f ca="1">IFERROR(__xludf.DUMMYFUNCTION("""COMPUTED_VALUE"""),"Татьяна Стойкова")</f>
        <v>Татьяна Стойкова</v>
      </c>
      <c r="B684" s="14" t="str">
        <f ca="1">IFERROR(__xludf.DUMMYFUNCTION("""COMPUTED_VALUE"""),"fedotov4646@yandex.ru")</f>
        <v>fedotov4646@yandex.ru</v>
      </c>
      <c r="C684" s="15" t="str">
        <f ca="1">IFERROR(__xludf.DUMMYFUNCTION("""COMPUTED_VALUE"""),"79215413062")</f>
        <v>79215413062</v>
      </c>
      <c r="D684" s="15"/>
      <c r="E684" s="14"/>
      <c r="F684" s="8" t="str">
        <f ca="1">IFERROR(__xludf.DUMMYFUNCTION("""COMPUTED_VALUE"""),"- Тишина Челлендж (бесплатная часть)")</f>
        <v>- Тишина Челлендж (бесплатная часть)</v>
      </c>
      <c r="G684" s="1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>
      <c r="A685" s="14" t="str">
        <f ca="1">IFERROR(__xludf.DUMMYFUNCTION("""COMPUTED_VALUE"""),"Оля Федотова")</f>
        <v>Оля Федотова</v>
      </c>
      <c r="B685" s="14" t="str">
        <f ca="1">IFERROR(__xludf.DUMMYFUNCTION("""COMPUTED_VALUE"""),"fedotovaolga@inbox.lv")</f>
        <v>fedotovaolga@inbox.lv</v>
      </c>
      <c r="C685" s="15" t="str">
        <f ca="1">IFERROR(__xludf.DUMMYFUNCTION("""COMPUTED_VALUE"""),"+37256817468")</f>
        <v>+37256817468</v>
      </c>
      <c r="D685" s="15" t="str">
        <f ca="1">IFERROR(__xludf.DUMMYFUNCTION("""COMPUTED_VALUE"""),"Эстония")</f>
        <v>Эстония</v>
      </c>
      <c r="E685" s="14"/>
      <c r="F685" s="8" t="str">
        <f ca="1">IFERROR(__xludf.DUMMYFUNCTION("""COMPUTED_VALUE"""),"- Тишина Челлендж (бесплатная часть)")</f>
        <v>- Тишина Челлендж (бесплатная часть)</v>
      </c>
      <c r="G685" s="1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76.5">
      <c r="A686" s="14" t="str">
        <f ca="1">IFERROR(__xludf.DUMMYFUNCTION("""COMPUTED_VALUE"""),"Татьяна Федун")</f>
        <v>Татьяна Федун</v>
      </c>
      <c r="B686" s="14" t="str">
        <f ca="1">IFERROR(__xludf.DUMMYFUNCTION("""COMPUTED_VALUE"""),"feduntana@mail.ru")</f>
        <v>feduntana@mail.ru</v>
      </c>
      <c r="C686" s="15" t="str">
        <f ca="1">IFERROR(__xludf.DUMMYFUNCTION("""COMPUTED_VALUE"""),"+79097862900")</f>
        <v>+79097862900</v>
      </c>
      <c r="D686" s="15" t="str">
        <f ca="1">IFERROR(__xludf.DUMMYFUNCTION("""COMPUTED_VALUE"""),"Россия")</f>
        <v>Россия</v>
      </c>
      <c r="E686" s="14" t="str">
        <f ca="1">IFERROR(__xludf.DUMMYFUNCTION("""COMPUTED_VALUE"""),"@feduntana")</f>
        <v>@feduntana</v>
      </c>
      <c r="F686" s="8" t="str">
        <f ca="1">IFERROR(__xludf.DUMMYFUNCTION("""COMPUTED_VALUE"""),"- Тишина Челлендж
- Друзья. Базовый уровень (ежемесячная платная подписка) Оплата в EURO (€)
- Друзья. Базовый уровень (ежемесячная платная подписка) 
- Клуб пробуждения Друзья (2 уровень) - 1 месяц
- Клуб пробуждения Друзья (Региональный)")</f>
        <v>- Тишина Челлендж
- Друзья. Базовый уровень (ежемесячная платная подписка) Оплата в EURO (€)
- Друзья. Базовый уровень (ежемесячная платная подписка) 
- Клуб пробуждения Друзья (2 уровень) - 1 месяц
- Клуб пробуждения Друзья (Региональный)</v>
      </c>
      <c r="G686" s="1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>
      <c r="A687" s="14" t="str">
        <f ca="1">IFERROR(__xludf.DUMMYFUNCTION("""COMPUTED_VALUE"""),"Елена Феоктистова")</f>
        <v>Елена Феоктистова</v>
      </c>
      <c r="B687" s="14" t="str">
        <f ca="1">IFERROR(__xludf.DUMMYFUNCTION("""COMPUTED_VALUE"""),"feoktictoba@mail.ru")</f>
        <v>feoktictoba@mail.ru</v>
      </c>
      <c r="C687" s="15" t="str">
        <f ca="1">IFERROR(__xludf.DUMMYFUNCTION("""COMPUTED_VALUE"""),"+79034717672")</f>
        <v>+79034717672</v>
      </c>
      <c r="D687" s="15" t="str">
        <f ca="1">IFERROR(__xludf.DUMMYFUNCTION("""COMPUTED_VALUE"""),"Россия")</f>
        <v>Россия</v>
      </c>
      <c r="E687" s="14"/>
      <c r="F687" s="8" t="str">
        <f ca="1">IFERROR(__xludf.DUMMYFUNCTION("""COMPUTED_VALUE"""),"- Тишина Челлендж (бесплатная часть)")</f>
        <v>- Тишина Челлендж (бесплатная часть)</v>
      </c>
      <c r="G687" s="1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5.5">
      <c r="A688" s="14" t="str">
        <f ca="1">IFERROR(__xludf.DUMMYFUNCTION("""COMPUTED_VALUE"""),"Феруза Хушова")</f>
        <v>Феруза Хушова</v>
      </c>
      <c r="B688" s="14" t="str">
        <f ca="1">IFERROR(__xludf.DUMMYFUNCTION("""COMPUTED_VALUE"""),"Feruzakh89@mail.ru")</f>
        <v>Feruzakh89@mail.ru</v>
      </c>
      <c r="C688" s="15" t="str">
        <f ca="1">IFERROR(__xludf.DUMMYFUNCTION("""COMPUTED_VALUE"""),"+998907993444")</f>
        <v>+998907993444</v>
      </c>
      <c r="D688" s="15"/>
      <c r="E688" s="14"/>
      <c r="F68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688" s="1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>
      <c r="A689" s="14" t="str">
        <f ca="1">IFERROR(__xludf.DUMMYFUNCTION("""COMPUTED_VALUE"""),"Elena Sedykh")</f>
        <v>Elena Sedykh</v>
      </c>
      <c r="B689" s="14" t="str">
        <f ca="1">IFERROR(__xludf.DUMMYFUNCTION("""COMPUTED_VALUE"""),"feya.ellina@gmail.com")</f>
        <v>feya.ellina@gmail.com</v>
      </c>
      <c r="C689" s="15" t="str">
        <f ca="1">IFERROR(__xludf.DUMMYFUNCTION("""COMPUTED_VALUE"""),"380665708958")</f>
        <v>380665708958</v>
      </c>
      <c r="D689" s="15" t="str">
        <f ca="1">IFERROR(__xludf.DUMMYFUNCTION("""COMPUTED_VALUE"""),"Украина")</f>
        <v>Украина</v>
      </c>
      <c r="E689" s="14"/>
      <c r="F689" s="8" t="str">
        <f ca="1">IFERROR(__xludf.DUMMYFUNCTION("""COMPUTED_VALUE"""),"- Друзья. Базовый уровень (ежемесячная платная подписка) ")</f>
        <v xml:space="preserve">- Друзья. Базовый уровень (ежемесячная платная подписка) </v>
      </c>
      <c r="G689" s="1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>
      <c r="A690" s="14" t="str">
        <f ca="1">IFERROR(__xludf.DUMMYFUNCTION("""COMPUTED_VALUE"""),"Natalia Fedotova")</f>
        <v>Natalia Fedotova</v>
      </c>
      <c r="B690" s="14" t="str">
        <f ca="1">IFERROR(__xludf.DUMMYFUNCTION("""COMPUTED_VALUE"""),"feya2109@gmail.com")</f>
        <v>feya2109@gmail.com</v>
      </c>
      <c r="C690" s="15" t="str">
        <f ca="1">IFERROR(__xludf.DUMMYFUNCTION("""COMPUTED_VALUE"""),"+79171221772")</f>
        <v>+79171221772</v>
      </c>
      <c r="D690" s="15" t="str">
        <f ca="1">IFERROR(__xludf.DUMMYFUNCTION("""COMPUTED_VALUE"""),"Россия")</f>
        <v>Россия</v>
      </c>
      <c r="E690" s="14"/>
      <c r="F690" s="8" t="str">
        <f ca="1">IFERROR(__xludf.DUMMYFUNCTION("""COMPUTED_VALUE"""),"- Вводный вебинар 3.5.22 на Шаг к Пробуждению")</f>
        <v>- Вводный вебинар 3.5.22 на Шаг к Пробуждению</v>
      </c>
      <c r="G690" s="1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5.5">
      <c r="A691" s="14" t="str">
        <f ca="1">IFERROR(__xludf.DUMMYFUNCTION("""COMPUTED_VALUE"""),"Feruza Dadaxojaeva")</f>
        <v>Feruza Dadaxojaeva</v>
      </c>
      <c r="B691" s="14" t="str">
        <f ca="1">IFERROR(__xludf.DUMMYFUNCTION("""COMPUTED_VALUE"""),"FeZa.Saidxoja@mail.ru")</f>
        <v>FeZa.Saidxoja@mail.ru</v>
      </c>
      <c r="C691" s="15" t="str">
        <f ca="1">IFERROR(__xludf.DUMMYFUNCTION("""COMPUTED_VALUE"""),"974406886")</f>
        <v>974406886</v>
      </c>
      <c r="D691" s="15" t="str">
        <f ca="1">IFERROR(__xludf.DUMMYFUNCTION("""COMPUTED_VALUE"""),"Узбекистан")</f>
        <v>Узбекистан</v>
      </c>
      <c r="E691" s="14"/>
      <c r="F69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691" s="1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>
      <c r="A692" s="14" t="str">
        <f ca="1">IFERROR(__xludf.DUMMYFUNCTION("""COMPUTED_VALUE"""),"Сергей ")</f>
        <v xml:space="preserve">Сергей </v>
      </c>
      <c r="B692" s="14" t="str">
        <f ca="1">IFERROR(__xludf.DUMMYFUNCTION("""COMPUTED_VALUE"""),"Fghvg@thvf.ru")</f>
        <v>Fghvg@thvf.ru</v>
      </c>
      <c r="C692" s="15" t="str">
        <f ca="1">IFERROR(__xludf.DUMMYFUNCTION("""COMPUTED_VALUE"""),", 98644789")</f>
        <v>, 98644789</v>
      </c>
      <c r="D692" s="15" t="str">
        <f ca="1">IFERROR(__xludf.DUMMYFUNCTION("""COMPUTED_VALUE"""),"Россия")</f>
        <v>Россия</v>
      </c>
      <c r="E692" s="14"/>
      <c r="F692" s="8" t="str">
        <f ca="1">IFERROR(__xludf.DUMMYFUNCTION("""COMPUTED_VALUE"""),"Мероприятий не обнаружено")</f>
        <v>Мероприятий не обнаружено</v>
      </c>
      <c r="G692" s="1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5.5">
      <c r="A693" s="14" t="str">
        <f ca="1">IFERROR(__xludf.DUMMYFUNCTION("""COMPUTED_VALUE"""),"Финат Разяпов")</f>
        <v>Финат Разяпов</v>
      </c>
      <c r="B693" s="14" t="str">
        <f ca="1">IFERROR(__xludf.DUMMYFUNCTION("""COMPUTED_VALUE"""),"fil5plux@gmail.com")</f>
        <v>fil5plux@gmail.com</v>
      </c>
      <c r="C693" s="15" t="str">
        <f ca="1">IFERROR(__xludf.DUMMYFUNCTION("""COMPUTED_VALUE"""),"+998990049025")</f>
        <v>+998990049025</v>
      </c>
      <c r="D693" s="15"/>
      <c r="E693" s="14"/>
      <c r="F69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693" s="1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>
      <c r="A694" s="14" t="str">
        <f ca="1">IFERROR(__xludf.DUMMYFUNCTION("""COMPUTED_VALUE"""),"Галина, Галина ")</f>
        <v xml:space="preserve">Галина, Галина </v>
      </c>
      <c r="B694" s="14" t="str">
        <f ca="1">IFERROR(__xludf.DUMMYFUNCTION("""COMPUTED_VALUE"""),"Finalist-ka@yandex.ru")</f>
        <v>Finalist-ka@yandex.ru</v>
      </c>
      <c r="C694" s="15" t="str">
        <f ca="1">IFERROR(__xludf.DUMMYFUNCTION("""COMPUTED_VALUE"""),"79122468203")</f>
        <v>79122468203</v>
      </c>
      <c r="D694" s="15" t="str">
        <f ca="1">IFERROR(__xludf.DUMMYFUNCTION("""COMPUTED_VALUE"""),"Россия")</f>
        <v>Россия</v>
      </c>
      <c r="E694" s="14"/>
      <c r="F694" s="8" t="str">
        <f ca="1">IFERROR(__xludf.DUMMYFUNCTION("""COMPUTED_VALUE"""),"-  Курс Пробуждение. Начало.")</f>
        <v>-  Курс Пробуждение. Начало.</v>
      </c>
      <c r="G694" s="1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>
      <c r="A695" s="14" t="str">
        <f ca="1">IFERROR(__xludf.DUMMYFUNCTION("""COMPUTED_VALUE"""),"Фирдания Макарова")</f>
        <v>Фирдания Макарова</v>
      </c>
      <c r="B695" s="14" t="str">
        <f ca="1">IFERROR(__xludf.DUMMYFUNCTION("""COMPUTED_VALUE"""),"firdaniyafreedom@gmail.com")</f>
        <v>firdaniyafreedom@gmail.com</v>
      </c>
      <c r="C695" s="15" t="str">
        <f ca="1">IFERROR(__xludf.DUMMYFUNCTION("""COMPUTED_VALUE"""),"+79196470203")</f>
        <v>+79196470203</v>
      </c>
      <c r="D695" s="15"/>
      <c r="E695" s="14"/>
      <c r="F695" s="8" t="str">
        <f ca="1">IFERROR(__xludf.DUMMYFUNCTION("""COMPUTED_VALUE"""),"- Тишина Челлендж (бесплатная часть)")</f>
        <v>- Тишина Челлендж (бесплатная часть)</v>
      </c>
      <c r="G695" s="1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>
      <c r="A696" s="14" t="str">
        <f ca="1">IFERROR(__xludf.DUMMYFUNCTION("""COMPUTED_VALUE"""),"Alesia Paulouskaya")</f>
        <v>Alesia Paulouskaya</v>
      </c>
      <c r="B696" s="14" t="str">
        <f ca="1">IFERROR(__xludf.DUMMYFUNCTION("""COMPUTED_VALUE"""),"fish066077@gmail.com")</f>
        <v>fish066077@gmail.com</v>
      </c>
      <c r="C696" s="15" t="str">
        <f ca="1">IFERROR(__xludf.DUMMYFUNCTION("""COMPUTED_VALUE"""),"514195994")</f>
        <v>514195994</v>
      </c>
      <c r="D696" s="15" t="str">
        <f ca="1">IFERROR(__xludf.DUMMYFUNCTION("""COMPUTED_VALUE"""),"Польша")</f>
        <v>Польша</v>
      </c>
      <c r="E696" s="14"/>
      <c r="F696" s="8" t="str">
        <f ca="1">IFERROR(__xludf.DUMMYFUNCTION("""COMPUTED_VALUE"""),"- Тишина Челлендж (бесплатная часть)")</f>
        <v>- Тишина Челлендж (бесплатная часть)</v>
      </c>
      <c r="G696" s="1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>
      <c r="A697" s="14" t="str">
        <f ca="1">IFERROR(__xludf.DUMMYFUNCTION("""COMPUTED_VALUE"""),"fishkin19,  ")</f>
        <v xml:space="preserve">fishkin19,  </v>
      </c>
      <c r="B697" s="14" t="str">
        <f ca="1">IFERROR(__xludf.DUMMYFUNCTION("""COMPUTED_VALUE"""),"fishkin19@gmail.com")</f>
        <v>fishkin19@gmail.com</v>
      </c>
      <c r="C697" s="15"/>
      <c r="D697" s="15"/>
      <c r="E697" s="14"/>
      <c r="F697" s="8" t="str">
        <f ca="1">IFERROR(__xludf.DUMMYFUNCTION("""COMPUTED_VALUE"""),"- USA Челлендж Тишина")</f>
        <v>- USA Челлендж Тишина</v>
      </c>
      <c r="G697" s="1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5.5">
      <c r="A698" s="14" t="str">
        <f ca="1">IFERROR(__xludf.DUMMYFUNCTION("""COMPUTED_VALUE"""),"Феруза Нормамедова")</f>
        <v>Феруза Нормамедова</v>
      </c>
      <c r="B698" s="14" t="str">
        <f ca="1">IFERROR(__xludf.DUMMYFUNCTION("""COMPUTED_VALUE"""),"fnormamedova@mail.ru")</f>
        <v>fnormamedova@mail.ru</v>
      </c>
      <c r="C698" s="15" t="str">
        <f ca="1">IFERROR(__xludf.DUMMYFUNCTION("""COMPUTED_VALUE"""),"998905047457")</f>
        <v>998905047457</v>
      </c>
      <c r="D698" s="15" t="str">
        <f ca="1">IFERROR(__xludf.DUMMYFUNCTION("""COMPUTED_VALUE"""),"Россия")</f>
        <v>Россия</v>
      </c>
      <c r="E698" s="14"/>
      <c r="F69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698" s="1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>
      <c r="A699" s="14" t="str">
        <f ca="1">IFERROR(__xludf.DUMMYFUNCTION("""COMPUTED_VALUE"""),"Ирина Фомина")</f>
        <v>Ирина Фомина</v>
      </c>
      <c r="B699" s="14" t="str">
        <f ca="1">IFERROR(__xludf.DUMMYFUNCTION("""COMPUTED_VALUE"""),"fomina_step@mail.ru")</f>
        <v>fomina_step@mail.ru</v>
      </c>
      <c r="C699" s="15"/>
      <c r="D699" s="15" t="str">
        <f ca="1">IFERROR(__xludf.DUMMYFUNCTION("""COMPUTED_VALUE"""),"Россия")</f>
        <v>Россия</v>
      </c>
      <c r="E699" s="14"/>
      <c r="F699" s="8" t="str">
        <f ca="1">IFERROR(__xludf.DUMMYFUNCTION("""COMPUTED_VALUE"""),"- Тишина Челлендж (бесплатная часть)")</f>
        <v>- Тишина Челлендж (бесплатная часть)</v>
      </c>
      <c r="G699" s="1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>
      <c r="A700" s="14" t="str">
        <f ca="1">IFERROR(__xludf.DUMMYFUNCTION("""COMPUTED_VALUE"""),"Марина Марина")</f>
        <v>Марина Марина</v>
      </c>
      <c r="B700" s="14" t="str">
        <f ca="1">IFERROR(__xludf.DUMMYFUNCTION("""COMPUTED_VALUE"""),"forlife2010@gmail.com")</f>
        <v>forlife2010@gmail.com</v>
      </c>
      <c r="C700" s="15" t="str">
        <f ca="1">IFERROR(__xludf.DUMMYFUNCTION("""COMPUTED_VALUE"""),"380679503151")</f>
        <v>380679503151</v>
      </c>
      <c r="D700" s="15" t="str">
        <f ca="1">IFERROR(__xludf.DUMMYFUNCTION("""COMPUTED_VALUE"""),"Россия")</f>
        <v>Россия</v>
      </c>
      <c r="E700" s="14"/>
      <c r="F700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700" s="1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51">
      <c r="A701" s="14" t="str">
        <f ca="1">IFERROR(__xludf.DUMMYFUNCTION("""COMPUTED_VALUE"""),"Вера Булдыгина")</f>
        <v>Вера Булдыгина</v>
      </c>
      <c r="B701" s="14" t="str">
        <f ca="1">IFERROR(__xludf.DUMMYFUNCTION("""COMPUTED_VALUE"""),"forma06@yandex.ru")</f>
        <v>forma06@yandex.ru</v>
      </c>
      <c r="C701" s="15" t="str">
        <f ca="1">IFERROR(__xludf.DUMMYFUNCTION("""COMPUTED_VALUE"""),"+79266924481")</f>
        <v>+79266924481</v>
      </c>
      <c r="D701" s="15" t="str">
        <f ca="1">IFERROR(__xludf.DUMMYFUNCTION("""COMPUTED_VALUE"""),"Египет")</f>
        <v>Египет</v>
      </c>
      <c r="E701" s="14" t="str">
        <f ca="1">IFERROR(__xludf.DUMMYFUNCTION("""COMPUTED_VALUE"""),"@VeraB02")</f>
        <v>@VeraB02</v>
      </c>
      <c r="F701" s="8" t="str">
        <f ca="1">IFERROR(__xludf.DUMMYFUNCTION("""COMPUTED_VALUE"""),"- Клуб пробуждения Друзья (2 уровень) - 1 месяц
- Интенсив онлайн 11-13.02.2022
- АнтиЭго 2.0 ""Пакет Базовый"" 19.02 - 13.03.2022 (поток 1)
- Ретрит в РЦ Сочи май 2022 (Оплата до 17 апреля)")</f>
        <v>- Клуб пробуждения Друзья (2 уровень) - 1 месяц
- Интенсив онлайн 11-13.02.2022
- АнтиЭго 2.0 "Пакет Базовый" 19.02 - 13.03.2022 (поток 1)
- Ретрит в РЦ Сочи май 2022 (Оплата до 17 апреля)</v>
      </c>
      <c r="G701" s="1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>
      <c r="A702" s="14" t="str">
        <f ca="1">IFERROR(__xludf.DUMMYFUNCTION("""COMPUTED_VALUE"""),"Николай Фотеев")</f>
        <v>Николай Фотеев</v>
      </c>
      <c r="B702" s="14" t="str">
        <f ca="1">IFERROR(__xludf.DUMMYFUNCTION("""COMPUTED_VALUE"""),"foteev-nb@ya.ru")</f>
        <v>foteev-nb@ya.ru</v>
      </c>
      <c r="C702" s="15" t="str">
        <f ca="1">IFERROR(__xludf.DUMMYFUNCTION("""COMPUTED_VALUE"""),"79024730014")</f>
        <v>79024730014</v>
      </c>
      <c r="D702" s="15"/>
      <c r="E702" s="14"/>
      <c r="F702" s="8" t="str">
        <f ca="1">IFERROR(__xludf.DUMMYFUNCTION("""COMPUTED_VALUE"""),"- Партнерская программа")</f>
        <v>- Партнерская программа</v>
      </c>
      <c r="G702" s="1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>
      <c r="A703" s="14" t="str">
        <f ca="1">IFERROR(__xludf.DUMMYFUNCTION("""COMPUTED_VALUE"""),"Ольга Фетисова")</f>
        <v>Ольга Фетисова</v>
      </c>
      <c r="B703" s="14" t="str">
        <f ca="1">IFERROR(__xludf.DUMMYFUNCTION("""COMPUTED_VALUE"""),"foto-club@inbox.ru")</f>
        <v>foto-club@inbox.ru</v>
      </c>
      <c r="C703" s="15" t="str">
        <f ca="1">IFERROR(__xludf.DUMMYFUNCTION("""COMPUTED_VALUE"""),"+79032100229")</f>
        <v>+79032100229</v>
      </c>
      <c r="D703" s="15" t="str">
        <f ca="1">IFERROR(__xludf.DUMMYFUNCTION("""COMPUTED_VALUE"""),"Россия")</f>
        <v>Россия</v>
      </c>
      <c r="E703" s="14"/>
      <c r="F703" s="8" t="str">
        <f ca="1">IFERROR(__xludf.DUMMYFUNCTION("""COMPUTED_VALUE"""),"- Однодневный ретрит Россия 14 мая 2022")</f>
        <v>- Однодневный ретрит Россия 14 мая 2022</v>
      </c>
      <c r="G703" s="1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>
      <c r="A704" s="14" t="str">
        <f ca="1">IFERROR(__xludf.DUMMYFUNCTION("""COMPUTED_VALUE"""),"Ксения Франтова")</f>
        <v>Ксения Франтова</v>
      </c>
      <c r="B704" s="14" t="str">
        <f ca="1">IFERROR(__xludf.DUMMYFUNCTION("""COMPUTED_VALUE"""),"Frantova-k@mail.ru")</f>
        <v>Frantova-k@mail.ru</v>
      </c>
      <c r="C704" s="15" t="str">
        <f ca="1">IFERROR(__xludf.DUMMYFUNCTION("""COMPUTED_VALUE"""),"79253458788")</f>
        <v>79253458788</v>
      </c>
      <c r="D704" s="15" t="str">
        <f ca="1">IFERROR(__xludf.DUMMYFUNCTION("""COMPUTED_VALUE"""),"Россия")</f>
        <v>Россия</v>
      </c>
      <c r="E704" s="14"/>
      <c r="F704" s="8" t="str">
        <f ca="1">IFERROR(__xludf.DUMMYFUNCTION("""COMPUTED_VALUE"""),"- Тишина Челлендж (бесплатная часть)")</f>
        <v>- Тишина Челлендж (бесплатная часть)</v>
      </c>
      <c r="G704" s="1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>
      <c r="A705" s="14" t="str">
        <f ca="1">IFERROR(__xludf.DUMMYFUNCTION("""COMPUTED_VALUE"""),"Оксана Лойко")</f>
        <v>Оксана Лойко</v>
      </c>
      <c r="B705" s="14" t="str">
        <f ca="1">IFERROR(__xludf.DUMMYFUNCTION("""COMPUTED_VALUE"""),"frau.lojko2015@yandex.ru")</f>
        <v>frau.lojko2015@yandex.ru</v>
      </c>
      <c r="C705" s="15" t="str">
        <f ca="1">IFERROR(__xludf.DUMMYFUNCTION("""COMPUTED_VALUE"""),"79525470098")</f>
        <v>79525470098</v>
      </c>
      <c r="D705" s="15" t="str">
        <f ca="1">IFERROR(__xludf.DUMMYFUNCTION("""COMPUTED_VALUE"""),"Россия")</f>
        <v>Россия</v>
      </c>
      <c r="E705" s="14"/>
      <c r="F705" s="8" t="str">
        <f ca="1">IFERROR(__xludf.DUMMYFUNCTION("""COMPUTED_VALUE"""),"- Тишина Челлендж (бесплатная часть)")</f>
        <v>- Тишина Челлендж (бесплатная часть)</v>
      </c>
      <c r="G705" s="1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>
      <c r="A706" s="14" t="str">
        <f ca="1">IFERROR(__xludf.DUMMYFUNCTION("""COMPUTED_VALUE"""),"Максим Temnikov")</f>
        <v>Максим Temnikov</v>
      </c>
      <c r="B706" s="14" t="str">
        <f ca="1">IFERROR(__xludf.DUMMYFUNCTION("""COMPUTED_VALUE"""),"freeze91@mail.ru")</f>
        <v>freeze91@mail.ru</v>
      </c>
      <c r="C706" s="15" t="str">
        <f ca="1">IFERROR(__xludf.DUMMYFUNCTION("""COMPUTED_VALUE"""),"+79090901008")</f>
        <v>+79090901008</v>
      </c>
      <c r="D706" s="15" t="str">
        <f ca="1">IFERROR(__xludf.DUMMYFUNCTION("""COMPUTED_VALUE"""),"Россия")</f>
        <v>Россия</v>
      </c>
      <c r="E706" s="14"/>
      <c r="F706" s="8" t="str">
        <f ca="1">IFERROR(__xludf.DUMMYFUNCTION("""COMPUTED_VALUE"""),"- Практика тишины в Краснодаре 26.12.21")</f>
        <v>- Практика тишины в Краснодаре 26.12.21</v>
      </c>
      <c r="G706" s="1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>
      <c r="A707" s="14" t="str">
        <f ca="1">IFERROR(__xludf.DUMMYFUNCTION("""COMPUTED_VALUE"""),"Наталья Деменкова")</f>
        <v>Наталья Деменкова</v>
      </c>
      <c r="B707" s="14" t="str">
        <f ca="1">IFERROR(__xludf.DUMMYFUNCTION("""COMPUTED_VALUE"""),"frognats@mail.ru")</f>
        <v>frognats@mail.ru</v>
      </c>
      <c r="C707" s="15" t="str">
        <f ca="1">IFERROR(__xludf.DUMMYFUNCTION("""COMPUTED_VALUE"""),"293408804")</f>
        <v>293408804</v>
      </c>
      <c r="D707" s="15" t="str">
        <f ca="1">IFERROR(__xludf.DUMMYFUNCTION("""COMPUTED_VALUE"""),"Беларусь")</f>
        <v>Беларусь</v>
      </c>
      <c r="E707" s="14"/>
      <c r="F707" s="8" t="str">
        <f ca="1">IFERROR(__xludf.DUMMYFUNCTION("""COMPUTED_VALUE"""),"- Тишина Челлендж (бесплатная часть)")</f>
        <v>- Тишина Челлендж (бесплатная часть)</v>
      </c>
      <c r="G707" s="1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5.5">
      <c r="A708" s="14" t="str">
        <f ca="1">IFERROR(__xludf.DUMMYFUNCTION("""COMPUTED_VALUE"""),"Феруза Таджиева")</f>
        <v>Феруза Таджиева</v>
      </c>
      <c r="B708" s="14" t="str">
        <f ca="1">IFERROR(__xludf.DUMMYFUNCTION("""COMPUTED_VALUE"""),"ftj85@mail.ru")</f>
        <v>ftj85@mail.ru</v>
      </c>
      <c r="C708" s="15" t="str">
        <f ca="1">IFERROR(__xludf.DUMMYFUNCTION("""COMPUTED_VALUE"""),"998939221687")</f>
        <v>998939221687</v>
      </c>
      <c r="D708" s="15"/>
      <c r="E708" s="14"/>
      <c r="F70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708" s="1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38.25">
      <c r="A709" s="14" t="str">
        <f ca="1">IFERROR(__xludf.DUMMYFUNCTION("""COMPUTED_VALUE"""),"Виктор Фуклев")</f>
        <v>Виктор Фуклев</v>
      </c>
      <c r="B709" s="14" t="str">
        <f ca="1">IFERROR(__xludf.DUMMYFUNCTION("""COMPUTED_VALUE"""),"fuklyev@ukr.net")</f>
        <v>fuklyev@ukr.net</v>
      </c>
      <c r="C709" s="15" t="str">
        <f ca="1">IFERROR(__xludf.DUMMYFUNCTION("""COMPUTED_VALUE"""),"+380503309100")</f>
        <v>+380503309100</v>
      </c>
      <c r="D709" s="15" t="str">
        <f ca="1">IFERROR(__xludf.DUMMYFUNCTION("""COMPUTED_VALUE"""),"Украина")</f>
        <v>Украина</v>
      </c>
      <c r="E709" s="14"/>
      <c r="F709" s="8" t="str">
        <f ca="1">IFERROR(__xludf.DUMMYFUNCTION("""COMPUTED_VALUE"""),"- Международный ретрит 14-21.1.2022 Украина (6500 Гривен) (оплата до 26.12.2021)
- Ретрит ""Проектная деятельность"" для участников ретритов")</f>
        <v>- Международный ретрит 14-21.1.2022 Украина (6500 Гривен) (оплата до 26.12.2021)
- Ретрит "Проектная деятельность" для участников ретритов</v>
      </c>
      <c r="G709" s="1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5.5">
      <c r="A710" s="14" t="str">
        <f ca="1">IFERROR(__xludf.DUMMYFUNCTION("""COMPUTED_VALUE"""),"Furqat Niyazov")</f>
        <v>Furqat Niyazov</v>
      </c>
      <c r="B710" s="14" t="str">
        <f ca="1">IFERROR(__xludf.DUMMYFUNCTION("""COMPUTED_VALUE"""),"furqatniyazov@gmail.com")</f>
        <v>furqatniyazov@gmail.com</v>
      </c>
      <c r="C710" s="15" t="str">
        <f ca="1">IFERROR(__xludf.DUMMYFUNCTION("""COMPUTED_VALUE"""),"8909914333")</f>
        <v>8909914333</v>
      </c>
      <c r="D710" s="15"/>
      <c r="E710" s="14"/>
      <c r="F71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710" s="1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5.5">
      <c r="A711" s="14" t="str">
        <f ca="1">IFERROR(__xludf.DUMMYFUNCTION("""COMPUTED_VALUE"""),"feruz usman")</f>
        <v>feruz usman</v>
      </c>
      <c r="B711" s="14" t="str">
        <f ca="1">IFERROR(__xludf.DUMMYFUNCTION("""COMPUTED_VALUE"""),"fusman2015@gmail.com")</f>
        <v>fusman2015@gmail.com</v>
      </c>
      <c r="C711" s="15" t="str">
        <f ca="1">IFERROR(__xludf.DUMMYFUNCTION("""COMPUTED_VALUE"""),"79017290197")</f>
        <v>79017290197</v>
      </c>
      <c r="D711" s="15"/>
      <c r="E711" s="14"/>
      <c r="F71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711" s="1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51">
      <c r="A712" s="14" t="str">
        <f ca="1">IFERROR(__xludf.DUMMYFUNCTION("""COMPUTED_VALUE"""),"Дилорам Гегельман")</f>
        <v>Дилорам Гегельман</v>
      </c>
      <c r="B712" s="14" t="str">
        <f ca="1">IFERROR(__xludf.DUMMYFUNCTION("""COMPUTED_VALUE"""),"G.diloram@web.de")</f>
        <v>G.diloram@web.de</v>
      </c>
      <c r="C712" s="15" t="str">
        <f ca="1">IFERROR(__xludf.DUMMYFUNCTION("""COMPUTED_VALUE"""),"+4917638163077")</f>
        <v>+4917638163077</v>
      </c>
      <c r="D712" s="15" t="str">
        <f ca="1">IFERROR(__xludf.DUMMYFUNCTION("""COMPUTED_VALUE"""),"Германия")</f>
        <v>Германия</v>
      </c>
      <c r="E712" s="14"/>
      <c r="F712" s="8" t="str">
        <f ca="1">IFERROR(__xludf.DUMMYFUNCTION("""COMPUTED_VALUE"""),"- Новогодний фестиваль 29.12.2021-1.01.2022 Бад Майнберг
- ретрит ЕВРОПЕЙСКИЙ 14-21.1.2022 Германия (550€)в номере на двоих
- Ретрит ""Проектная деятельность"" для участников ретритов")</f>
        <v>- Новогодний фестиваль 29.12.2021-1.01.2022 Бад Майнберг
- ретрит ЕВРОПЕЙСКИЙ 14-21.1.2022 Германия (550€)в номере на двоих
- Ретрит "Проектная деятельность" для участников ретритов</v>
      </c>
      <c r="G712" s="1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5.5">
      <c r="A713" s="14" t="str">
        <f ca="1">IFERROR(__xludf.DUMMYFUNCTION("""COMPUTED_VALUE"""),"Sh Gadjieva")</f>
        <v>Sh Gadjieva</v>
      </c>
      <c r="B713" s="14" t="str">
        <f ca="1">IFERROR(__xludf.DUMMYFUNCTION("""COMPUTED_VALUE"""),"Gadjieva_sh@mail.ru")</f>
        <v>Gadjieva_sh@mail.ru</v>
      </c>
      <c r="C713" s="15" t="str">
        <f ca="1">IFERROR(__xludf.DUMMYFUNCTION("""COMPUTED_VALUE"""),"+998911640304")</f>
        <v>+998911640304</v>
      </c>
      <c r="D713" s="15"/>
      <c r="E713" s="14"/>
      <c r="F71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713" s="1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>
      <c r="A714" s="14" t="str">
        <f ca="1">IFERROR(__xludf.DUMMYFUNCTION("""COMPUTED_VALUE"""),"Галина Попова")</f>
        <v>Галина Попова</v>
      </c>
      <c r="B714" s="14" t="str">
        <f ca="1">IFERROR(__xludf.DUMMYFUNCTION("""COMPUTED_VALUE"""),"galasem@yandex.ru")</f>
        <v>galasem@yandex.ru</v>
      </c>
      <c r="C714" s="15" t="str">
        <f ca="1">IFERROR(__xludf.DUMMYFUNCTION("""COMPUTED_VALUE"""),"79832441595")</f>
        <v>79832441595</v>
      </c>
      <c r="D714" s="15" t="str">
        <f ca="1">IFERROR(__xludf.DUMMYFUNCTION("""COMPUTED_VALUE"""),"Россия")</f>
        <v>Россия</v>
      </c>
      <c r="E714" s="14"/>
      <c r="F714" s="8" t="str">
        <f ca="1">IFERROR(__xludf.DUMMYFUNCTION("""COMPUTED_VALUE"""),"- Тишина Челлендж (бесплатная часть)")</f>
        <v>- Тишина Челлендж (бесплатная часть)</v>
      </c>
      <c r="G714" s="1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5.5">
      <c r="A715" s="14" t="str">
        <f ca="1">IFERROR(__xludf.DUMMYFUNCTION("""COMPUTED_VALUE"""),"Галина Южел")</f>
        <v>Галина Южел</v>
      </c>
      <c r="B715" s="14" t="str">
        <f ca="1">IFERROR(__xludf.DUMMYFUNCTION("""COMPUTED_VALUE"""),"Galateya89@icloud.com")</f>
        <v>Galateya89@icloud.com</v>
      </c>
      <c r="C715" s="15" t="str">
        <f ca="1">IFERROR(__xludf.DUMMYFUNCTION("""COMPUTED_VALUE"""),"+998907881248")</f>
        <v>+998907881248</v>
      </c>
      <c r="D715" s="15"/>
      <c r="E715" s="14"/>
      <c r="F71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715" s="1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5.5">
      <c r="A716" s="14" t="str">
        <f ca="1">IFERROR(__xludf.DUMMYFUNCTION("""COMPUTED_VALUE"""),"Гульжан Азимова")</f>
        <v>Гульжан Азимова</v>
      </c>
      <c r="B716" s="14" t="str">
        <f ca="1">IFERROR(__xludf.DUMMYFUNCTION("""COMPUTED_VALUE"""),"galikulova99@gmail.com")</f>
        <v>galikulova99@gmail.com</v>
      </c>
      <c r="C716" s="15" t="str">
        <f ca="1">IFERROR(__xludf.DUMMYFUNCTION("""COMPUTED_VALUE"""),"+77753337171")</f>
        <v>+77753337171</v>
      </c>
      <c r="D716" s="15"/>
      <c r="E716" s="14"/>
      <c r="F71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716" s="1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>
      <c r="A717" s="14" t="str">
        <f ca="1">IFERROR(__xludf.DUMMYFUNCTION("""COMPUTED_VALUE"""),"Галина Широкова")</f>
        <v>Галина Широкова</v>
      </c>
      <c r="B717" s="14" t="str">
        <f ca="1">IFERROR(__xludf.DUMMYFUNCTION("""COMPUTED_VALUE"""),"galina.shirokova@mail.ru")</f>
        <v>galina.shirokova@mail.ru</v>
      </c>
      <c r="C717" s="15"/>
      <c r="D717" s="15" t="str">
        <f ca="1">IFERROR(__xludf.DUMMYFUNCTION("""COMPUTED_VALUE"""),"Россия")</f>
        <v>Россия</v>
      </c>
      <c r="E717" s="14"/>
      <c r="F717" s="8" t="str">
        <f ca="1">IFERROR(__xludf.DUMMYFUNCTION("""COMPUTED_VALUE"""),"- Тишина Челлендж (бесплатная часть)")</f>
        <v>- Тишина Челлендж (бесплатная часть)</v>
      </c>
      <c r="G717" s="1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51">
      <c r="A718" s="14" t="str">
        <f ca="1">IFERROR(__xludf.DUMMYFUNCTION("""COMPUTED_VALUE"""),"Галина Коровина")</f>
        <v>Галина Коровина</v>
      </c>
      <c r="B718" s="14" t="str">
        <f ca="1">IFERROR(__xludf.DUMMYFUNCTION("""COMPUTED_VALUE"""),"galinakorovina112@gmail.com")</f>
        <v>galinakorovina112@gmail.com</v>
      </c>
      <c r="C718" s="15" t="str">
        <f ca="1">IFERROR(__xludf.DUMMYFUNCTION("""COMPUTED_VALUE"""),"79049860544")</f>
        <v>79049860544</v>
      </c>
      <c r="D718" s="15" t="str">
        <f ca="1">IFERROR(__xludf.DUMMYFUNCTION("""COMPUTED_VALUE"""),"Россия")</f>
        <v>Россия</v>
      </c>
      <c r="E718" s="14"/>
      <c r="F718" s="8" t="str">
        <f ca="1">IFERROR(__xludf.DUMMYFUNCTION("""COMPUTED_VALUE"""),"- Марафон Тишины - Тишина челлендж: Урал, Казахстан, Узбекистан 25-29.04.2022
- Однодневный онлайн ретрит 14 мая 2022
- Тишина Челлендж (бесплатная часть)")</f>
        <v>- Марафон Тишины - Тишина челлендж: Урал, Казахстан, Узбекистан 25-29.04.2022
- Однодневный онлайн ретрит 14 мая 2022
- Тишина Челлендж (бесплатная часть)</v>
      </c>
      <c r="G718" s="1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>
      <c r="A719" s="14" t="str">
        <f ca="1">IFERROR(__xludf.DUMMYFUNCTION("""COMPUTED_VALUE"""),"Галина Комарова")</f>
        <v>Галина Комарова</v>
      </c>
      <c r="B719" s="14" t="str">
        <f ca="1">IFERROR(__xludf.DUMMYFUNCTION("""COMPUTED_VALUE"""),"galinka5588888@mail.ru")</f>
        <v>galinka5588888@mail.ru</v>
      </c>
      <c r="C719" s="15" t="str">
        <f ca="1">IFERROR(__xludf.DUMMYFUNCTION("""COMPUTED_VALUE"""),"+79031060720")</f>
        <v>+79031060720</v>
      </c>
      <c r="D719" s="15" t="str">
        <f ca="1">IFERROR(__xludf.DUMMYFUNCTION("""COMPUTED_VALUE"""),"Россия")</f>
        <v>Россия</v>
      </c>
      <c r="E719" s="14"/>
      <c r="F719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719" s="1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5.5">
      <c r="A720" s="14" t="str">
        <f ca="1">IFERROR(__xludf.DUMMYFUNCTION("""COMPUTED_VALUE"""),"Галия Жолдасова")</f>
        <v>Галия Жолдасова</v>
      </c>
      <c r="B720" s="14" t="str">
        <f ca="1">IFERROR(__xludf.DUMMYFUNCTION("""COMPUTED_VALUE"""),"galiya.zholdasova76@gmail.com")</f>
        <v>galiya.zholdasova76@gmail.com</v>
      </c>
      <c r="C720" s="15" t="str">
        <f ca="1">IFERROR(__xludf.DUMMYFUNCTION("""COMPUTED_VALUE"""),"+77477881157")</f>
        <v>+77477881157</v>
      </c>
      <c r="D720" s="15"/>
      <c r="E720" s="14"/>
      <c r="F72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720" s="1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5.5">
      <c r="A721" s="14" t="str">
        <f ca="1">IFERROR(__xludf.DUMMYFUNCTION("""COMPUTED_VALUE"""),"Galiya Galiya")</f>
        <v>Galiya Galiya</v>
      </c>
      <c r="B721" s="14" t="str">
        <f ca="1">IFERROR(__xludf.DUMMYFUNCTION("""COMPUTED_VALUE"""),"galiyasuleiman@mail.ru")</f>
        <v>galiyasuleiman@mail.ru</v>
      </c>
      <c r="C721" s="15" t="str">
        <f ca="1">IFERROR(__xludf.DUMMYFUNCTION("""COMPUTED_VALUE"""),"+77023688717")</f>
        <v>+77023688717</v>
      </c>
      <c r="D721" s="15"/>
      <c r="E721" s="14"/>
      <c r="F72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721" s="1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>
      <c r="A722" s="14" t="str">
        <f ca="1">IFERROR(__xludf.DUMMYFUNCTION("""COMPUTED_VALUE"""),"Daria  Luna, Daria Luna")</f>
        <v>Daria  Luna, Daria Luna</v>
      </c>
      <c r="B722" s="14" t="str">
        <f ca="1">IFERROR(__xludf.DUMMYFUNCTION("""COMPUTED_VALUE"""),"gallardo2511@gmail.com")</f>
        <v>gallardo2511@gmail.com</v>
      </c>
      <c r="C722" s="15" t="str">
        <f ca="1">IFERROR(__xludf.DUMMYFUNCTION("""COMPUTED_VALUE"""),"79277755111")</f>
        <v>79277755111</v>
      </c>
      <c r="D722" s="15" t="str">
        <f ca="1">IFERROR(__xludf.DUMMYFUNCTION("""COMPUTED_VALUE"""),"USA ")</f>
        <v xml:space="preserve">USA </v>
      </c>
      <c r="E722" s="14"/>
      <c r="F722" s="8" t="str">
        <f ca="1">IFERROR(__xludf.DUMMYFUNCTION("""COMPUTED_VALUE"""),"- USA Челлендж Тишина")</f>
        <v>- USA Челлендж Тишина</v>
      </c>
      <c r="G722" s="1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>
      <c r="A723" s="14" t="str">
        <f ca="1">IFERROR(__xludf.DUMMYFUNCTION("""COMPUTED_VALUE"""),"Ульяна Бузинская")</f>
        <v>Ульяна Бузинская</v>
      </c>
      <c r="B723" s="14" t="str">
        <f ca="1">IFERROR(__xludf.DUMMYFUNCTION("""COMPUTED_VALUE"""),"galunshikovauly@gmail.com")</f>
        <v>galunshikovauly@gmail.com</v>
      </c>
      <c r="C723" s="15"/>
      <c r="D723" s="15" t="str">
        <f ca="1">IFERROR(__xludf.DUMMYFUNCTION("""COMPUTED_VALUE"""),"Россия")</f>
        <v>Россия</v>
      </c>
      <c r="E723" s="14"/>
      <c r="F723" s="8" t="str">
        <f ca="1">IFERROR(__xludf.DUMMYFUNCTION("""COMPUTED_VALUE"""),"- Тишина Челлендж (бесплатная часть)")</f>
        <v>- Тишина Челлендж (бесплатная часть)</v>
      </c>
      <c r="G723" s="1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>
      <c r="A724" s="14" t="str">
        <f ca="1">IFERROR(__xludf.DUMMYFUNCTION("""COMPUTED_VALUE"""),"Тамила Запорожец")</f>
        <v>Тамила Запорожец</v>
      </c>
      <c r="B724" s="14" t="str">
        <f ca="1">IFERROR(__xludf.DUMMYFUNCTION("""COMPUTED_VALUE"""),"gamidovatamila@mail.ru")</f>
        <v>gamidovatamila@mail.ru</v>
      </c>
      <c r="C724" s="15" t="str">
        <f ca="1">IFERROR(__xludf.DUMMYFUNCTION("""COMPUTED_VALUE"""),"79884150565")</f>
        <v>79884150565</v>
      </c>
      <c r="D724" s="15" t="str">
        <f ca="1">IFERROR(__xludf.DUMMYFUNCTION("""COMPUTED_VALUE"""),"Россия")</f>
        <v>Россия</v>
      </c>
      <c r="E724" s="14"/>
      <c r="F724" s="8" t="str">
        <f ca="1">IFERROR(__xludf.DUMMYFUNCTION("""COMPUTED_VALUE"""),"-  встреча Космос внутри Сочи 5.3.2022")</f>
        <v>-  встреча Космос внутри Сочи 5.3.2022</v>
      </c>
      <c r="G724" s="1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>
      <c r="A725" s="14" t="str">
        <f ca="1">IFERROR(__xludf.DUMMYFUNCTION("""COMPUTED_VALUE"""),"Даня Малинин")</f>
        <v>Даня Малинин</v>
      </c>
      <c r="B725" s="14" t="str">
        <f ca="1">IFERROR(__xludf.DUMMYFUNCTION("""COMPUTED_VALUE"""),"ganilal.com@gmail.com")</f>
        <v>ganilal.com@gmail.com</v>
      </c>
      <c r="C725" s="15"/>
      <c r="D725" s="15" t="str">
        <f ca="1">IFERROR(__xludf.DUMMYFUNCTION("""COMPUTED_VALUE"""),"Россия")</f>
        <v>Россия</v>
      </c>
      <c r="E725" s="14"/>
      <c r="F725" s="8" t="str">
        <f ca="1">IFERROR(__xludf.DUMMYFUNCTION("""COMPUTED_VALUE"""),"- Базовая бесплатная часть")</f>
        <v>- Базовая бесплатная часть</v>
      </c>
      <c r="G725" s="1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5.5">
      <c r="A726" s="14" t="str">
        <f ca="1">IFERROR(__xludf.DUMMYFUNCTION("""COMPUTED_VALUE"""),"Лола Ган")</f>
        <v>Лола Ган</v>
      </c>
      <c r="B726" s="14" t="str">
        <f ca="1">IFERROR(__xludf.DUMMYFUNCTION("""COMPUTED_VALUE"""),"ganiyevlola28@gmail.com")</f>
        <v>ganiyevlola28@gmail.com</v>
      </c>
      <c r="C726" s="15" t="str">
        <f ca="1">IFERROR(__xludf.DUMMYFUNCTION("""COMPUTED_VALUE"""),"+998907134885")</f>
        <v>+998907134885</v>
      </c>
      <c r="D726" s="15"/>
      <c r="E726" s="14"/>
      <c r="F72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726" s="1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>
      <c r="A727" s="14" t="str">
        <f ca="1">IFERROR(__xludf.DUMMYFUNCTION("""COMPUTED_VALUE"""),"gantulga01,  ")</f>
        <v xml:space="preserve">gantulga01,  </v>
      </c>
      <c r="B727" s="14" t="str">
        <f ca="1">IFERROR(__xludf.DUMMYFUNCTION("""COMPUTED_VALUE"""),"gantulga01@yahoo.com")</f>
        <v>gantulga01@yahoo.com</v>
      </c>
      <c r="C727" s="15"/>
      <c r="D727" s="15"/>
      <c r="E727" s="14"/>
      <c r="F727" s="8" t="str">
        <f ca="1">IFERROR(__xludf.DUMMYFUNCTION("""COMPUTED_VALUE"""),"- USA Челлендж Тишина")</f>
        <v>- USA Челлендж Тишина</v>
      </c>
      <c r="G727" s="1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>
      <c r="A728" s="14" t="str">
        <f ca="1">IFERROR(__xludf.DUMMYFUNCTION("""COMPUTED_VALUE"""),"Алия Канапьянова")</f>
        <v>Алия Канапьянова</v>
      </c>
      <c r="B728" s="14" t="str">
        <f ca="1">IFERROR(__xludf.DUMMYFUNCTION("""COMPUTED_VALUE"""),"ganym1978@gmail.com")</f>
        <v>ganym1978@gmail.com</v>
      </c>
      <c r="C728" s="15"/>
      <c r="D728" s="15" t="str">
        <f ca="1">IFERROR(__xludf.DUMMYFUNCTION("""COMPUTED_VALUE"""),"Россия")</f>
        <v>Россия</v>
      </c>
      <c r="E728" s="14"/>
      <c r="F728" s="8" t="str">
        <f ca="1">IFERROR(__xludf.DUMMYFUNCTION("""COMPUTED_VALUE"""),"- Тишина Челлендж (бесплатная часть)")</f>
        <v>- Тишина Челлендж (бесплатная часть)</v>
      </c>
      <c r="G728" s="1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5.5">
      <c r="A729" s="14" t="str">
        <f ca="1">IFERROR(__xludf.DUMMYFUNCTION("""COMPUTED_VALUE"""),"Наргиз Рахимова")</f>
        <v>Наргиз Рахимова</v>
      </c>
      <c r="B729" s="14" t="str">
        <f ca="1">IFERROR(__xludf.DUMMYFUNCTION("""COMPUTED_VALUE"""),"gapyuk@icloud.com")</f>
        <v>gapyuk@icloud.com</v>
      </c>
      <c r="C729" s="15" t="str">
        <f ca="1">IFERROR(__xludf.DUMMYFUNCTION("""COMPUTED_VALUE"""),"+998946777858")</f>
        <v>+998946777858</v>
      </c>
      <c r="D729" s="15"/>
      <c r="E729" s="14"/>
      <c r="F72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729" s="1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>
      <c r="A730" s="14" t="str">
        <f ca="1">IFERROR(__xludf.DUMMYFUNCTION("""COMPUTED_VALUE"""),"Жанна Гармаш")</f>
        <v>Жанна Гармаш</v>
      </c>
      <c r="B730" s="14" t="str">
        <f ca="1">IFERROR(__xludf.DUMMYFUNCTION("""COMPUTED_VALUE"""),"garmash10@yandex.ru")</f>
        <v>garmash10@yandex.ru</v>
      </c>
      <c r="C730" s="15" t="str">
        <f ca="1">IFERROR(__xludf.DUMMYFUNCTION("""COMPUTED_VALUE"""),"79266941242")</f>
        <v>79266941242</v>
      </c>
      <c r="D730" s="15" t="str">
        <f ca="1">IFERROR(__xludf.DUMMYFUNCTION("""COMPUTED_VALUE"""),"Россия")</f>
        <v>Россия</v>
      </c>
      <c r="E730" s="14"/>
      <c r="F730" s="8" t="str">
        <f ca="1">IFERROR(__xludf.DUMMYFUNCTION("""COMPUTED_VALUE"""),"- Погружение 2.0 ""Пакет Базовый"" 15.01 - 06.02.2022 (поток 3)")</f>
        <v>- Погружение 2.0 "Пакет Базовый" 15.01 - 06.02.2022 (поток 3)</v>
      </c>
      <c r="G730" s="1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>
      <c r="A731" s="14" t="str">
        <f ca="1">IFERROR(__xludf.DUMMYFUNCTION("""COMPUTED_VALUE"""),"Джамалия Гатауллина")</f>
        <v>Джамалия Гатауллина</v>
      </c>
      <c r="B731" s="14" t="str">
        <f ca="1">IFERROR(__xludf.DUMMYFUNCTION("""COMPUTED_VALUE"""),"gatallina.djama@gmail.com")</f>
        <v>gatallina.djama@gmail.com</v>
      </c>
      <c r="C731" s="15" t="str">
        <f ca="1">IFERROR(__xludf.DUMMYFUNCTION("""COMPUTED_VALUE"""),", 79996229102")</f>
        <v>, 79996229102</v>
      </c>
      <c r="D731" s="15" t="str">
        <f ca="1">IFERROR(__xludf.DUMMYFUNCTION("""COMPUTED_VALUE"""),"США")</f>
        <v>США</v>
      </c>
      <c r="E731" s="14"/>
      <c r="F731" s="8" t="str">
        <f ca="1">IFERROR(__xludf.DUMMYFUNCTION("""COMPUTED_VALUE"""),"Мероприятий не обнаружено")</f>
        <v>Мероприятий не обнаружено</v>
      </c>
      <c r="G731" s="1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>
      <c r="A732" s="14" t="str">
        <f ca="1">IFERROR(__xludf.DUMMYFUNCTION("""COMPUTED_VALUE"""),"Гаухар Нагимова")</f>
        <v>Гаухар Нагимова</v>
      </c>
      <c r="B732" s="14" t="str">
        <f ca="1">IFERROR(__xludf.DUMMYFUNCTION("""COMPUTED_VALUE"""),"gauhar.nagimova@mail.ru")</f>
        <v>gauhar.nagimova@mail.ru</v>
      </c>
      <c r="C732" s="15"/>
      <c r="D732" s="15" t="str">
        <f ca="1">IFERROR(__xludf.DUMMYFUNCTION("""COMPUTED_VALUE"""),"Россия")</f>
        <v>Россия</v>
      </c>
      <c r="E732" s="14"/>
      <c r="F732" s="8" t="str">
        <f ca="1">IFERROR(__xludf.DUMMYFUNCTION("""COMPUTED_VALUE"""),"- Тишина Челлендж (бесплатная часть)")</f>
        <v>- Тишина Челлендж (бесплатная часть)</v>
      </c>
      <c r="G732" s="1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>
      <c r="A733" s="14" t="str">
        <f ca="1">IFERROR(__xludf.DUMMYFUNCTION("""COMPUTED_VALUE"""),"Гаухар Саламатова")</f>
        <v>Гаухар Саламатова</v>
      </c>
      <c r="B733" s="14" t="str">
        <f ca="1">IFERROR(__xludf.DUMMYFUNCTION("""COMPUTED_VALUE"""),"gauharsalamatova@gmail.com")</f>
        <v>gauharsalamatova@gmail.com</v>
      </c>
      <c r="C733" s="15"/>
      <c r="D733" s="15" t="str">
        <f ca="1">IFERROR(__xludf.DUMMYFUNCTION("""COMPUTED_VALUE"""),"Узбекистан")</f>
        <v>Узбекистан</v>
      </c>
      <c r="E733" s="14"/>
      <c r="F733" s="8" t="str">
        <f ca="1">IFERROR(__xludf.DUMMYFUNCTION("""COMPUTED_VALUE"""),"- Тишина Челлендж (бесплатная часть)")</f>
        <v>- Тишина Челлендж (бесплатная часть)</v>
      </c>
      <c r="G733" s="1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38.25">
      <c r="A734" s="14" t="str">
        <f ca="1">IFERROR(__xludf.DUMMYFUNCTION("""COMPUTED_VALUE"""),"Olga Sokolova")</f>
        <v>Olga Sokolova</v>
      </c>
      <c r="B734" s="14" t="str">
        <f ca="1">IFERROR(__xludf.DUMMYFUNCTION("""COMPUTED_VALUE"""),"gavroshinka1@gmail.com")</f>
        <v>gavroshinka1@gmail.com</v>
      </c>
      <c r="C734" s="15" t="str">
        <f ca="1">IFERROR(__xludf.DUMMYFUNCTION("""COMPUTED_VALUE"""),"+79128025810")</f>
        <v>+79128025810</v>
      </c>
      <c r="D734" s="15" t="str">
        <f ca="1">IFERROR(__xludf.DUMMYFUNCTION("""COMPUTED_VALUE"""),"Россия")</f>
        <v>Россия</v>
      </c>
      <c r="E734" s="14"/>
      <c r="F734" s="8" t="str">
        <f ca="1">IFERROR(__xludf.DUMMYFUNCTION("""COMPUTED_VALUE"""),"- Онлайн курс Шаг к Пробуждению №15 29.1-8.02.22 Пакет стандартный
- Вебинар все о ретрите 12.2.2022")</f>
        <v>- Онлайн курс Шаг к Пробуждению №15 29.1-8.02.22 Пакет стандартный
- Вебинар все о ретрите 12.2.2022</v>
      </c>
      <c r="G734" s="1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5.5">
      <c r="A735" s="14" t="str">
        <f ca="1">IFERROR(__xludf.DUMMYFUNCTION("""COMPUTED_VALUE"""),"Гулноза Дадабаева")</f>
        <v>Гулноза Дадабаева</v>
      </c>
      <c r="B735" s="14" t="str">
        <f ca="1">IFERROR(__xludf.DUMMYFUNCTION("""COMPUTED_VALUE"""),"gdadabaeva957@gmail.com")</f>
        <v>gdadabaeva957@gmail.com</v>
      </c>
      <c r="C735" s="15" t="str">
        <f ca="1">IFERROR(__xludf.DUMMYFUNCTION("""COMPUTED_VALUE"""),"+998909261800")</f>
        <v>+998909261800</v>
      </c>
      <c r="D735" s="15"/>
      <c r="E735" s="14"/>
      <c r="F73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735" s="1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>
      <c r="A736" s="14" t="str">
        <f ca="1">IFERROR(__xludf.DUMMYFUNCTION("""COMPUTED_VALUE"""),"Андрей Никоноров")</f>
        <v>Андрей Никоноров</v>
      </c>
      <c r="B736" s="14" t="str">
        <f ca="1">IFERROR(__xludf.DUMMYFUNCTION("""COMPUTED_VALUE"""),"gdmastrer@gmail.com")</f>
        <v>gdmastrer@gmail.com</v>
      </c>
      <c r="C736" s="15"/>
      <c r="D736" s="15" t="str">
        <f ca="1">IFERROR(__xludf.DUMMYFUNCTION("""COMPUTED_VALUE"""),"Россия")</f>
        <v>Россия</v>
      </c>
      <c r="E736" s="14"/>
      <c r="F736" s="8" t="str">
        <f ca="1">IFERROR(__xludf.DUMMYFUNCTION("""COMPUTED_VALUE"""),"- Базовая бесплатная часть")</f>
        <v>- Базовая бесплатная часть</v>
      </c>
      <c r="G736" s="1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>
      <c r="A737" s="14" t="str">
        <f ca="1">IFERROR(__xludf.DUMMYFUNCTION("""COMPUTED_VALUE"""),"Maria Bardi")</f>
        <v>Maria Bardi</v>
      </c>
      <c r="B737" s="14" t="str">
        <f ca="1">IFERROR(__xludf.DUMMYFUNCTION("""COMPUTED_VALUE"""),"geniussut@gmail.com")</f>
        <v>geniussut@gmail.com</v>
      </c>
      <c r="C737" s="15" t="str">
        <f ca="1">IFERROR(__xludf.DUMMYFUNCTION("""COMPUTED_VALUE"""),"+393896389793")</f>
        <v>+393896389793</v>
      </c>
      <c r="D737" s="15" t="str">
        <f ca="1">IFERROR(__xludf.DUMMYFUNCTION("""COMPUTED_VALUE"""),"Италия")</f>
        <v>Италия</v>
      </c>
      <c r="E737" s="14"/>
      <c r="F737" s="8" t="str">
        <f ca="1">IFERROR(__xludf.DUMMYFUNCTION("""COMPUTED_VALUE"""),"- Тишина Челлендж (бесплатная часть)")</f>
        <v>- Тишина Челлендж (бесплатная часть)</v>
      </c>
      <c r="G737" s="1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>
      <c r="A738" s="14" t="str">
        <f ca="1">IFERROR(__xludf.DUMMYFUNCTION("""COMPUTED_VALUE"""),"Геннадий Томилин")</f>
        <v>Геннадий Томилин</v>
      </c>
      <c r="B738" s="14" t="str">
        <f ca="1">IFERROR(__xludf.DUMMYFUNCTION("""COMPUTED_VALUE"""),"genn.spb@yandex.ru")</f>
        <v>genn.spb@yandex.ru</v>
      </c>
      <c r="C738" s="15" t="str">
        <f ca="1">IFERROR(__xludf.DUMMYFUNCTION("""COMPUTED_VALUE"""),"+79219324863")</f>
        <v>+79219324863</v>
      </c>
      <c r="D738" s="15"/>
      <c r="E738" s="14"/>
      <c r="F738" s="8" t="str">
        <f ca="1">IFERROR(__xludf.DUMMYFUNCTION("""COMPUTED_VALUE"""),"- Тишина Челлендж (бесплатная часть)")</f>
        <v>- Тишина Челлендж (бесплатная часть)</v>
      </c>
      <c r="G738" s="1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>
      <c r="A739" s="14" t="str">
        <f ca="1">IFERROR(__xludf.DUMMYFUNCTION("""COMPUTED_VALUE"""),"Галина Ивановна")</f>
        <v>Галина Ивановна</v>
      </c>
      <c r="B739" s="14" t="str">
        <f ca="1">IFERROR(__xludf.DUMMYFUNCTION("""COMPUTED_VALUE"""),"gi5823445@gmail.com")</f>
        <v>gi5823445@gmail.com</v>
      </c>
      <c r="C739" s="15" t="str">
        <f ca="1">IFERROR(__xludf.DUMMYFUNCTION("""COMPUTED_VALUE"""),"+79026241147")</f>
        <v>+79026241147</v>
      </c>
      <c r="D739" s="15" t="str">
        <f ca="1">IFERROR(__xludf.DUMMYFUNCTION("""COMPUTED_VALUE"""),"Россия")</f>
        <v>Россия</v>
      </c>
      <c r="E739" s="14"/>
      <c r="F739" s="8" t="str">
        <f ca="1">IFERROR(__xludf.DUMMYFUNCTION("""COMPUTED_VALUE"""),"- Тишина Челлендж (бесплатная часть)")</f>
        <v>- Тишина Челлендж (бесплатная часть)</v>
      </c>
      <c r="G739" s="1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>
      <c r="A740" s="14" t="str">
        <f ca="1">IFERROR(__xludf.DUMMYFUNCTION("""COMPUTED_VALUE"""),"Надежда Джаннитти")</f>
        <v>Надежда Джаннитти</v>
      </c>
      <c r="B740" s="14" t="str">
        <f ca="1">IFERROR(__xludf.DUMMYFUNCTION("""COMPUTED_VALUE"""),"giannitti@givinschool.org")</f>
        <v>giannitti@givinschool.org</v>
      </c>
      <c r="C740" s="15" t="str">
        <f ca="1">IFERROR(__xludf.DUMMYFUNCTION("""COMPUTED_VALUE"""),", 79951805604")</f>
        <v>, 79951805604</v>
      </c>
      <c r="D740" s="15" t="str">
        <f ca="1">IFERROR(__xludf.DUMMYFUNCTION("""COMPUTED_VALUE"""),"Россия")</f>
        <v>Россия</v>
      </c>
      <c r="E740" s="14" t="str">
        <f ca="1">IFERROR(__xludf.DUMMYFUNCTION("""COMPUTED_VALUE"""),"@giannittinadia")</f>
        <v>@giannittinadia</v>
      </c>
      <c r="F740" s="8" t="str">
        <f ca="1">IFERROR(__xludf.DUMMYFUNCTION("""COMPUTED_VALUE"""),"Мероприятий не обнаружено")</f>
        <v>Мероприятий не обнаружено</v>
      </c>
      <c r="G740" s="1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5.5">
      <c r="A741" s="14" t="str">
        <f ca="1">IFERROR(__xludf.DUMMYFUNCTION("""COMPUTED_VALUE"""),"Ильдар Гибадуллин")</f>
        <v>Ильдар Гибадуллин</v>
      </c>
      <c r="B741" s="14" t="str">
        <f ca="1">IFERROR(__xludf.DUMMYFUNCTION("""COMPUTED_VALUE"""),"gibadullin@givinschool.org")</f>
        <v>gibadullin@givinschool.org</v>
      </c>
      <c r="C741" s="15" t="str">
        <f ca="1">IFERROR(__xludf.DUMMYFUNCTION("""COMPUTED_VALUE"""),"79259105165")</f>
        <v>79259105165</v>
      </c>
      <c r="D741" s="15" t="str">
        <f ca="1">IFERROR(__xludf.DUMMYFUNCTION("""COMPUTED_VALUE"""),"Россия")</f>
        <v>Россия</v>
      </c>
      <c r="E741" s="14" t="str">
        <f ca="1">IFERROR(__xludf.DUMMYFUNCTION("""COMPUTED_VALUE"""),"@ildarsvet")</f>
        <v>@ildarsvet</v>
      </c>
      <c r="F741" s="8" t="str">
        <f ca="1">IFERROR(__xludf.DUMMYFUNCTION("""COMPUTED_VALUE"""),"- КОНСПЕКТИРОВАНИЕ лекций ГЕНАДИЯ - Декабрь ""21
- КОНСПЕКТИРОВАНИЕ лекций ГЕНАДИЯ - Январь""22")</f>
        <v>- КОНСПЕКТИРОВАНИЕ лекций ГЕНАДИЯ - Декабрь "21
- КОНСПЕКТИРОВАНИЕ лекций ГЕНАДИЯ - Январь"22</v>
      </c>
      <c r="G741" s="1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5.5">
      <c r="A742" s="14" t="str">
        <f ca="1">IFERROR(__xludf.DUMMYFUNCTION("""COMPUTED_VALUE"""),"Giedrius Dagys")</f>
        <v>Giedrius Dagys</v>
      </c>
      <c r="B742" s="14" t="str">
        <f ca="1">IFERROR(__xludf.DUMMYFUNCTION("""COMPUTED_VALUE"""),"giedriusdagys@yahoo.co.uk")</f>
        <v>giedriusdagys@yahoo.co.uk</v>
      </c>
      <c r="C742" s="15" t="str">
        <f ca="1">IFERROR(__xludf.DUMMYFUNCTION("""COMPUTED_VALUE"""),"+447886337194")</f>
        <v>+447886337194</v>
      </c>
      <c r="D742" s="15" t="str">
        <f ca="1">IFERROR(__xludf.DUMMYFUNCTION("""COMPUTED_VALUE"""),"Великобритания")</f>
        <v>Великобритания</v>
      </c>
      <c r="E742" s="14"/>
      <c r="F742" s="8" t="str">
        <f ca="1">IFERROR(__xludf.DUMMYFUNCTION("""COMPUTED_VALUE"""),"- Вебинар с Никитой Бородулиным 11.02.2022 часть1
- Интенсив онлайн 11-13.03.2022 ")</f>
        <v xml:space="preserve">- Вебинар с Никитой Бородулиным 11.02.2022 часть1
- Интенсив онлайн 11-13.03.2022 </v>
      </c>
      <c r="G742" s="1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>
      <c r="A743" s="14" t="str">
        <f ca="1">IFERROR(__xludf.DUMMYFUNCTION("""COMPUTED_VALUE"""),"Гульмира Гимаденова")</f>
        <v>Гульмира Гимаденова</v>
      </c>
      <c r="B743" s="14" t="str">
        <f ca="1">IFERROR(__xludf.DUMMYFUNCTION("""COMPUTED_VALUE"""),"gimadenovagulmira@gmail.com")</f>
        <v>gimadenovagulmira@gmail.com</v>
      </c>
      <c r="C743" s="15"/>
      <c r="D743" s="15" t="str">
        <f ca="1">IFERROR(__xludf.DUMMYFUNCTION("""COMPUTED_VALUE"""),"Швеция")</f>
        <v>Швеция</v>
      </c>
      <c r="E743" s="14"/>
      <c r="F743" s="8" t="str">
        <f ca="1">IFERROR(__xludf.DUMMYFUNCTION("""COMPUTED_VALUE"""),"- Тишина Челлендж (бесплатная часть)")</f>
        <v>- Тишина Челлендж (бесплатная часть)</v>
      </c>
      <c r="G743" s="1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5.5">
      <c r="A744" s="14" t="str">
        <f ca="1">IFERROR(__xludf.DUMMYFUNCTION("""COMPUTED_VALUE"""),"Ольга Дробина")</f>
        <v>Ольга Дробина</v>
      </c>
      <c r="B744" s="14" t="str">
        <f ca="1">IFERROR(__xludf.DUMMYFUNCTION("""COMPUTED_VALUE"""),"Ginataki.kz@mail.ru")</f>
        <v>Ginataki.kz@mail.ru</v>
      </c>
      <c r="C744" s="15" t="str">
        <f ca="1">IFERROR(__xludf.DUMMYFUNCTION("""COMPUTED_VALUE"""),"87053297236")</f>
        <v>87053297236</v>
      </c>
      <c r="D744" s="15"/>
      <c r="E744" s="14"/>
      <c r="F74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744" s="1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5.5">
      <c r="A745" s="14" t="str">
        <f ca="1">IFERROR(__xludf.DUMMYFUNCTION("""COMPUTED_VALUE"""),"Toms Gineitis")</f>
        <v>Toms Gineitis</v>
      </c>
      <c r="B745" s="14" t="str">
        <f ca="1">IFERROR(__xludf.DUMMYFUNCTION("""COMPUTED_VALUE"""),"gineitis.toms@gmail.com")</f>
        <v>gineitis.toms@gmail.com</v>
      </c>
      <c r="C745" s="15" t="str">
        <f ca="1">IFERROR(__xludf.DUMMYFUNCTION("""COMPUTED_VALUE"""),"22040670")</f>
        <v>22040670</v>
      </c>
      <c r="D745" s="15" t="str">
        <f ca="1">IFERROR(__xludf.DUMMYFUNCTION("""COMPUTED_VALUE"""),"Латвия")</f>
        <v>Латвия</v>
      </c>
      <c r="E745" s="14"/>
      <c r="F745" s="8" t="str">
        <f ca="1">IFERROR(__xludf.DUMMYFUNCTION("""COMPUTED_VALUE"""),"- Шаг к Пробуждению №5 на латышском Латвия LV 11-18 декабря 2021 года ")</f>
        <v xml:space="preserve">- Шаг к Пробуждению №5 на латышском Латвия LV 11-18 декабря 2021 года </v>
      </c>
      <c r="G745" s="1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38.25">
      <c r="A746" s="14" t="str">
        <f ca="1">IFERROR(__xludf.DUMMYFUNCTION("""COMPUTED_VALUE"""),"Богдан Кондратьев")</f>
        <v>Богдан Кондратьев</v>
      </c>
      <c r="B746" s="14" t="str">
        <f ca="1">IFERROR(__xludf.DUMMYFUNCTION("""COMPUTED_VALUE"""),"gipprorussia@bk.ru")</f>
        <v>gipprorussia@bk.ru</v>
      </c>
      <c r="C746" s="15" t="str">
        <f ca="1">IFERROR(__xludf.DUMMYFUNCTION("""COMPUTED_VALUE"""),"+79250195112")</f>
        <v>+79250195112</v>
      </c>
      <c r="D746" s="15" t="str">
        <f ca="1">IFERROR(__xludf.DUMMYFUNCTION("""COMPUTED_VALUE"""),"Россия")</f>
        <v>Россия</v>
      </c>
      <c r="E746" s="14" t="str">
        <f ca="1">IFERROR(__xludf.DUMMYFUNCTION("""COMPUTED_VALUE"""),"Bogdan ")</f>
        <v xml:space="preserve">Bogdan </v>
      </c>
      <c r="F746" s="8" t="str">
        <f ca="1">IFERROR(__xludf.DUMMYFUNCTION("""COMPUTED_VALUE"""),"- Выездной ретрит Тюмень 18-20 марта 2022 (оплата с 23.02 до 10.03)
- Оплата Клуб пробуждения Друзья (1 уровень) (со скидкой)")</f>
        <v>- Выездной ретрит Тюмень 18-20 марта 2022 (оплата с 23.02 до 10.03)
- Оплата Клуб пробуждения Друзья (1 уровень) (со скидкой)</v>
      </c>
      <c r="G746" s="1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>
      <c r="A747" s="14" t="str">
        <f ca="1">IFERROR(__xludf.DUMMYFUNCTION("""COMPUTED_VALUE"""),"Akmal Xujimov")</f>
        <v>Akmal Xujimov</v>
      </c>
      <c r="B747" s="14" t="str">
        <f ca="1">IFERROR(__xludf.DUMMYFUNCTION("""COMPUTED_VALUE"""),"giyoh-navoiy@mail.ru")</f>
        <v>giyoh-navoiy@mail.ru</v>
      </c>
      <c r="C747" s="15"/>
      <c r="D747" s="15" t="str">
        <f ca="1">IFERROR(__xludf.DUMMYFUNCTION("""COMPUTED_VALUE"""),"Узбекистан")</f>
        <v>Узбекистан</v>
      </c>
      <c r="E747" s="14"/>
      <c r="F747" s="8" t="str">
        <f ca="1">IFERROR(__xludf.DUMMYFUNCTION("""COMPUTED_VALUE"""),"- Тишина Челлендж (бесплатная часть)")</f>
        <v>- Тишина Челлендж (бесплатная часть)</v>
      </c>
      <c r="G747" s="1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>
      <c r="A748" s="14" t="str">
        <f ca="1">IFERROR(__xludf.DUMMYFUNCTION("""COMPUTED_VALUE"""),"Эндже Гизитдинова")</f>
        <v>Эндже Гизитдинова</v>
      </c>
      <c r="B748" s="14" t="str">
        <f ca="1">IFERROR(__xludf.DUMMYFUNCTION("""COMPUTED_VALUE"""),"Gizitdinovaendz@list.ru")</f>
        <v>Gizitdinovaendz@list.ru</v>
      </c>
      <c r="C748" s="15" t="str">
        <f ca="1">IFERROR(__xludf.DUMMYFUNCTION("""COMPUTED_VALUE"""),"+79258658692")</f>
        <v>+79258658692</v>
      </c>
      <c r="D748" s="15" t="str">
        <f ca="1">IFERROR(__xludf.DUMMYFUNCTION("""COMPUTED_VALUE"""),"Россия")</f>
        <v>Россия</v>
      </c>
      <c r="E748" s="14"/>
      <c r="F748" s="8" t="str">
        <f ca="1">IFERROR(__xludf.DUMMYFUNCTION("""COMPUTED_VALUE"""),"- Интенсив онлайн 11-13.03.2022 ")</f>
        <v xml:space="preserve">- Интенсив онлайн 11-13.03.2022 </v>
      </c>
      <c r="G748" s="1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>
      <c r="A749" s="14" t="str">
        <f ca="1">IFERROR(__xludf.DUMMYFUNCTION("""COMPUTED_VALUE"""),"Ванесса Конжуева")</f>
        <v>Ванесса Конжуева</v>
      </c>
      <c r="B749" s="14" t="str">
        <f ca="1">IFERROR(__xludf.DUMMYFUNCTION("""COMPUTED_VALUE"""),"Gkonzhueva@gmail.com")</f>
        <v>Gkonzhueva@gmail.com</v>
      </c>
      <c r="C749" s="15"/>
      <c r="D749" s="15" t="str">
        <f ca="1">IFERROR(__xludf.DUMMYFUNCTION("""COMPUTED_VALUE"""),"Швеция")</f>
        <v>Швеция</v>
      </c>
      <c r="E749" s="14"/>
      <c r="F749" s="8" t="str">
        <f ca="1">IFERROR(__xludf.DUMMYFUNCTION("""COMPUTED_VALUE"""),"- Тишина Челлендж (бесплатная часть)")</f>
        <v>- Тишина Челлендж (бесплатная часть)</v>
      </c>
      <c r="G749" s="1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>
      <c r="A750" s="14" t="str">
        <f ca="1">IFERROR(__xludf.DUMMYFUNCTION("""COMPUTED_VALUE"""),"Михаил Гладких")</f>
        <v>Михаил Гладких</v>
      </c>
      <c r="B750" s="14" t="str">
        <f ca="1">IFERROR(__xludf.DUMMYFUNCTION("""COMPUTED_VALUE"""),"gladk1h.misha2016@yandex.ru")</f>
        <v>gladk1h.misha2016@yandex.ru</v>
      </c>
      <c r="C750" s="15" t="str">
        <f ca="1">IFERROR(__xludf.DUMMYFUNCTION("""COMPUTED_VALUE"""),"+79228464263")</f>
        <v>+79228464263</v>
      </c>
      <c r="D750" s="15"/>
      <c r="E750" s="14"/>
      <c r="F750" s="8" t="str">
        <f ca="1">IFERROR(__xludf.DUMMYFUNCTION("""COMPUTED_VALUE"""),"- Тишина Челлендж (бесплатная часть)")</f>
        <v>- Тишина Челлендж (бесплатная часть)</v>
      </c>
      <c r="G750" s="1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>
      <c r="A751" s="14" t="str">
        <f ca="1">IFERROR(__xludf.DUMMYFUNCTION("""COMPUTED_VALUE"""),"Глеб Коробов")</f>
        <v>Глеб Коробов</v>
      </c>
      <c r="B751" s="14" t="str">
        <f ca="1">IFERROR(__xludf.DUMMYFUNCTION("""COMPUTED_VALUE"""),"Glebk@mail.ru")</f>
        <v>Glebk@mail.ru</v>
      </c>
      <c r="C751" s="15" t="str">
        <f ca="1">IFERROR(__xludf.DUMMYFUNCTION("""COMPUTED_VALUE"""),"+79263382133")</f>
        <v>+79263382133</v>
      </c>
      <c r="D751" s="15" t="str">
        <f ca="1">IFERROR(__xludf.DUMMYFUNCTION("""COMPUTED_VALUE"""),"Германия")</f>
        <v>Германия</v>
      </c>
      <c r="E751" s="14"/>
      <c r="F751" s="8" t="str">
        <f ca="1">IFERROR(__xludf.DUMMYFUNCTION("""COMPUTED_VALUE"""),"- Заявка на СЪЕЗД+ФЕСТИВАЛЬ ""Мы вместе"" 3-8.01.22")</f>
        <v>- Заявка на СЪЕЗД+ФЕСТИВАЛЬ "Мы вместе" 3-8.01.22</v>
      </c>
      <c r="G751" s="1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5.5">
      <c r="A752" s="14" t="str">
        <f ca="1">IFERROR(__xludf.DUMMYFUNCTION("""COMPUTED_VALUE"""),"Гульжан Гульжан")</f>
        <v>Гульжан Гульжан</v>
      </c>
      <c r="B752" s="14" t="str">
        <f ca="1">IFERROR(__xludf.DUMMYFUNCTION("""COMPUTED_VALUE"""),"Gmakuova@gmail.com")</f>
        <v>Gmakuova@gmail.com</v>
      </c>
      <c r="C752" s="15" t="str">
        <f ca="1">IFERROR(__xludf.DUMMYFUNCTION("""COMPUTED_VALUE"""),"87777777777")</f>
        <v>87777777777</v>
      </c>
      <c r="D752" s="15"/>
      <c r="E752" s="14"/>
      <c r="F75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752" s="1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5.5">
      <c r="A753" s="14" t="str">
        <f ca="1">IFERROR(__xludf.DUMMYFUNCTION("""COMPUTED_VALUE"""),"Ольга Григорьева")</f>
        <v>Ольга Григорьева</v>
      </c>
      <c r="B753" s="14" t="str">
        <f ca="1">IFERROR(__xludf.DUMMYFUNCTION("""COMPUTED_VALUE"""),"goa@list.ru")</f>
        <v>goa@list.ru</v>
      </c>
      <c r="C753" s="15" t="str">
        <f ca="1">IFERROR(__xludf.DUMMYFUNCTION("""COMPUTED_VALUE"""),"+79213388408")</f>
        <v>+79213388408</v>
      </c>
      <c r="D753" s="15" t="str">
        <f ca="1">IFERROR(__xludf.DUMMYFUNCTION("""COMPUTED_VALUE"""),"Россия")</f>
        <v>Россия</v>
      </c>
      <c r="E753" s="14"/>
      <c r="F753" s="8" t="str">
        <f ca="1">IFERROR(__xludf.DUMMYFUNCTION("""COMPUTED_VALUE"""),"- Осознанная суббота Сочи регулярное
- Тишина Челлендж (бесплатная часть)")</f>
        <v>- Осознанная суббота Сочи регулярное
- Тишина Челлендж (бесплатная часть)</v>
      </c>
      <c r="G753" s="1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>
      <c r="A754" s="14" t="str">
        <f ca="1">IFERROR(__xludf.DUMMYFUNCTION("""COMPUTED_VALUE"""),"gohar mkrtchyan")</f>
        <v>gohar mkrtchyan</v>
      </c>
      <c r="B754" s="14" t="str">
        <f ca="1">IFERROR(__xludf.DUMMYFUNCTION("""COMPUTED_VALUE"""),"gohargogaga@mail.ru")</f>
        <v>gohargogaga@mail.ru</v>
      </c>
      <c r="C754" s="15" t="str">
        <f ca="1">IFERROR(__xludf.DUMMYFUNCTION("""COMPUTED_VALUE"""),"+37496517317")</f>
        <v>+37496517317</v>
      </c>
      <c r="D754" s="15" t="str">
        <f ca="1">IFERROR(__xludf.DUMMYFUNCTION("""COMPUTED_VALUE"""),"Армения")</f>
        <v>Армения</v>
      </c>
      <c r="E754" s="14"/>
      <c r="F754" s="8" t="str">
        <f ca="1">IFERROR(__xludf.DUMMYFUNCTION("""COMPUTED_VALUE"""),"- Тишина Челлендж (бесплатная часть)")</f>
        <v>- Тишина Челлендж (бесплатная часть)</v>
      </c>
      <c r="G754" s="1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5.5">
      <c r="A755" s="14" t="str">
        <f ca="1">IFERROR(__xludf.DUMMYFUNCTION("""COMPUTED_VALUE"""),"Natalia Goncharova")</f>
        <v>Natalia Goncharova</v>
      </c>
      <c r="B755" s="14" t="str">
        <f ca="1">IFERROR(__xludf.DUMMYFUNCTION("""COMPUTED_VALUE"""),"goncharovameister@gmail.com")</f>
        <v>goncharovameister@gmail.com</v>
      </c>
      <c r="C755" s="15" t="str">
        <f ca="1">IFERROR(__xludf.DUMMYFUNCTION("""COMPUTED_VALUE"""),"79213806562")</f>
        <v>79213806562</v>
      </c>
      <c r="D755" s="15" t="str">
        <f ca="1">IFERROR(__xludf.DUMMYFUNCTION("""COMPUTED_VALUE"""),"Узбекистан")</f>
        <v>Узбекистан</v>
      </c>
      <c r="E755" s="14"/>
      <c r="F75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755" s="1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>
      <c r="A756" s="14" t="str">
        <f ca="1">IFERROR(__xludf.DUMMYFUNCTION("""COMPUTED_VALUE"""),"Юрий  Юрий, Юрий Юрий")</f>
        <v>Юрий  Юрий, Юрий Юрий</v>
      </c>
      <c r="B756" s="14" t="str">
        <f ca="1">IFERROR(__xludf.DUMMYFUNCTION("""COMPUTED_VALUE"""),"gordeevurij522@gmail.com")</f>
        <v>gordeevurij522@gmail.com</v>
      </c>
      <c r="C756" s="15" t="str">
        <f ca="1">IFERROR(__xludf.DUMMYFUNCTION("""COMPUTED_VALUE"""),"79841682372")</f>
        <v>79841682372</v>
      </c>
      <c r="D756" s="15" t="str">
        <f ca="1">IFERROR(__xludf.DUMMYFUNCTION("""COMPUTED_VALUE"""),"Россия ")</f>
        <v xml:space="preserve">Россия </v>
      </c>
      <c r="E756" s="14"/>
      <c r="F756" s="8" t="str">
        <f ca="1">IFERROR(__xludf.DUMMYFUNCTION("""COMPUTED_VALUE"""),"- USA Челлендж Тишина")</f>
        <v>- USA Челлендж Тишина</v>
      </c>
      <c r="G756" s="1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>
      <c r="A757" s="14" t="str">
        <f ca="1">IFERROR(__xludf.DUMMYFUNCTION("""COMPUTED_VALUE"""),"Larisa Gordyukhina")</f>
        <v>Larisa Gordyukhina</v>
      </c>
      <c r="B757" s="14" t="str">
        <f ca="1">IFERROR(__xludf.DUMMYFUNCTION("""COMPUTED_VALUE"""),"gordy_la@mail.ru")</f>
        <v>gordy_la@mail.ru</v>
      </c>
      <c r="C757" s="15" t="str">
        <f ca="1">IFERROR(__xludf.DUMMYFUNCTION("""COMPUTED_VALUE"""),"79852800034")</f>
        <v>79852800034</v>
      </c>
      <c r="D757" s="15" t="str">
        <f ca="1">IFERROR(__xludf.DUMMYFUNCTION("""COMPUTED_VALUE"""),"Россия")</f>
        <v>Россия</v>
      </c>
      <c r="E757" s="14"/>
      <c r="F757" s="8" t="str">
        <f ca="1">IFERROR(__xludf.DUMMYFUNCTION("""COMPUTED_VALUE"""),"- Интенсив 15-17 апреля Москва")</f>
        <v>- Интенсив 15-17 апреля Москва</v>
      </c>
      <c r="G757" s="1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>
      <c r="A758" s="14" t="str">
        <f ca="1">IFERROR(__xludf.DUMMYFUNCTION("""COMPUTED_VALUE"""),"Анжелика Егорина")</f>
        <v>Анжелика Егорина</v>
      </c>
      <c r="B758" s="14" t="str">
        <f ca="1">IFERROR(__xludf.DUMMYFUNCTION("""COMPUTED_VALUE"""),"gorina40@mail.ru")</f>
        <v>gorina40@mail.ru</v>
      </c>
      <c r="C758" s="15" t="str">
        <f ca="1">IFERROR(__xludf.DUMMYFUNCTION("""COMPUTED_VALUE"""),", 79514960519")</f>
        <v>, 79514960519</v>
      </c>
      <c r="D758" s="15" t="str">
        <f ca="1">IFERROR(__xludf.DUMMYFUNCTION("""COMPUTED_VALUE"""),"Россия")</f>
        <v>Россия</v>
      </c>
      <c r="E758" s="14"/>
      <c r="F758" s="8" t="str">
        <f ca="1">IFERROR(__xludf.DUMMYFUNCTION("""COMPUTED_VALUE"""),"Мероприятий не обнаружено")</f>
        <v>Мероприятий не обнаружено</v>
      </c>
      <c r="G758" s="1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38.25">
      <c r="A759" s="14" t="str">
        <f ca="1">IFERROR(__xludf.DUMMYFUNCTION("""COMPUTED_VALUE"""),"Василий Каражелясков")</f>
        <v>Василий Каражелясков</v>
      </c>
      <c r="B759" s="14" t="str">
        <f ca="1">IFERROR(__xludf.DUMMYFUNCTION("""COMPUTED_VALUE"""),"gorodn834@rambler.ru")</f>
        <v>gorodn834@rambler.ru</v>
      </c>
      <c r="C759" s="15" t="str">
        <f ca="1">IFERROR(__xludf.DUMMYFUNCTION("""COMPUTED_VALUE"""),"+79263535558")</f>
        <v>+79263535558</v>
      </c>
      <c r="D759" s="15" t="str">
        <f ca="1">IFERROR(__xludf.DUMMYFUNCTION("""COMPUTED_VALUE"""),"Россия")</f>
        <v>Россия</v>
      </c>
      <c r="E759" s="14" t="str">
        <f ca="1">IFERROR(__xludf.DUMMYFUNCTION("""COMPUTED_VALUE"""),"@karazhelyaskov ")</f>
        <v xml:space="preserve">@karazhelyaskov </v>
      </c>
      <c r="F759" s="8" t="str">
        <f ca="1">IFERROR(__xludf.DUMMYFUNCTION("""COMPUTED_VALUE"""),"- Выездной ретрит Тюмень 18-20 марта 2022 (оплата с 11 по 16 марта)
- Клуб пробуждения Друзья (2 уровень) - 1 месяц")</f>
        <v>- Выездной ретрит Тюмень 18-20 марта 2022 (оплата с 11 по 16 марта)
- Клуб пробуждения Друзья (2 уровень) - 1 месяц</v>
      </c>
      <c r="G759" s="1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38.25">
      <c r="A760" s="14" t="str">
        <f ca="1">IFERROR(__xludf.DUMMYFUNCTION("""COMPUTED_VALUE"""),"Ирина Горянская")</f>
        <v>Ирина Горянская</v>
      </c>
      <c r="B760" s="14" t="str">
        <f ca="1">IFERROR(__xludf.DUMMYFUNCTION("""COMPUTED_VALUE"""),"goryanskaya.irina@gmai.com")</f>
        <v>goryanskaya.irina@gmai.com</v>
      </c>
      <c r="C760" s="15" t="str">
        <f ca="1">IFERROR(__xludf.DUMMYFUNCTION("""COMPUTED_VALUE"""),"+79262468977")</f>
        <v>+79262468977</v>
      </c>
      <c r="D760" s="15" t="str">
        <f ca="1">IFERROR(__xludf.DUMMYFUNCTION("""COMPUTED_VALUE"""),"Россия")</f>
        <v>Россия</v>
      </c>
      <c r="E760" s="14"/>
      <c r="F760" s="8" t="str">
        <f ca="1">IFERROR(__xludf.DUMMYFUNCTION("""COMPUTED_VALUE"""),"- Интенсив онлайн 11-13.03.2022 
- Онлайн курс Шаг к Пробуждению №17 2-19.4.22 Пакет стандартный")</f>
        <v>- Интенсив онлайн 11-13.03.2022 
- Онлайн курс Шаг к Пробуждению №17 2-19.4.22 Пакет стандартный</v>
      </c>
      <c r="G760" s="1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5.5">
      <c r="A761" s="14" t="str">
        <f ca="1">IFERROR(__xludf.DUMMYFUNCTION("""COMPUTED_VALUE"""),"Ирина Горянская")</f>
        <v>Ирина Горянская</v>
      </c>
      <c r="B761" s="14" t="str">
        <f ca="1">IFERROR(__xludf.DUMMYFUNCTION("""COMPUTED_VALUE"""),"goryanskaya.irina@gmail.com")</f>
        <v>goryanskaya.irina@gmail.com</v>
      </c>
      <c r="C761" s="15" t="str">
        <f ca="1">IFERROR(__xludf.DUMMYFUNCTION("""COMPUTED_VALUE"""),"+79262468977")</f>
        <v>+79262468977</v>
      </c>
      <c r="D761" s="15" t="str">
        <f ca="1">IFERROR(__xludf.DUMMYFUNCTION("""COMPUTED_VALUE"""),"США")</f>
        <v>США</v>
      </c>
      <c r="E761" s="14"/>
      <c r="F761" s="8" t="str">
        <f ca="1">IFERROR(__xludf.DUMMYFUNCTION("""COMPUTED_VALUE"""),"- Онлайн курс Шаг к Пробуждению №17 2-19.4.22 Пакет стандартный")</f>
        <v>- Онлайн курс Шаг к Пробуждению №17 2-19.4.22 Пакет стандартный</v>
      </c>
      <c r="G761" s="1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5.5">
      <c r="A762" s="14" t="str">
        <f ca="1">IFERROR(__xludf.DUMMYFUNCTION("""COMPUTED_VALUE"""),"Елена Неустроева")</f>
        <v>Елена Неустроева</v>
      </c>
      <c r="B762" s="14" t="str">
        <f ca="1">IFERROR(__xludf.DUMMYFUNCTION("""COMPUTED_VALUE"""),"Goszakup.L@mail.ru")</f>
        <v>Goszakup.L@mail.ru</v>
      </c>
      <c r="C762" s="15" t="str">
        <f ca="1">IFERROR(__xludf.DUMMYFUNCTION("""COMPUTED_VALUE"""),"87712053905")</f>
        <v>87712053905</v>
      </c>
      <c r="D762" s="15"/>
      <c r="E762" s="14"/>
      <c r="F76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762" s="1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>
      <c r="A763" s="14" t="str">
        <f ca="1">IFERROR(__xludf.DUMMYFUNCTION("""COMPUTED_VALUE"""),"Таисия Ван")</f>
        <v>Таисия Ван</v>
      </c>
      <c r="B763" s="14" t="str">
        <f ca="1">IFERROR(__xludf.DUMMYFUNCTION("""COMPUTED_VALUE"""),"got7forevervan@gmail.com")</f>
        <v>got7forevervan@gmail.com</v>
      </c>
      <c r="C763" s="15" t="str">
        <f ca="1">IFERROR(__xludf.DUMMYFUNCTION("""COMPUTED_VALUE"""),", 79042945702")</f>
        <v>, 79042945702</v>
      </c>
      <c r="D763" s="15" t="str">
        <f ca="1">IFERROR(__xludf.DUMMYFUNCTION("""COMPUTED_VALUE"""),"Россия")</f>
        <v>Россия</v>
      </c>
      <c r="E763" s="14"/>
      <c r="F763" s="8" t="str">
        <f ca="1">IFERROR(__xludf.DUMMYFUNCTION("""COMPUTED_VALUE"""),"Мероприятий не обнаружено")</f>
        <v>Мероприятий не обнаружено</v>
      </c>
      <c r="G763" s="1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>
      <c r="A764" s="14" t="str">
        <f ca="1">IFERROR(__xludf.DUMMYFUNCTION("""COMPUTED_VALUE"""),"govolga,  ")</f>
        <v xml:space="preserve">govolga,  </v>
      </c>
      <c r="B764" s="14" t="str">
        <f ca="1">IFERROR(__xludf.DUMMYFUNCTION("""COMPUTED_VALUE"""),"govolga@mail.ru")</f>
        <v>govolga@mail.ru</v>
      </c>
      <c r="C764" s="15"/>
      <c r="D764" s="15"/>
      <c r="E764" s="14"/>
      <c r="F764" s="8" t="str">
        <f ca="1">IFERROR(__xludf.DUMMYFUNCTION("""COMPUTED_VALUE"""),"- USA Челлендж Тишина")</f>
        <v>- USA Челлендж Тишина</v>
      </c>
      <c r="G764" s="1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5.5">
      <c r="A765" s="14" t="str">
        <f ca="1">IFERROR(__xludf.DUMMYFUNCTION("""COMPUTED_VALUE"""),"Гульнура Гун")</f>
        <v>Гульнура Гун</v>
      </c>
      <c r="B765" s="14" t="str">
        <f ca="1">IFERROR(__xludf.DUMMYFUNCTION("""COMPUTED_VALUE"""),"Goxygoxy@mail.ru")</f>
        <v>Goxygoxy@mail.ru</v>
      </c>
      <c r="C765" s="15" t="str">
        <f ca="1">IFERROR(__xludf.DUMMYFUNCTION("""COMPUTED_VALUE"""),"87011014113")</f>
        <v>87011014113</v>
      </c>
      <c r="D765" s="15"/>
      <c r="E765" s="14"/>
      <c r="F76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765" s="1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>
      <c r="A766" s="14" t="str">
        <f ca="1">IFERROR(__xludf.DUMMYFUNCTION("""COMPUTED_VALUE"""),"Дмитрий Громов")</f>
        <v>Дмитрий Громов</v>
      </c>
      <c r="B766" s="14" t="str">
        <f ca="1">IFERROR(__xludf.DUMMYFUNCTION("""COMPUTED_VALUE"""),"Grbest@mail.ru")</f>
        <v>Grbest@mail.ru</v>
      </c>
      <c r="C766" s="15" t="str">
        <f ca="1">IFERROR(__xludf.DUMMYFUNCTION("""COMPUTED_VALUE"""),"79153802150")</f>
        <v>79153802150</v>
      </c>
      <c r="D766" s="15" t="str">
        <f ca="1">IFERROR(__xludf.DUMMYFUNCTION("""COMPUTED_VALUE"""),"Россия")</f>
        <v>Россия</v>
      </c>
      <c r="E766" s="14"/>
      <c r="F766" s="8" t="str">
        <f ca="1">IFERROR(__xludf.DUMMYFUNCTION("""COMPUTED_VALUE"""),"- Однодневный ретрит Россия 14 мая 2022")</f>
        <v>- Однодневный ретрит Россия 14 мая 2022</v>
      </c>
      <c r="G766" s="1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>
      <c r="A767" s="14" t="str">
        <f ca="1">IFERROR(__xludf.DUMMYFUNCTION("""COMPUTED_VALUE"""),"Григорий Володько")</f>
        <v>Григорий Володько</v>
      </c>
      <c r="B767" s="14" t="str">
        <f ca="1">IFERROR(__xludf.DUMMYFUNCTION("""COMPUTED_VALUE"""),"greeghore@gmail.com")</f>
        <v>greeghore@gmail.com</v>
      </c>
      <c r="C767" s="15" t="str">
        <f ca="1">IFERROR(__xludf.DUMMYFUNCTION("""COMPUTED_VALUE"""),"+375292632853")</f>
        <v>+375292632853</v>
      </c>
      <c r="D767" s="15" t="str">
        <f ca="1">IFERROR(__xludf.DUMMYFUNCTION("""COMPUTED_VALUE"""),"Беларусь")</f>
        <v>Беларусь</v>
      </c>
      <c r="E767" s="14"/>
      <c r="F767" s="8" t="str">
        <f ca="1">IFERROR(__xludf.DUMMYFUNCTION("""COMPUTED_VALUE"""),"- Чайная встреча Разговор по душам Минск 9.04.2022")</f>
        <v>- Чайная встреча Разговор по душам Минск 9.04.2022</v>
      </c>
      <c r="G767" s="1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>
      <c r="A768" s="14" t="str">
        <f ca="1">IFERROR(__xludf.DUMMYFUNCTION("""COMPUTED_VALUE"""),"Олеся Грибенькова")</f>
        <v>Олеся Грибенькова</v>
      </c>
      <c r="B768" s="14" t="str">
        <f ca="1">IFERROR(__xludf.DUMMYFUNCTION("""COMPUTED_VALUE"""),"gribenkovaoles.78@mail.ru")</f>
        <v>gribenkovaoles.78@mail.ru</v>
      </c>
      <c r="C768" s="15" t="str">
        <f ca="1">IFERROR(__xludf.DUMMYFUNCTION("""COMPUTED_VALUE"""),"79185335373")</f>
        <v>79185335373</v>
      </c>
      <c r="D768" s="15" t="str">
        <f ca="1">IFERROR(__xludf.DUMMYFUNCTION("""COMPUTED_VALUE"""),"Россия")</f>
        <v>Россия</v>
      </c>
      <c r="E768" s="14"/>
      <c r="F768" s="8" t="str">
        <f ca="1">IFERROR(__xludf.DUMMYFUNCTION("""COMPUTED_VALUE"""),"- Вводный вебинар 3.5.22 на Шаг к Пробуждению")</f>
        <v>- Вводный вебинар 3.5.22 на Шаг к Пробуждению</v>
      </c>
      <c r="G768" s="1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5.5">
      <c r="A769" s="14" t="str">
        <f ca="1">IFERROR(__xludf.DUMMYFUNCTION("""COMPUTED_VALUE"""),"Наташа Грицук")</f>
        <v>Наташа Грицук</v>
      </c>
      <c r="B769" s="14" t="str">
        <f ca="1">IFERROR(__xludf.DUMMYFUNCTION("""COMPUTED_VALUE"""),"gricukn806@gmail.com")</f>
        <v>gricukn806@gmail.com</v>
      </c>
      <c r="C769" s="15" t="str">
        <f ca="1">IFERROR(__xludf.DUMMYFUNCTION("""COMPUTED_VALUE"""),"+79181253629")</f>
        <v>+79181253629</v>
      </c>
      <c r="D769" s="15" t="str">
        <f ca="1">IFERROR(__xludf.DUMMYFUNCTION("""COMPUTED_VALUE"""),"Россия")</f>
        <v>Россия</v>
      </c>
      <c r="E769" s="14"/>
      <c r="F769" s="8" t="str">
        <f ca="1">IFERROR(__xludf.DUMMYFUNCTION("""COMPUTED_VALUE"""),"- Практика Тишины общая платная
- Вебинар все о ретрите 12.2.2022")</f>
        <v>- Практика Тишины общая платная
- Вебинар все о ретрите 12.2.2022</v>
      </c>
      <c r="G769" s="1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>
      <c r="A770" s="14" t="str">
        <f ca="1">IFERROR(__xludf.DUMMYFUNCTION("""COMPUTED_VALUE"""),"grigorovanata2504,  ")</f>
        <v xml:space="preserve">grigorovanata2504,  </v>
      </c>
      <c r="B770" s="14" t="str">
        <f ca="1">IFERROR(__xludf.DUMMYFUNCTION("""COMPUTED_VALUE"""),"grigorovanata2504@icloud.com")</f>
        <v>grigorovanata2504@icloud.com</v>
      </c>
      <c r="C770" s="15"/>
      <c r="D770" s="15"/>
      <c r="E770" s="14"/>
      <c r="F770" s="8" t="str">
        <f ca="1">IFERROR(__xludf.DUMMYFUNCTION("""COMPUTED_VALUE"""),"- Челлендж Тишины")</f>
        <v>- Челлендж Тишины</v>
      </c>
      <c r="G770" s="1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5.5">
      <c r="A771" s="14" t="str">
        <f ca="1">IFERROR(__xludf.DUMMYFUNCTION("""COMPUTED_VALUE"""),"Анастасия Гринчук")</f>
        <v>Анастасия Гринчук</v>
      </c>
      <c r="B771" s="14" t="str">
        <f ca="1">IFERROR(__xludf.DUMMYFUNCTION("""COMPUTED_VALUE"""),"Grinya.ya@mail.ru")</f>
        <v>Grinya.ya@mail.ru</v>
      </c>
      <c r="C771" s="15" t="str">
        <f ca="1">IFERROR(__xludf.DUMMYFUNCTION("""COMPUTED_VALUE"""),"87011267320")</f>
        <v>87011267320</v>
      </c>
      <c r="D771" s="15"/>
      <c r="E771" s="14"/>
      <c r="F77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771" s="1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>
      <c r="A772" s="14" t="str">
        <f ca="1">IFERROR(__xludf.DUMMYFUNCTION("""COMPUTED_VALUE""")," ")</f>
        <v xml:space="preserve"> </v>
      </c>
      <c r="B772" s="14" t="str">
        <f ca="1">IFERROR(__xludf.DUMMYFUNCTION("""COMPUTED_VALUE"""),"grot48doroga@mail.ru")</f>
        <v>grot48doroga@mail.ru</v>
      </c>
      <c r="C772" s="15"/>
      <c r="D772" s="15"/>
      <c r="E772" s="14"/>
      <c r="F772" s="8" t="str">
        <f ca="1">IFERROR(__xludf.DUMMYFUNCTION("""COMPUTED_VALUE"""),"Мероприятий не обнаружено")</f>
        <v>Мероприятий не обнаружено</v>
      </c>
      <c r="G772" s="1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>
      <c r="A773" s="14" t="str">
        <f ca="1">IFERROR(__xludf.DUMMYFUNCTION("""COMPUTED_VALUE"""),"gshinkey,  ")</f>
        <v xml:space="preserve">gshinkey,  </v>
      </c>
      <c r="B773" s="14" t="str">
        <f ca="1">IFERROR(__xludf.DUMMYFUNCTION("""COMPUTED_VALUE"""),"gshinkey@gmail.com")</f>
        <v>gshinkey@gmail.com</v>
      </c>
      <c r="C773" s="15"/>
      <c r="D773" s="15"/>
      <c r="E773" s="14"/>
      <c r="F773" s="8" t="str">
        <f ca="1">IFERROR(__xludf.DUMMYFUNCTION("""COMPUTED_VALUE"""),"- USA Челлендж Тишина")</f>
        <v>- USA Челлендж Тишина</v>
      </c>
      <c r="G773" s="1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>
      <c r="A774" s="14" t="str">
        <f ca="1">IFERROR(__xludf.DUMMYFUNCTION("""COMPUTED_VALUE"""),"Татьяна Эрдлей")</f>
        <v>Татьяна Эрдлей</v>
      </c>
      <c r="B774" s="14" t="str">
        <f ca="1">IFERROR(__xludf.DUMMYFUNCTION("""COMPUTED_VALUE"""),"gts.05@mail.ru")</f>
        <v>gts.05@mail.ru</v>
      </c>
      <c r="C774" s="15" t="str">
        <f ca="1">IFERROR(__xludf.DUMMYFUNCTION("""COMPUTED_VALUE"""),"+79259161402")</f>
        <v>+79259161402</v>
      </c>
      <c r="D774" s="15" t="str">
        <f ca="1">IFERROR(__xludf.DUMMYFUNCTION("""COMPUTED_VALUE"""),"Россия")</f>
        <v>Россия</v>
      </c>
      <c r="E774" s="14"/>
      <c r="F774" s="8" t="str">
        <f ca="1">IFERROR(__xludf.DUMMYFUNCTION("""COMPUTED_VALUE"""),"- Однодневный ретрит Россия 14 мая 2022")</f>
        <v>- Однодневный ретрит Россия 14 мая 2022</v>
      </c>
      <c r="G774" s="1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>
      <c r="A775" s="14" t="str">
        <f ca="1">IFERROR(__xludf.DUMMYFUNCTION("""COMPUTED_VALUE"""),"Татьяна Гугуева")</f>
        <v>Татьяна Гугуева</v>
      </c>
      <c r="B775" s="14" t="str">
        <f ca="1">IFERROR(__xludf.DUMMYFUNCTION("""COMPUTED_VALUE"""),"Gugueva2569@inbox.ru")</f>
        <v>Gugueva2569@inbox.ru</v>
      </c>
      <c r="C775" s="15"/>
      <c r="D775" s="15" t="str">
        <f ca="1">IFERROR(__xludf.DUMMYFUNCTION("""COMPUTED_VALUE"""),"Россия")</f>
        <v>Россия</v>
      </c>
      <c r="E775" s="14"/>
      <c r="F775" s="8" t="str">
        <f ca="1">IFERROR(__xludf.DUMMYFUNCTION("""COMPUTED_VALUE"""),"- Базовая бесплатная часть")</f>
        <v>- Базовая бесплатная часть</v>
      </c>
      <c r="G775" s="1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>
      <c r="A776" s="14" t="str">
        <f ca="1">IFERROR(__xludf.DUMMYFUNCTION("""COMPUTED_VALUE"""),"Гульбаршин Мут")</f>
        <v>Гульбаршин Мут</v>
      </c>
      <c r="B776" s="14" t="str">
        <f ca="1">IFERROR(__xludf.DUMMYFUNCTION("""COMPUTED_VALUE"""),"gulbarshinmut24@gmail.com")</f>
        <v>gulbarshinmut24@gmail.com</v>
      </c>
      <c r="C776" s="15"/>
      <c r="D776" s="15" t="str">
        <f ca="1">IFERROR(__xludf.DUMMYFUNCTION("""COMPUTED_VALUE"""),"Кыргызстан")</f>
        <v>Кыргызстан</v>
      </c>
      <c r="E776" s="14"/>
      <c r="F776" s="8" t="str">
        <f ca="1">IFERROR(__xludf.DUMMYFUNCTION("""COMPUTED_VALUE"""),"- Тишина Челлендж (бесплатная часть)")</f>
        <v>- Тишина Челлендж (бесплатная часть)</v>
      </c>
      <c r="G776" s="1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>
      <c r="A777" s="14" t="str">
        <f ca="1">IFERROR(__xludf.DUMMYFUNCTION("""COMPUTED_VALUE"""),"Оксана Гулидова")</f>
        <v>Оксана Гулидова</v>
      </c>
      <c r="B777" s="14" t="str">
        <f ca="1">IFERROR(__xludf.DUMMYFUNCTION("""COMPUTED_VALUE"""),"Gulidova.ok@gmail.com")</f>
        <v>Gulidova.ok@gmail.com</v>
      </c>
      <c r="C777" s="15" t="str">
        <f ca="1">IFERROR(__xludf.DUMMYFUNCTION("""COMPUTED_VALUE"""),"79067212233")</f>
        <v>79067212233</v>
      </c>
      <c r="D777" s="15" t="str">
        <f ca="1">IFERROR(__xludf.DUMMYFUNCTION("""COMPUTED_VALUE"""),"Россия")</f>
        <v>Россия</v>
      </c>
      <c r="E777" s="14"/>
      <c r="F777" s="8" t="str">
        <f ca="1">IFERROR(__xludf.DUMMYFUNCTION("""COMPUTED_VALUE"""),"- Однодневный онлайн ретрит 14 мая 2022")</f>
        <v>- Однодневный онлайн ретрит 14 мая 2022</v>
      </c>
      <c r="G777" s="1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5.5">
      <c r="A778" s="14" t="str">
        <f ca="1">IFERROR(__xludf.DUMMYFUNCTION("""COMPUTED_VALUE"""),"Гули Исмаилова")</f>
        <v>Гули Исмаилова</v>
      </c>
      <c r="B778" s="14" t="str">
        <f ca="1">IFERROR(__xludf.DUMMYFUNCTION("""COMPUTED_VALUE"""),"Guliismailova477@gmail.com")</f>
        <v>Guliismailova477@gmail.com</v>
      </c>
      <c r="C778" s="15" t="str">
        <f ca="1">IFERROR(__xludf.DUMMYFUNCTION("""COMPUTED_VALUE"""),"998994320442")</f>
        <v>998994320442</v>
      </c>
      <c r="D778" s="15"/>
      <c r="E778" s="14"/>
      <c r="F77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778" s="1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>
      <c r="A779" s="14" t="str">
        <f ca="1">IFERROR(__xludf.DUMMYFUNCTION("""COMPUTED_VALUE"""),"Гульмира Каримова")</f>
        <v>Гульмира Каримова</v>
      </c>
      <c r="B779" s="14" t="str">
        <f ca="1">IFERROR(__xludf.DUMMYFUNCTION("""COMPUTED_VALUE"""),"Gulmira.karim93@mail.ru")</f>
        <v>Gulmira.karim93@mail.ru</v>
      </c>
      <c r="C779" s="15"/>
      <c r="D779" s="15" t="str">
        <f ca="1">IFERROR(__xludf.DUMMYFUNCTION("""COMPUTED_VALUE"""),"Швеция")</f>
        <v>Швеция</v>
      </c>
      <c r="E779" s="14"/>
      <c r="F779" s="8" t="str">
        <f ca="1">IFERROR(__xludf.DUMMYFUNCTION("""COMPUTED_VALUE"""),"- Тишина Челлендж (бесплатная часть)")</f>
        <v>- Тишина Челлендж (бесплатная часть)</v>
      </c>
      <c r="G779" s="1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38.25">
      <c r="A780" s="14" t="str">
        <f ca="1">IFERROR(__xludf.DUMMYFUNCTION("""COMPUTED_VALUE"""),"Гульмира Мусан")</f>
        <v>Гульмира Мусан</v>
      </c>
      <c r="B780" s="14" t="str">
        <f ca="1">IFERROR(__xludf.DUMMYFUNCTION("""COMPUTED_VALUE"""),"Gulmira7296@mail.ru")</f>
        <v>Gulmira7296@mail.ru</v>
      </c>
      <c r="C780" s="15" t="str">
        <f ca="1">IFERROR(__xludf.DUMMYFUNCTION("""COMPUTED_VALUE"""),"87756323044")</f>
        <v>87756323044</v>
      </c>
      <c r="D780" s="15" t="str">
        <f ca="1">IFERROR(__xludf.DUMMYFUNCTION("""COMPUTED_VALUE"""),"Казахстан")</f>
        <v>Казахстан</v>
      </c>
      <c r="E780" s="14"/>
      <c r="F780" s="8" t="str">
        <f ca="1">IFERROR(__xludf.DUMMYFUNCTION("""COMPUTED_VALUE"""),"- Марафон Тишины - Тишина челлендж: Урал, Казахстан, Узбекистан 25-29.04.2022
- Тишина Челлендж (бесплатная часть)")</f>
        <v>- Марафон Тишины - Тишина челлендж: Урал, Казахстан, Узбекистан 25-29.04.2022
- Тишина Челлендж (бесплатная часть)</v>
      </c>
      <c r="G780" s="1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>
      <c r="A781" s="14" t="str">
        <f ca="1">IFERROR(__xludf.DUMMYFUNCTION("""COMPUTED_VALUE"""),"Гульнара  Нигматуллина, Гульнара Нигматуллина")</f>
        <v>Гульнара  Нигматуллина, Гульнара Нигматуллина</v>
      </c>
      <c r="B781" s="14" t="str">
        <f ca="1">IFERROR(__xludf.DUMMYFUNCTION("""COMPUTED_VALUE"""),"gulnara_nig@mail.ru")</f>
        <v>gulnara_nig@mail.ru</v>
      </c>
      <c r="C781" s="15" t="str">
        <f ca="1">IFERROR(__xludf.DUMMYFUNCTION("""COMPUTED_VALUE"""),"77769844144")</f>
        <v>77769844144</v>
      </c>
      <c r="D781" s="15" t="str">
        <f ca="1">IFERROR(__xludf.DUMMYFUNCTION("""COMPUTED_VALUE"""),"Казахстан")</f>
        <v>Казахстан</v>
      </c>
      <c r="E781" s="14"/>
      <c r="F781" s="8" t="str">
        <f ca="1">IFERROR(__xludf.DUMMYFUNCTION("""COMPUTED_VALUE"""),"- Тишина Челлендж (бесплатная часть)")</f>
        <v>- Тишина Челлендж (бесплатная часть)</v>
      </c>
      <c r="G781" s="1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5.5">
      <c r="A782" s="14" t="str">
        <f ca="1">IFERROR(__xludf.DUMMYFUNCTION("""COMPUTED_VALUE"""),"Гульнара Джумабековп")</f>
        <v>Гульнара Джумабековп</v>
      </c>
      <c r="B782" s="14" t="str">
        <f ca="1">IFERROR(__xludf.DUMMYFUNCTION("""COMPUTED_VALUE"""),"gulnara.nur@mail.ru")</f>
        <v>gulnara.nur@mail.ru</v>
      </c>
      <c r="C782" s="15" t="str">
        <f ca="1">IFERROR(__xludf.DUMMYFUNCTION("""COMPUTED_VALUE"""),"87784183696")</f>
        <v>87784183696</v>
      </c>
      <c r="D782" s="15"/>
      <c r="E782" s="14"/>
      <c r="F78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782" s="1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>
      <c r="A783" s="14" t="str">
        <f ca="1">IFERROR(__xludf.DUMMYFUNCTION("""COMPUTED_VALUE"""),"Гульназ Шагеева")</f>
        <v>Гульназ Шагеева</v>
      </c>
      <c r="B783" s="14" t="str">
        <f ca="1">IFERROR(__xludf.DUMMYFUNCTION("""COMPUTED_VALUE"""),"Gulnazparnas@gmail.com")</f>
        <v>Gulnazparnas@gmail.com</v>
      </c>
      <c r="C783" s="15" t="str">
        <f ca="1">IFERROR(__xludf.DUMMYFUNCTION("""COMPUTED_VALUE"""),"79196273821")</f>
        <v>79196273821</v>
      </c>
      <c r="D783" s="15" t="str">
        <f ca="1">IFERROR(__xludf.DUMMYFUNCTION("""COMPUTED_VALUE"""),"Россия")</f>
        <v>Россия</v>
      </c>
      <c r="E783" s="14"/>
      <c r="F783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783" s="1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>
      <c r="A784" s="14" t="str">
        <f ca="1">IFERROR(__xludf.DUMMYFUNCTION("""COMPUTED_VALUE"""),"Ниссо Мамадасанова")</f>
        <v>Ниссо Мамадасанова</v>
      </c>
      <c r="B784" s="14" t="str">
        <f ca="1">IFERROR(__xludf.DUMMYFUNCTION("""COMPUTED_VALUE"""),"Gulniso0692@mail.ru")</f>
        <v>Gulniso0692@mail.ru</v>
      </c>
      <c r="C784" s="15" t="str">
        <f ca="1">IFERROR(__xludf.DUMMYFUNCTION("""COMPUTED_VALUE"""),"299458464")</f>
        <v>299458464</v>
      </c>
      <c r="D784" s="15" t="str">
        <f ca="1">IFERROR(__xludf.DUMMYFUNCTION("""COMPUTED_VALUE"""),"Беларусь")</f>
        <v>Беларусь</v>
      </c>
      <c r="E784" s="14"/>
      <c r="F784" s="8" t="str">
        <f ca="1">IFERROR(__xludf.DUMMYFUNCTION("""COMPUTED_VALUE"""),"- Чайная встреча Разговор по душам Минск 11.12.2021")</f>
        <v>- Чайная встреча Разговор по душам Минск 11.12.2021</v>
      </c>
      <c r="G784" s="1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5.5">
      <c r="A785" s="14" t="str">
        <f ca="1">IFERROR(__xludf.DUMMYFUNCTION("""COMPUTED_VALUE"""),"Гульнора Расулова")</f>
        <v>Гульнора Расулова</v>
      </c>
      <c r="B785" s="14" t="str">
        <f ca="1">IFERROR(__xludf.DUMMYFUNCTION("""COMPUTED_VALUE"""),"gulnora.rasulova.m@gmail.com")</f>
        <v>gulnora.rasulova.m@gmail.com</v>
      </c>
      <c r="C785" s="15" t="str">
        <f ca="1">IFERROR(__xludf.DUMMYFUNCTION("""COMPUTED_VALUE"""),"+998901132124")</f>
        <v>+998901132124</v>
      </c>
      <c r="D785" s="15"/>
      <c r="E785" s="14"/>
      <c r="F78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785" s="1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5.5">
      <c r="A786" s="14" t="str">
        <f ca="1">IFERROR(__xludf.DUMMYFUNCTION("""COMPUTED_VALUE"""),"Гульноз Юнусова")</f>
        <v>Гульноз Юнусова</v>
      </c>
      <c r="B786" s="14" t="str">
        <f ca="1">IFERROR(__xludf.DUMMYFUNCTION("""COMPUTED_VALUE"""),"gulnoz.yunusova12@gmail.com")</f>
        <v>gulnoz.yunusova12@gmail.com</v>
      </c>
      <c r="C786" s="15" t="str">
        <f ca="1">IFERROR(__xludf.DUMMYFUNCTION("""COMPUTED_VALUE"""),"+998918208402")</f>
        <v>+998918208402</v>
      </c>
      <c r="D786" s="15"/>
      <c r="E786" s="14"/>
      <c r="F78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786" s="1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5.5">
      <c r="A787" s="14" t="str">
        <f ca="1">IFERROR(__xludf.DUMMYFUNCTION("""COMPUTED_VALUE"""),"Гульнур Жазыкбаева")</f>
        <v>Гульнур Жазыкбаева</v>
      </c>
      <c r="B787" s="14" t="str">
        <f ca="1">IFERROR(__xludf.DUMMYFUNCTION("""COMPUTED_VALUE"""),"gulnur_ernur@mail.ru")</f>
        <v>gulnur_ernur@mail.ru</v>
      </c>
      <c r="C787" s="15" t="str">
        <f ca="1">IFERROR(__xludf.DUMMYFUNCTION("""COMPUTED_VALUE"""),"87018074466")</f>
        <v>87018074466</v>
      </c>
      <c r="D787" s="15"/>
      <c r="E787" s="14"/>
      <c r="F78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787" s="1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5.5">
      <c r="A788" s="14" t="str">
        <f ca="1">IFERROR(__xludf.DUMMYFUNCTION("""COMPUTED_VALUE"""),"Gulshan Salamova")</f>
        <v>Gulshan Salamova</v>
      </c>
      <c r="B788" s="14" t="str">
        <f ca="1">IFERROR(__xludf.DUMMYFUNCTION("""COMPUTED_VALUE"""),"Gulshan.salamova1988@gmail.com")</f>
        <v>Gulshan.salamova1988@gmail.com</v>
      </c>
      <c r="C788" s="15" t="str">
        <f ca="1">IFERROR(__xludf.DUMMYFUNCTION("""COMPUTED_VALUE"""),"+998914194569")</f>
        <v>+998914194569</v>
      </c>
      <c r="D788" s="15"/>
      <c r="E788" s="14"/>
      <c r="F78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788" s="1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5.5">
      <c r="A789" s="14" t="str">
        <f ca="1">IFERROR(__xludf.DUMMYFUNCTION("""COMPUTED_VALUE"""),"Гуля Елубаева")</f>
        <v>Гуля Елубаева</v>
      </c>
      <c r="B789" s="14" t="str">
        <f ca="1">IFERROR(__xludf.DUMMYFUNCTION("""COMPUTED_VALUE"""),"gulshetay.88@mail.ru")</f>
        <v>gulshetay.88@mail.ru</v>
      </c>
      <c r="C789" s="15" t="str">
        <f ca="1">IFERROR(__xludf.DUMMYFUNCTION("""COMPUTED_VALUE"""),"87759041663")</f>
        <v>87759041663</v>
      </c>
      <c r="D789" s="15"/>
      <c r="E789" s="14"/>
      <c r="F78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789" s="1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5.5">
      <c r="A790" s="14" t="str">
        <f ca="1">IFERROR(__xludf.DUMMYFUNCTION("""COMPUTED_VALUE"""),"Мохира Гафурова")</f>
        <v>Мохира Гафурова</v>
      </c>
      <c r="B790" s="14" t="str">
        <f ca="1">IFERROR(__xludf.DUMMYFUNCTION("""COMPUTED_VALUE"""),"gulyamnazirovna369@gmail.com")</f>
        <v>gulyamnazirovna369@gmail.com</v>
      </c>
      <c r="C790" s="15" t="str">
        <f ca="1">IFERROR(__xludf.DUMMYFUNCTION("""COMPUTED_VALUE"""),"+998993988369")</f>
        <v>+998993988369</v>
      </c>
      <c r="D790" s="15"/>
      <c r="E790" s="14"/>
      <c r="F79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790" s="1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>
      <c r="A791" s="14" t="str">
        <f ca="1">IFERROR(__xludf.DUMMYFUNCTION("""COMPUTED_VALUE"""),"Gundega Kronberga")</f>
        <v>Gundega Kronberga</v>
      </c>
      <c r="B791" s="14" t="str">
        <f ca="1">IFERROR(__xludf.DUMMYFUNCTION("""COMPUTED_VALUE"""),"gundega67@inbox.lv")</f>
        <v>gundega67@inbox.lv</v>
      </c>
      <c r="C791" s="15" t="str">
        <f ca="1">IFERROR(__xludf.DUMMYFUNCTION("""COMPUTED_VALUE"""),"+37126593787")</f>
        <v>+37126593787</v>
      </c>
      <c r="D791" s="15" t="str">
        <f ca="1">IFERROR(__xludf.DUMMYFUNCTION("""COMPUTED_VALUE"""),"Латвия")</f>
        <v>Латвия</v>
      </c>
      <c r="E791" s="14"/>
      <c r="F791" s="8" t="str">
        <f ca="1">IFERROR(__xludf.DUMMYFUNCTION("""COMPUTED_VALUE"""),"- Онлайн Интенсив 29-30 января 2022 Европа")</f>
        <v>- Онлайн Интенсив 29-30 января 2022 Европа</v>
      </c>
      <c r="G791" s="1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>
      <c r="A792" s="14" t="str">
        <f ca="1">IFERROR(__xludf.DUMMYFUNCTION("""COMPUTED_VALUE"""),"Gunjan Lal")</f>
        <v>Gunjan Lal</v>
      </c>
      <c r="B792" s="14" t="str">
        <f ca="1">IFERROR(__xludf.DUMMYFUNCTION("""COMPUTED_VALUE"""),"gunjan18glal@gmail.com")</f>
        <v>gunjan18glal@gmail.com</v>
      </c>
      <c r="C792" s="15"/>
      <c r="D792" s="15"/>
      <c r="E792" s="14"/>
      <c r="F792" s="8" t="str">
        <f ca="1">IFERROR(__xludf.DUMMYFUNCTION("""COMPUTED_VALUE"""),"- What hides behind anxiety? The quantum leap [EU]")</f>
        <v>- What hides behind anxiety? The quantum leap [EU]</v>
      </c>
      <c r="G792" s="1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5.5">
      <c r="A793" s="14" t="str">
        <f ca="1">IFERROR(__xludf.DUMMYFUNCTION("""COMPUTED_VALUE"""),"GUNTA POŠEIKO")</f>
        <v>GUNTA POŠEIKO</v>
      </c>
      <c r="B793" s="14" t="str">
        <f ca="1">IFERROR(__xludf.DUMMYFUNCTION("""COMPUTED_VALUE"""),"guntapos@inbox.lv")</f>
        <v>guntapos@inbox.lv</v>
      </c>
      <c r="C793" s="15" t="str">
        <f ca="1">IFERROR(__xludf.DUMMYFUNCTION("""COMPUTED_VALUE"""),"+447452930309")</f>
        <v>+447452930309</v>
      </c>
      <c r="D793" s="15" t="str">
        <f ca="1">IFERROR(__xludf.DUMMYFUNCTION("""COMPUTED_VALUE"""),"Великобритания")</f>
        <v>Великобритания</v>
      </c>
      <c r="E793" s="14"/>
      <c r="F793" s="8" t="str">
        <f ca="1">IFERROR(__xludf.DUMMYFUNCTION("""COMPUTED_VALUE"""),"- Шаг к Пробуждению №5 на латышском Латвия LV 11-18 декабря 2021 года ")</f>
        <v xml:space="preserve">- Шаг к Пробуждению №5 на латышском Латвия LV 11-18 декабря 2021 года </v>
      </c>
      <c r="G793" s="1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>
      <c r="A794" s="14" t="str">
        <f ca="1">IFERROR(__xludf.DUMMYFUNCTION("""COMPUTED_VALUE"""),"Елена Гурина")</f>
        <v>Елена Гурина</v>
      </c>
      <c r="B794" s="14" t="str">
        <f ca="1">IFERROR(__xludf.DUMMYFUNCTION("""COMPUTED_VALUE"""),"guru.blago@mail.ru")</f>
        <v>guru.blago@mail.ru</v>
      </c>
      <c r="C794" s="15" t="str">
        <f ca="1">IFERROR(__xludf.DUMMYFUNCTION("""COMPUTED_VALUE"""),", +79217595028")</f>
        <v>, +79217595028</v>
      </c>
      <c r="D794" s="15" t="str">
        <f ca="1">IFERROR(__xludf.DUMMYFUNCTION("""COMPUTED_VALUE"""),"Россия")</f>
        <v>Россия</v>
      </c>
      <c r="E794" s="14"/>
      <c r="F794" s="8" t="str">
        <f ca="1">IFERROR(__xludf.DUMMYFUNCTION("""COMPUTED_VALUE"""),"Мероприятий не обнаружено")</f>
        <v>Мероприятий не обнаружено</v>
      </c>
      <c r="G794" s="1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>
      <c r="A795" s="14" t="str">
        <f ca="1">IFERROR(__xludf.DUMMYFUNCTION("""COMPUTED_VALUE"""),"Мила Гусейнова")</f>
        <v>Мила Гусейнова</v>
      </c>
      <c r="B795" s="14" t="str">
        <f ca="1">IFERROR(__xludf.DUMMYFUNCTION("""COMPUTED_VALUE"""),"GUSEJNOVA_1981@LIST.RU")</f>
        <v>GUSEJNOVA_1981@LIST.RU</v>
      </c>
      <c r="C795" s="15" t="str">
        <f ca="1">IFERROR(__xludf.DUMMYFUNCTION("""COMPUTED_VALUE"""),"79099993600")</f>
        <v>79099993600</v>
      </c>
      <c r="D795" s="15" t="str">
        <f ca="1">IFERROR(__xludf.DUMMYFUNCTION("""COMPUTED_VALUE"""),"Армения")</f>
        <v>Армения</v>
      </c>
      <c r="E795" s="14"/>
      <c r="F795" s="8" t="str">
        <f ca="1">IFERROR(__xludf.DUMMYFUNCTION("""COMPUTED_VALUE"""),"- Однодневный ретрит Россия 14 мая 2022")</f>
        <v>- Однодневный ретрит Россия 14 мая 2022</v>
      </c>
      <c r="G795" s="1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5.5">
      <c r="A796" s="14" t="str">
        <f ca="1">IFERROR(__xludf.DUMMYFUNCTION("""COMPUTED_VALUE"""),"Гузаль Зарипова")</f>
        <v>Гузаль Зарипова</v>
      </c>
      <c r="B796" s="14" t="str">
        <f ca="1">IFERROR(__xludf.DUMMYFUNCTION("""COMPUTED_VALUE"""),"guzal1978@mail.ru")</f>
        <v>guzal1978@mail.ru</v>
      </c>
      <c r="C796" s="15" t="str">
        <f ca="1">IFERROR(__xludf.DUMMYFUNCTION("""COMPUTED_VALUE"""),"+998846107784")</f>
        <v>+998846107784</v>
      </c>
      <c r="D796" s="15"/>
      <c r="E796" s="14"/>
      <c r="F79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796" s="1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5.5">
      <c r="A797" s="14" t="str">
        <f ca="1">IFERROR(__xludf.DUMMYFUNCTION("""COMPUTED_VALUE"""),"Гузаля Хамзина")</f>
        <v>Гузаля Хамзина</v>
      </c>
      <c r="B797" s="14" t="str">
        <f ca="1">IFERROR(__xludf.DUMMYFUNCTION("""COMPUTED_VALUE"""),"guzalahamzina@gmail.com")</f>
        <v>guzalahamzina@gmail.com</v>
      </c>
      <c r="C797" s="15" t="str">
        <f ca="1">IFERROR(__xludf.DUMMYFUNCTION("""COMPUTED_VALUE"""),"+998997647597")</f>
        <v>+998997647597</v>
      </c>
      <c r="D797" s="15"/>
      <c r="E797" s="14"/>
      <c r="F79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797" s="1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>
      <c r="A798" s="14" t="str">
        <f ca="1">IFERROR(__xludf.DUMMYFUNCTION("""COMPUTED_VALUE"""),"Гузель Шарипова")</f>
        <v>Гузель Шарипова</v>
      </c>
      <c r="B798" s="14" t="str">
        <f ca="1">IFERROR(__xludf.DUMMYFUNCTION("""COMPUTED_VALUE"""),"guzel-121288@mail.ru")</f>
        <v>guzel-121288@mail.ru</v>
      </c>
      <c r="C798" s="15"/>
      <c r="D798" s="15" t="str">
        <f ca="1">IFERROR(__xludf.DUMMYFUNCTION("""COMPUTED_VALUE"""),"Россия")</f>
        <v>Россия</v>
      </c>
      <c r="E798" s="14"/>
      <c r="F798" s="8" t="str">
        <f ca="1">IFERROR(__xludf.DUMMYFUNCTION("""COMPUTED_VALUE"""),"- Тишина Челлендж (бесплатная часть)")</f>
        <v>- Тишина Челлендж (бесплатная часть)</v>
      </c>
      <c r="G798" s="1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5.5">
      <c r="A799" s="14" t="str">
        <f ca="1">IFERROR(__xludf.DUMMYFUNCTION("""COMPUTED_VALUE"""),"ЕВГЕНИЯ Свигач")</f>
        <v>ЕВГЕНИЯ Свигач</v>
      </c>
      <c r="B799" s="14" t="str">
        <f ca="1">IFERROR(__xludf.DUMMYFUNCTION("""COMPUTED_VALUE"""),"gvelza@yandex.ru")</f>
        <v>gvelza@yandex.ru</v>
      </c>
      <c r="C799" s="15" t="str">
        <f ca="1">IFERROR(__xludf.DUMMYFUNCTION("""COMPUTED_VALUE"""),"+375293446663")</f>
        <v>+375293446663</v>
      </c>
      <c r="D799" s="15" t="str">
        <f ca="1">IFERROR(__xludf.DUMMYFUNCTION("""COMPUTED_VALUE"""),"Беларусь")</f>
        <v>Беларусь</v>
      </c>
      <c r="E799" s="14"/>
      <c r="F799" s="8" t="str">
        <f ca="1">IFERROR(__xludf.DUMMYFUNCTION("""COMPUTED_VALUE"""),"- Тишина Челлендж (бесплатная часть)
- Вводный вебинар 3.5.22 на Шаг к Пробуждению")</f>
        <v>- Тишина Челлендж (бесплатная часть)
- Вводный вебинар 3.5.22 на Шаг к Пробуждению</v>
      </c>
      <c r="G799" s="1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5.5">
      <c r="A800" s="14" t="str">
        <f ca="1">IFERROR(__xludf.DUMMYFUNCTION("""COMPUTED_VALUE"""),"Гавхар Нур")</f>
        <v>Гавхар Нур</v>
      </c>
      <c r="B800" s="14" t="str">
        <f ca="1">IFERROR(__xludf.DUMMYFUNCTION("""COMPUTED_VALUE"""),"gyoukhar.s@gmail.com")</f>
        <v>gyoukhar.s@gmail.com</v>
      </c>
      <c r="C800" s="15" t="str">
        <f ca="1">IFERROR(__xludf.DUMMYFUNCTION("""COMPUTED_VALUE"""),"+998977250646")</f>
        <v>+998977250646</v>
      </c>
      <c r="D800" s="15"/>
      <c r="E800" s="14"/>
      <c r="F80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800" s="1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5.5">
      <c r="A801" s="14" t="str">
        <f ca="1">IFERROR(__xludf.DUMMYFUNCTION("""COMPUTED_VALUE"""),"Мухаббат Хабибова")</f>
        <v>Мухаббат Хабибова</v>
      </c>
      <c r="B801" s="14" t="str">
        <f ca="1">IFERROR(__xludf.DUMMYFUNCTION("""COMPUTED_VALUE"""),"habibovamuhabbat9@gmail.com")</f>
        <v>habibovamuhabbat9@gmail.com</v>
      </c>
      <c r="C801" s="15" t="str">
        <f ca="1">IFERROR(__xludf.DUMMYFUNCTION("""COMPUTED_VALUE"""),"+998999709241")</f>
        <v>+998999709241</v>
      </c>
      <c r="D801" s="15"/>
      <c r="E801" s="14"/>
      <c r="F80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801" s="1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5.5">
      <c r="A802" s="14" t="str">
        <f ca="1">IFERROR(__xludf.DUMMYFUNCTION("""COMPUTED_VALUE"""),"Anna Akopyan")</f>
        <v>Anna Akopyan</v>
      </c>
      <c r="B802" s="14" t="str">
        <f ca="1">IFERROR(__xludf.DUMMYFUNCTION("""COMPUTED_VALUE"""),"hahakob@yandex.ru")</f>
        <v>hahakob@yandex.ru</v>
      </c>
      <c r="C802" s="15" t="str">
        <f ca="1">IFERROR(__xludf.DUMMYFUNCTION("""COMPUTED_VALUE"""),"+375296707786")</f>
        <v>+375296707786</v>
      </c>
      <c r="D802" s="15" t="str">
        <f ca="1">IFERROR(__xludf.DUMMYFUNCTION("""COMPUTED_VALUE"""),"Беларусь")</f>
        <v>Беларусь</v>
      </c>
      <c r="E802" s="14"/>
      <c r="F802" s="8" t="str">
        <f ca="1">IFERROR(__xludf.DUMMYFUNCTION("""COMPUTED_VALUE"""),"- Чайная встреча в Минске
- Практический семинар в Минске 28 мая 2022")</f>
        <v>- Чайная встреча в Минске
- Практический семинар в Минске 28 мая 2022</v>
      </c>
      <c r="G802" s="1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5.5">
      <c r="A803" s="14" t="str">
        <f ca="1">IFERROR(__xludf.DUMMYFUNCTION("""COMPUTED_VALUE"""),"Альфия Сагимбаева")</f>
        <v>Альфия Сагимбаева</v>
      </c>
      <c r="B803" s="14" t="str">
        <f ca="1">IFERROR(__xludf.DUMMYFUNCTION("""COMPUTED_VALUE"""),"hamitova_1996@mail.ru")</f>
        <v>hamitova_1996@mail.ru</v>
      </c>
      <c r="C803" s="15" t="str">
        <f ca="1">IFERROR(__xludf.DUMMYFUNCTION("""COMPUTED_VALUE"""),"+77773476378")</f>
        <v>+77773476378</v>
      </c>
      <c r="D803" s="15"/>
      <c r="E803" s="14"/>
      <c r="F80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803" s="1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>
      <c r="A804" s="14" t="str">
        <f ca="1">IFERROR(__xludf.DUMMYFUNCTION("""COMPUTED_VALUE"""),"Hasmik Hakobyan")</f>
        <v>Hasmik Hakobyan</v>
      </c>
      <c r="B804" s="14" t="str">
        <f ca="1">IFERROR(__xludf.DUMMYFUNCTION("""COMPUTED_VALUE"""),"hasmikhasmik058@gmail.com")</f>
        <v>hasmikhasmik058@gmail.com</v>
      </c>
      <c r="C804" s="15" t="str">
        <f ca="1">IFERROR(__xludf.DUMMYFUNCTION("""COMPUTED_VALUE"""),"+33644820955")</f>
        <v>+33644820955</v>
      </c>
      <c r="D804" s="15" t="str">
        <f ca="1">IFERROR(__xludf.DUMMYFUNCTION("""COMPUTED_VALUE"""),"France")</f>
        <v>France</v>
      </c>
      <c r="E804" s="14"/>
      <c r="F804" s="8" t="str">
        <f ca="1">IFERROR(__xludf.DUMMYFUNCTION("""COMPUTED_VALUE"""),"- Тишина Челлендж (бесплатная часть)")</f>
        <v>- Тишина Челлендж (бесплатная часть)</v>
      </c>
      <c r="G804" s="1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>
      <c r="A805" s="14" t="str">
        <f ca="1">IFERROR(__xludf.DUMMYFUNCTION("""COMPUTED_VALUE"""),"Хатира Айметова")</f>
        <v>Хатира Айметова</v>
      </c>
      <c r="B805" s="14" t="str">
        <f ca="1">IFERROR(__xludf.DUMMYFUNCTION("""COMPUTED_VALUE"""),"hatira1888@gmail.com")</f>
        <v>hatira1888@gmail.com</v>
      </c>
      <c r="C805" s="15" t="str">
        <f ca="1">IFERROR(__xludf.DUMMYFUNCTION("""COMPUTED_VALUE"""),"+998909036352")</f>
        <v>+998909036352</v>
      </c>
      <c r="D805" s="15" t="str">
        <f ca="1">IFERROR(__xludf.DUMMYFUNCTION("""COMPUTED_VALUE"""),"Узбекистан")</f>
        <v>Узбекистан</v>
      </c>
      <c r="E805" s="14"/>
      <c r="F805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805" s="1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>
      <c r="A806" s="14" t="str">
        <f ca="1">IFERROR(__xludf.DUMMYFUNCTION("""COMPUTED_VALUE"""),"Елена Васильева")</f>
        <v>Елена Васильева</v>
      </c>
      <c r="B806" s="14" t="str">
        <f ca="1">IFERROR(__xludf.DUMMYFUNCTION("""COMPUTED_VALUE"""),"helen3519@bk.ru")</f>
        <v>helen3519@bk.ru</v>
      </c>
      <c r="C806" s="15" t="str">
        <f ca="1">IFERROR(__xludf.DUMMYFUNCTION("""COMPUTED_VALUE"""),"+79048090777")</f>
        <v>+79048090777</v>
      </c>
      <c r="D806" s="15" t="str">
        <f ca="1">IFERROR(__xludf.DUMMYFUNCTION("""COMPUTED_VALUE"""),"Россия")</f>
        <v>Россия</v>
      </c>
      <c r="E806" s="14"/>
      <c r="F806" s="8" t="str">
        <f ca="1">IFERROR(__xludf.DUMMYFUNCTION("""COMPUTED_VALUE"""),"- Ретрит в РЦ Сочи май 2022 (Оплата до 17 апреля)")</f>
        <v>- Ретрит в РЦ Сочи май 2022 (Оплата до 17 апреля)</v>
      </c>
      <c r="G806" s="1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>
      <c r="A807" s="14" t="str">
        <f ca="1">IFERROR(__xludf.DUMMYFUNCTION("""COMPUTED_VALUE"""),"Ольга Бабич")</f>
        <v>Ольга Бабич</v>
      </c>
      <c r="B807" s="14" t="str">
        <f ca="1">IFERROR(__xludf.DUMMYFUNCTION("""COMPUTED_VALUE"""),"helganorka@mail.ru")</f>
        <v>helganorka@mail.ru</v>
      </c>
      <c r="C807" s="15" t="str">
        <f ca="1">IFERROR(__xludf.DUMMYFUNCTION("""COMPUTED_VALUE"""),"+34641446823")</f>
        <v>+34641446823</v>
      </c>
      <c r="D807" s="15" t="str">
        <f ca="1">IFERROR(__xludf.DUMMYFUNCTION("""COMPUTED_VALUE"""),"Испания")</f>
        <v>Испания</v>
      </c>
      <c r="E807" s="14"/>
      <c r="F807" s="8" t="str">
        <f ca="1">IFERROR(__xludf.DUMMYFUNCTION("""COMPUTED_VALUE"""),"- Тишина Челлендж (бесплатная часть)")</f>
        <v>- Тишина Челлендж (бесплатная часть)</v>
      </c>
      <c r="G807" s="1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>
      <c r="A808" s="14" t="str">
        <f ca="1">IFERROR(__xludf.DUMMYFUNCTION("""COMPUTED_VALUE"""),"Меруерт Тасенова")</f>
        <v>Меруерт Тасенова</v>
      </c>
      <c r="B808" s="14" t="str">
        <f ca="1">IFERROR(__xludf.DUMMYFUNCTION("""COMPUTED_VALUE"""),"Hi_mira@mail.ru")</f>
        <v>Hi_mira@mail.ru</v>
      </c>
      <c r="C808" s="15"/>
      <c r="D808" s="15" t="str">
        <f ca="1">IFERROR(__xludf.DUMMYFUNCTION("""COMPUTED_VALUE"""),"Швеция")</f>
        <v>Швеция</v>
      </c>
      <c r="E808" s="14"/>
      <c r="F808" s="8" t="str">
        <f ca="1">IFERROR(__xludf.DUMMYFUNCTION("""COMPUTED_VALUE"""),"- Тишина Челлендж (бесплатная часть)")</f>
        <v>- Тишина Челлендж (бесплатная часть)</v>
      </c>
      <c r="G808" s="1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>
      <c r="A809" s="14" t="str">
        <f ca="1">IFERROR(__xludf.DUMMYFUNCTION("""COMPUTED_VALUE"""),"Камилла Ходжаева")</f>
        <v>Камилла Ходжаева</v>
      </c>
      <c r="B809" s="14" t="str">
        <f ca="1">IFERROR(__xludf.DUMMYFUNCTION("""COMPUTED_VALUE"""),"Hodjaeva_kamilla@mail.ru")</f>
        <v>Hodjaeva_kamilla@mail.ru</v>
      </c>
      <c r="C809" s="15" t="str">
        <f ca="1">IFERROR(__xludf.DUMMYFUNCTION("""COMPUTED_VALUE"""),", +998996926902")</f>
        <v>, +998996926902</v>
      </c>
      <c r="D809" s="15"/>
      <c r="E809" s="14"/>
      <c r="F809" s="8" t="str">
        <f ca="1">IFERROR(__xludf.DUMMYFUNCTION("""COMPUTED_VALUE"""),"Мероприятий не обнаружено")</f>
        <v>Мероприятий не обнаружено</v>
      </c>
      <c r="G809" s="1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>
      <c r="A810" s="14" t="str">
        <f ca="1">IFERROR(__xludf.DUMMYFUNCTION("""COMPUTED_VALUE"""),"марина хомутинникова")</f>
        <v>марина хомутинникова</v>
      </c>
      <c r="B810" s="14" t="str">
        <f ca="1">IFERROR(__xludf.DUMMYFUNCTION("""COMPUTED_VALUE"""),"homutinnikovam@yandex.ru")</f>
        <v>homutinnikovam@yandex.ru</v>
      </c>
      <c r="C810" s="15" t="str">
        <f ca="1">IFERROR(__xludf.DUMMYFUNCTION("""COMPUTED_VALUE"""),"79536711670")</f>
        <v>79536711670</v>
      </c>
      <c r="D810" s="15" t="str">
        <f ca="1">IFERROR(__xludf.DUMMYFUNCTION("""COMPUTED_VALUE"""),"Россия")</f>
        <v>Россия</v>
      </c>
      <c r="E810" s="14"/>
      <c r="F810" s="8" t="str">
        <f ca="1">IFERROR(__xludf.DUMMYFUNCTION("""COMPUTED_VALUE"""),"- Тишина Челлендж (бесплатная часть)")</f>
        <v>- Тишина Челлендж (бесплатная часть)</v>
      </c>
      <c r="G810" s="1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5.5">
      <c r="A811" s="14" t="str">
        <f ca="1">IFERROR(__xludf.DUMMYFUNCTION("""COMPUTED_VALUE"""),"Евгений Пименов")</f>
        <v>Евгений Пименов</v>
      </c>
      <c r="B811" s="14" t="str">
        <f ca="1">IFERROR(__xludf.DUMMYFUNCTION("""COMPUTED_VALUE"""),"hondalion@mail.ru")</f>
        <v>hondalion@mail.ru</v>
      </c>
      <c r="C811" s="15" t="str">
        <f ca="1">IFERROR(__xludf.DUMMYFUNCTION("""COMPUTED_VALUE"""),"79536750399")</f>
        <v>79536750399</v>
      </c>
      <c r="D811" s="15" t="str">
        <f ca="1">IFERROR(__xludf.DUMMYFUNCTION("""COMPUTED_VALUE"""),"Россия")</f>
        <v>Россия</v>
      </c>
      <c r="E811" s="14"/>
      <c r="F811" s="8" t="str">
        <f ca="1">IFERROR(__xludf.DUMMYFUNCTION("""COMPUTED_VALUE"""),"- Практика Тишины общая платная
- Интенсив 15-17 апреля Питер")</f>
        <v>- Практика Тишины общая платная
- Интенсив 15-17 апреля Питер</v>
      </c>
      <c r="G811" s="1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>
      <c r="A812" s="14" t="str">
        <f ca="1">IFERROR(__xludf.DUMMYFUNCTION("""COMPUTED_VALUE"""),"Евгений Хрущев")</f>
        <v>Евгений Хрущев</v>
      </c>
      <c r="B812" s="14" t="str">
        <f ca="1">IFERROR(__xludf.DUMMYFUNCTION("""COMPUTED_VALUE"""),"hrusevevgenij54@gmail.com")</f>
        <v>hrusevevgenij54@gmail.com</v>
      </c>
      <c r="C812" s="15" t="str">
        <f ca="1">IFERROR(__xludf.DUMMYFUNCTION("""COMPUTED_VALUE"""),"+79819775921")</f>
        <v>+79819775921</v>
      </c>
      <c r="D812" s="15"/>
      <c r="E812" s="14"/>
      <c r="F812" s="8" t="str">
        <f ca="1">IFERROR(__xludf.DUMMYFUNCTION("""COMPUTED_VALUE"""),"- Тишина Челлендж (бесплатная часть)")</f>
        <v>- Тишина Челлендж (бесплатная часть)</v>
      </c>
      <c r="G812" s="1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5.5">
      <c r="A813" s="14" t="str">
        <f ca="1">IFERROR(__xludf.DUMMYFUNCTION("""COMPUTED_VALUE"""),"Khurly Zh")</f>
        <v>Khurly Zh</v>
      </c>
      <c r="B813" s="14" t="str">
        <f ca="1">IFERROR(__xludf.DUMMYFUNCTION("""COMPUTED_VALUE"""),"Hurli_joni@mail.ru")</f>
        <v>Hurli_joni@mail.ru</v>
      </c>
      <c r="C813" s="15" t="str">
        <f ca="1">IFERROR(__xludf.DUMMYFUNCTION("""COMPUTED_VALUE"""),"+998999593090")</f>
        <v>+998999593090</v>
      </c>
      <c r="D813" s="15"/>
      <c r="E813" s="14"/>
      <c r="F81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813" s="1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>
      <c r="A814" s="14" t="str">
        <f ca="1">IFERROR(__xludf.DUMMYFUNCTION("""COMPUTED_VALUE"""),"Ирина  Шапорева, Ирина Шапорева")</f>
        <v>Ирина  Шапорева, Ирина Шапорева</v>
      </c>
      <c r="B814" s="14" t="str">
        <f ca="1">IFERROR(__xludf.DUMMYFUNCTION("""COMPUTED_VALUE"""),"i_shaporeva@bk.ru")</f>
        <v>i_shaporeva@bk.ru</v>
      </c>
      <c r="C814" s="15"/>
      <c r="D814" s="15" t="str">
        <f ca="1">IFERROR(__xludf.DUMMYFUNCTION("""COMPUTED_VALUE"""),"Россия ")</f>
        <v xml:space="preserve">Россия </v>
      </c>
      <c r="E814" s="14"/>
      <c r="F814" s="8" t="str">
        <f ca="1">IFERROR(__xludf.DUMMYFUNCTION("""COMPUTED_VALUE"""),"- Челлендж Тишины")</f>
        <v>- Челлендж Тишины</v>
      </c>
      <c r="G814" s="1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>
      <c r="A815" s="14" t="str">
        <f ca="1">IFERROR(__xludf.DUMMYFUNCTION("""COMPUTED_VALUE"""),"Иван Мацола")</f>
        <v>Иван Мацола</v>
      </c>
      <c r="B815" s="14" t="str">
        <f ca="1">IFERROR(__xludf.DUMMYFUNCTION("""COMPUTED_VALUE"""),"i.macola@ukr.net0675819004")</f>
        <v>i.macola@ukr.net0675819004</v>
      </c>
      <c r="C815" s="15" t="str">
        <f ca="1">IFERROR(__xludf.DUMMYFUNCTION("""COMPUTED_VALUE"""),", 0675819004")</f>
        <v>, 0675819004</v>
      </c>
      <c r="D815" s="15" t="str">
        <f ca="1">IFERROR(__xludf.DUMMYFUNCTION("""COMPUTED_VALUE"""),"Латвия")</f>
        <v>Латвия</v>
      </c>
      <c r="E815" s="14"/>
      <c r="F815" s="8" t="str">
        <f ca="1">IFERROR(__xludf.DUMMYFUNCTION("""COMPUTED_VALUE"""),"Мероприятий не обнаружено")</f>
        <v>Мероприятий не обнаружено</v>
      </c>
      <c r="G815" s="1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>
      <c r="A816" s="14" t="str">
        <f ca="1">IFERROR(__xludf.DUMMYFUNCTION("""COMPUTED_VALUE"""),"Ирма Нюшкова")</f>
        <v>Ирма Нюшкова</v>
      </c>
      <c r="B816" s="14" t="str">
        <f ca="1">IFERROR(__xludf.DUMMYFUNCTION("""COMPUTED_VALUE"""),"i.nyushkova@rambler.ru")</f>
        <v>i.nyushkova@rambler.ru</v>
      </c>
      <c r="C816" s="15" t="str">
        <f ca="1">IFERROR(__xludf.DUMMYFUNCTION("""COMPUTED_VALUE"""),"+79106788777")</f>
        <v>+79106788777</v>
      </c>
      <c r="D816" s="15" t="str">
        <f ca="1">IFERROR(__xludf.DUMMYFUNCTION("""COMPUTED_VALUE"""),"Россия")</f>
        <v>Россия</v>
      </c>
      <c r="E816" s="14"/>
      <c r="F816" s="8" t="str">
        <f ca="1">IFERROR(__xludf.DUMMYFUNCTION("""COMPUTED_VALUE"""),"- Вебинар все о ретрите 12.2.2022")</f>
        <v>- Вебинар все о ретрите 12.2.2022</v>
      </c>
      <c r="G816" s="1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>
      <c r="A817" s="14" t="str">
        <f ca="1">IFERROR(__xludf.DUMMYFUNCTION("""COMPUTED_VALUE""")," ")</f>
        <v xml:space="preserve"> </v>
      </c>
      <c r="B817" s="14" t="str">
        <f ca="1">IFERROR(__xludf.DUMMYFUNCTION("""COMPUTED_VALUE"""),"iatmashu89@yandex.ru")</f>
        <v>iatmashu89@yandex.ru</v>
      </c>
      <c r="C817" s="15"/>
      <c r="D817" s="15"/>
      <c r="E817" s="14"/>
      <c r="F817" s="8" t="str">
        <f ca="1">IFERROR(__xludf.DUMMYFUNCTION("""COMPUTED_VALUE"""),"Мероприятий не обнаружено")</f>
        <v>Мероприятий не обнаружено</v>
      </c>
      <c r="G817" s="1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>
      <c r="A818" s="14" t="str">
        <f ca="1">IFERROR(__xludf.DUMMYFUNCTION("""COMPUTED_VALUE"""),"Олег POV")</f>
        <v>Олег POV</v>
      </c>
      <c r="B818" s="14" t="str">
        <f ca="1">IFERROR(__xludf.DUMMYFUNCTION("""COMPUTED_VALUE"""),"ibm725@mail.ru")</f>
        <v>ibm725@mail.ru</v>
      </c>
      <c r="C818" s="15" t="str">
        <f ca="1">IFERROR(__xludf.DUMMYFUNCTION("""COMPUTED_VALUE"""),"+375291234667")</f>
        <v>+375291234667</v>
      </c>
      <c r="D818" s="15" t="str">
        <f ca="1">IFERROR(__xludf.DUMMYFUNCTION("""COMPUTED_VALUE"""),"Беларусь")</f>
        <v>Беларусь</v>
      </c>
      <c r="E818" s="14"/>
      <c r="F818" s="8" t="str">
        <f ca="1">IFERROR(__xludf.DUMMYFUNCTION("""COMPUTED_VALUE"""),"- Тишина Челлендж (бесплатная часть)")</f>
        <v>- Тишина Челлендж (бесплатная часть)</v>
      </c>
      <c r="G818" s="1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>
      <c r="A819" s="14" t="str">
        <f ca="1">IFERROR(__xludf.DUMMYFUNCTION("""COMPUTED_VALUE"""),"icememory,  ")</f>
        <v xml:space="preserve">icememory,  </v>
      </c>
      <c r="B819" s="14" t="str">
        <f ca="1">IFERROR(__xludf.DUMMYFUNCTION("""COMPUTED_VALUE"""),"icememory@gmail.com")</f>
        <v>icememory@gmail.com</v>
      </c>
      <c r="C819" s="15"/>
      <c r="D819" s="15"/>
      <c r="E819" s="14"/>
      <c r="F819" s="8" t="str">
        <f ca="1">IFERROR(__xludf.DUMMYFUNCTION("""COMPUTED_VALUE"""),"- USA Челлендж Тишина")</f>
        <v>- USA Челлендж Тишина</v>
      </c>
      <c r="G819" s="1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5.5">
      <c r="A820" s="14" t="str">
        <f ca="1">IFERROR(__xludf.DUMMYFUNCTION("""COMPUTED_VALUE"""),"Ief Vancouillie")</f>
        <v>Ief Vancouillie</v>
      </c>
      <c r="B820" s="14" t="str">
        <f ca="1">IFERROR(__xludf.DUMMYFUNCTION("""COMPUTED_VALUE"""),"ief123@gmail.com")</f>
        <v>ief123@gmail.com</v>
      </c>
      <c r="C820" s="15" t="str">
        <f ca="1">IFERROR(__xludf.DUMMYFUNCTION("""COMPUTED_VALUE"""),"+32496252610")</f>
        <v>+32496252610</v>
      </c>
      <c r="D820" s="15" t="str">
        <f ca="1">IFERROR(__xludf.DUMMYFUNCTION("""COMPUTED_VALUE"""),"Бельгия")</f>
        <v>Бельгия</v>
      </c>
      <c r="E820" s="14"/>
      <c r="F820" s="8" t="str">
        <f ca="1">IFERROR(__xludf.DUMMYFUNCTION("""COMPUTED_VALUE"""),"- Онлайн курс Шаг к Пробуждению №17 2-19.4.22 Пакет стандартный")</f>
        <v>- Онлайн курс Шаг к Пробуждению №17 2-19.4.22 Пакет стандартный</v>
      </c>
      <c r="G820" s="1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5.5">
      <c r="A821" s="14" t="str">
        <f ca="1">IFERROR(__xludf.DUMMYFUNCTION("""COMPUTED_VALUE"""),"Ieva Mikijanska")</f>
        <v>Ieva Mikijanska</v>
      </c>
      <c r="B821" s="14" t="str">
        <f ca="1">IFERROR(__xludf.DUMMYFUNCTION("""COMPUTED_VALUE"""),"ieva.mikijanska@gmail.com")</f>
        <v>ieva.mikijanska@gmail.com</v>
      </c>
      <c r="C821" s="15" t="str">
        <f ca="1">IFERROR(__xludf.DUMMYFUNCTION("""COMPUTED_VALUE"""),"26479727")</f>
        <v>26479727</v>
      </c>
      <c r="D821" s="15" t="str">
        <f ca="1">IFERROR(__xludf.DUMMYFUNCTION("""COMPUTED_VALUE"""),"Латвия")</f>
        <v>Латвия</v>
      </c>
      <c r="E821" s="14"/>
      <c r="F821" s="8" t="str">
        <f ca="1">IFERROR(__xludf.DUMMYFUNCTION("""COMPUTED_VALUE"""),"- Шаг к Пробуждению №5 на латышском Латвия LV 11-18 декабря 2021 года ")</f>
        <v xml:space="preserve">- Шаг к Пробуждению №5 на латышском Латвия LV 11-18 декабря 2021 года </v>
      </c>
      <c r="G821" s="1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5.5">
      <c r="A822" s="14" t="str">
        <f ca="1">IFERROR(__xludf.DUMMYFUNCTION("""COMPUTED_VALUE"""),"Марина Блюмина")</f>
        <v>Марина Блюмина</v>
      </c>
      <c r="B822" s="14" t="str">
        <f ca="1">IFERROR(__xludf.DUMMYFUNCTION("""COMPUTED_VALUE"""),"Igilok96@gmail.com")</f>
        <v>Igilok96@gmail.com</v>
      </c>
      <c r="C822" s="15" t="str">
        <f ca="1">IFERROR(__xludf.DUMMYFUNCTION("""COMPUTED_VALUE"""),"79111362441")</f>
        <v>79111362441</v>
      </c>
      <c r="D822" s="15" t="str">
        <f ca="1">IFERROR(__xludf.DUMMYFUNCTION("""COMPUTED_VALUE"""),"Россия")</f>
        <v>Россия</v>
      </c>
      <c r="E822" s="14"/>
      <c r="F822" s="8" t="str">
        <f ca="1">IFERROR(__xludf.DUMMYFUNCTION("""COMPUTED_VALUE"""),"- Практика Тишины в Питере с В.Пулло 10.5.2022
- Тишина Челлендж (бесплатная часть)")</f>
        <v>- Практика Тишины в Питере с В.Пулло 10.5.2022
- Тишина Челлендж (бесплатная часть)</v>
      </c>
      <c r="G822" s="1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>
      <c r="A823" s="14" t="str">
        <f ca="1">IFERROR(__xludf.DUMMYFUNCTION("""COMPUTED_VALUE"""),"Игорь Сосунов")</f>
        <v>Игорь Сосунов</v>
      </c>
      <c r="B823" s="14" t="str">
        <f ca="1">IFERROR(__xludf.DUMMYFUNCTION("""COMPUTED_VALUE"""),"igor22part@gmail.com")</f>
        <v>igor22part@gmail.com</v>
      </c>
      <c r="C823" s="15" t="str">
        <f ca="1">IFERROR(__xludf.DUMMYFUNCTION("""COMPUTED_VALUE"""),"+79057123896")</f>
        <v>+79057123896</v>
      </c>
      <c r="D823" s="15" t="str">
        <f ca="1">IFERROR(__xludf.DUMMYFUNCTION("""COMPUTED_VALUE"""),"Россия")</f>
        <v>Россия</v>
      </c>
      <c r="E823" s="14"/>
      <c r="F823" s="8" t="str">
        <f ca="1">IFERROR(__xludf.DUMMYFUNCTION("""COMPUTED_VALUE"""),"- Партнерская программа")</f>
        <v>- Партнерская программа</v>
      </c>
      <c r="G823" s="1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>
      <c r="A824" s="14" t="str">
        <f ca="1">IFERROR(__xludf.DUMMYFUNCTION("""COMPUTED_VALUE"""),"Игорь Lucky Chucky Чекмарев")</f>
        <v>Игорь Lucky Chucky Чекмарев</v>
      </c>
      <c r="B824" s="14" t="str">
        <f ca="1">IFERROR(__xludf.DUMMYFUNCTION("""COMPUTED_VALUE"""),"igortchekmarev@mail.ru")</f>
        <v>igortchekmarev@mail.ru</v>
      </c>
      <c r="C824" s="15" t="str">
        <f ca="1">IFERROR(__xludf.DUMMYFUNCTION("""COMPUTED_VALUE"""),"79853648884")</f>
        <v>79853648884</v>
      </c>
      <c r="D824" s="15" t="str">
        <f ca="1">IFERROR(__xludf.DUMMYFUNCTION("""COMPUTED_VALUE"""),"Россия")</f>
        <v>Россия</v>
      </c>
      <c r="E824" s="14"/>
      <c r="F824" s="8" t="str">
        <f ca="1">IFERROR(__xludf.DUMMYFUNCTION("""COMPUTED_VALUE"""),"- Новогодний вечер в Givin School Москва 30.12.2021")</f>
        <v>- Новогодний вечер в Givin School Москва 30.12.2021</v>
      </c>
      <c r="G824" s="1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>
      <c r="A825" s="14" t="str">
        <f ca="1">IFERROR(__xludf.DUMMYFUNCTION("""COMPUTED_VALUE"""),"igortosin,  ")</f>
        <v xml:space="preserve">igortosin,  </v>
      </c>
      <c r="B825" s="14" t="str">
        <f ca="1">IFERROR(__xludf.DUMMYFUNCTION("""COMPUTED_VALUE"""),"igortosin@gmail.com")</f>
        <v>igortosin@gmail.com</v>
      </c>
      <c r="C825" s="15"/>
      <c r="D825" s="15"/>
      <c r="E825" s="14"/>
      <c r="F825" s="8" t="str">
        <f ca="1">IFERROR(__xludf.DUMMYFUNCTION("""COMPUTED_VALUE"""),"- USA Челлендж Тишина")</f>
        <v>- USA Челлендж Тишина</v>
      </c>
      <c r="G825" s="1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>
      <c r="A826" s="14" t="str">
        <f ca="1">IFERROR(__xludf.DUMMYFUNCTION("""COMPUTED_VALUE"""),"Артур Болдырев")</f>
        <v>Артур Болдырев</v>
      </c>
      <c r="B826" s="14" t="str">
        <f ca="1">IFERROR(__xludf.DUMMYFUNCTION("""COMPUTED_VALUE"""),"ikhujo48@gmail.com")</f>
        <v>ikhujo48@gmail.com</v>
      </c>
      <c r="C826" s="15" t="str">
        <f ca="1">IFERROR(__xludf.DUMMYFUNCTION("""COMPUTED_VALUE"""),"+79633554557")</f>
        <v>+79633554557</v>
      </c>
      <c r="D826" s="15" t="str">
        <f ca="1">IFERROR(__xludf.DUMMYFUNCTION("""COMPUTED_VALUE"""),"Россия")</f>
        <v>Россия</v>
      </c>
      <c r="E826" s="14"/>
      <c r="F826" s="8" t="str">
        <f ca="1">IFERROR(__xludf.DUMMYFUNCTION("""COMPUTED_VALUE"""),"- Вводный вебинар 3.5.22 на Шаг к Пробуждению")</f>
        <v>- Вводный вебинар 3.5.22 на Шаг к Пробуждению</v>
      </c>
      <c r="G826" s="1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>
      <c r="A827" s="14" t="str">
        <f ca="1">IFERROR(__xludf.DUMMYFUNCTION("""COMPUTED_VALUE"""),"Валерия Нехвядович")</f>
        <v>Валерия Нехвядович</v>
      </c>
      <c r="B827" s="14" t="str">
        <f ca="1">IFERROR(__xludf.DUMMYFUNCTION("""COMPUTED_VALUE"""),"ileran2000@mail.ru")</f>
        <v>ileran2000@mail.ru</v>
      </c>
      <c r="C827" s="15" t="str">
        <f ca="1">IFERROR(__xludf.DUMMYFUNCTION("""COMPUTED_VALUE"""),", 375447263309")</f>
        <v>, 375447263309</v>
      </c>
      <c r="D827" s="15" t="str">
        <f ca="1">IFERROR(__xludf.DUMMYFUNCTION("""COMPUTED_VALUE"""),"Беларусь")</f>
        <v>Беларусь</v>
      </c>
      <c r="E827" s="14"/>
      <c r="F827" s="8" t="str">
        <f ca="1">IFERROR(__xludf.DUMMYFUNCTION("""COMPUTED_VALUE"""),"Мероприятий не обнаружено")</f>
        <v>Мероприятий не обнаружено</v>
      </c>
      <c r="G827" s="1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>
      <c r="A828" s="14" t="str">
        <f ca="1">IFERROR(__xludf.DUMMYFUNCTION("""COMPUTED_VALUE"""),"Илиана Ар")</f>
        <v>Илиана Ар</v>
      </c>
      <c r="B828" s="14" t="str">
        <f ca="1">IFERROR(__xludf.DUMMYFUNCTION("""COMPUTED_VALUE"""),"iliana-l@mail.ru")</f>
        <v>iliana-l@mail.ru</v>
      </c>
      <c r="C828" s="15"/>
      <c r="D828" s="15" t="str">
        <f ca="1">IFERROR(__xludf.DUMMYFUNCTION("""COMPUTED_VALUE"""),"Германия")</f>
        <v>Германия</v>
      </c>
      <c r="E828" s="14"/>
      <c r="F828" s="8" t="str">
        <f ca="1">IFERROR(__xludf.DUMMYFUNCTION("""COMPUTED_VALUE"""),"- Тишина Челлендж (бесплатная часть)")</f>
        <v>- Тишина Челлендж (бесплатная часть)</v>
      </c>
      <c r="G828" s="1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5.5">
      <c r="A829" s="14" t="str">
        <f ca="1">IFERROR(__xludf.DUMMYFUNCTION("""COMPUTED_VALUE"""),"Ильназ Фаткуллин")</f>
        <v>Ильназ Фаткуллин</v>
      </c>
      <c r="B829" s="14" t="str">
        <f ca="1">IFERROR(__xludf.DUMMYFUNCTION("""COMPUTED_VALUE"""),"ilnazfatkullin17@gmail.com")</f>
        <v>ilnazfatkullin17@gmail.com</v>
      </c>
      <c r="C829" s="15" t="str">
        <f ca="1">IFERROR(__xludf.DUMMYFUNCTION("""COMPUTED_VALUE"""),"8917352754")</f>
        <v>8917352754</v>
      </c>
      <c r="D829" s="15" t="str">
        <f ca="1">IFERROR(__xludf.DUMMYFUNCTION("""COMPUTED_VALUE"""),"Россия")</f>
        <v>Россия</v>
      </c>
      <c r="E829" s="14"/>
      <c r="F829" s="8" t="str">
        <f ca="1">IFERROR(__xludf.DUMMYFUNCTION("""COMPUTED_VALUE"""),"- Тишина Челлендж (бесплатная часть)
- Вводный вебинар 3.5.22 на Шаг к Пробуждению")</f>
        <v>- Тишина Челлендж (бесплатная часть)
- Вводный вебинар 3.5.22 на Шаг к Пробуждению</v>
      </c>
      <c r="G829" s="1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>
      <c r="A830" s="14" t="str">
        <f ca="1">IFERROR(__xludf.DUMMYFUNCTION("""COMPUTED_VALUE"""),"Ильнур Юсупов")</f>
        <v>Ильнур Юсупов</v>
      </c>
      <c r="B830" s="14" t="str">
        <f ca="1">IFERROR(__xludf.DUMMYFUNCTION("""COMPUTED_VALUE"""),"ilnurbiz87@gmail.com")</f>
        <v>ilnurbiz87@gmail.com</v>
      </c>
      <c r="C830" s="15" t="str">
        <f ca="1">IFERROR(__xludf.DUMMYFUNCTION("""COMPUTED_VALUE"""),"44444444")</f>
        <v>44444444</v>
      </c>
      <c r="D830" s="15"/>
      <c r="E830" s="14"/>
      <c r="F830" s="8" t="str">
        <f ca="1">IFERROR(__xludf.DUMMYFUNCTION("""COMPUTED_VALUE"""),"- Партнерская программа")</f>
        <v>- Партнерская программа</v>
      </c>
      <c r="G830" s="1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38.25">
      <c r="A831" s="14" t="str">
        <f ca="1">IFERROR(__xludf.DUMMYFUNCTION("""COMPUTED_VALUE"""),"Ильнура Фаттахова")</f>
        <v>Ильнура Фаттахова</v>
      </c>
      <c r="B831" s="14" t="str">
        <f ca="1">IFERROR(__xludf.DUMMYFUNCTION("""COMPUTED_VALUE"""),"ilnuro4ka01@gmail.com")</f>
        <v>ilnuro4ka01@gmail.com</v>
      </c>
      <c r="C831" s="15" t="str">
        <f ca="1">IFERROR(__xludf.DUMMYFUNCTION("""COMPUTED_VALUE"""),"+998935661473")</f>
        <v>+998935661473</v>
      </c>
      <c r="D831" s="15" t="str">
        <f ca="1">IFERROR(__xludf.DUMMYFUNCTION("""COMPUTED_VALUE"""),"Узбекистан")</f>
        <v>Узбекистан</v>
      </c>
      <c r="E831" s="14"/>
      <c r="F831" s="8" t="str">
        <f ca="1">IFERROR(__xludf.DUMMYFUNCTION("""COMPUTED_VALUE"""),"- Марафон Тишины - Тишина челлендж: Урал, Казахстан, Узбекистан 25-29.04.2022
- Тишина Челлендж (бесплатная часть)")</f>
        <v>- Марафон Тишины - Тишина челлендж: Урал, Казахстан, Узбекистан 25-29.04.2022
- Тишина Челлендж (бесплатная часть)</v>
      </c>
      <c r="G831" s="1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>
      <c r="A832" s="14" t="str">
        <f ca="1">IFERROR(__xludf.DUMMYFUNCTION("""COMPUTED_VALUE"""),"Ilona Ignatjeva")</f>
        <v>Ilona Ignatjeva</v>
      </c>
      <c r="B832" s="14" t="str">
        <f ca="1">IFERROR(__xludf.DUMMYFUNCTION("""COMPUTED_VALUE"""),"ilonaig@yahoo.com")</f>
        <v>ilonaig@yahoo.com</v>
      </c>
      <c r="C832" s="15" t="str">
        <f ca="1">IFERROR(__xludf.DUMMYFUNCTION("""COMPUTED_VALUE"""),", 8583536253")</f>
        <v>, 8583536253</v>
      </c>
      <c r="D832" s="15" t="str">
        <f ca="1">IFERROR(__xludf.DUMMYFUNCTION("""COMPUTED_VALUE"""),"United States")</f>
        <v>United States</v>
      </c>
      <c r="E832" s="14"/>
      <c r="F832" s="8" t="str">
        <f ca="1">IFERROR(__xludf.DUMMYFUNCTION("""COMPUTED_VALUE"""),"Мероприятий не обнаружено")</f>
        <v>Мероприятий не обнаружено</v>
      </c>
      <c r="G832" s="1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51">
      <c r="A833" s="14" t="str">
        <f ca="1">IFERROR(__xludf.DUMMYFUNCTION("""COMPUTED_VALUE"""),"Ilona Jansone")</f>
        <v>Ilona Jansone</v>
      </c>
      <c r="B833" s="14" t="str">
        <f ca="1">IFERROR(__xludf.DUMMYFUNCTION("""COMPUTED_VALUE"""),"ilonaijansonei@gmail.com")</f>
        <v>ilonaijansonei@gmail.com</v>
      </c>
      <c r="C833" s="15" t="str">
        <f ca="1">IFERROR(__xludf.DUMMYFUNCTION("""COMPUTED_VALUE"""),"+37129121788")</f>
        <v>+37129121788</v>
      </c>
      <c r="D833" s="15" t="str">
        <f ca="1">IFERROR(__xludf.DUMMYFUNCTION("""COMPUTED_VALUE"""),"Латвия")</f>
        <v>Латвия</v>
      </c>
      <c r="E833" s="14"/>
      <c r="F833" s="8" t="str">
        <f ca="1">IFERROR(__xludf.DUMMYFUNCTION("""COMPUTED_VALUE"""),"- Шаг к Пробуждению №5 на латышском Латвия LV 11-18 декабря 2021 года 
- ретрит ЕВРОПЕЙСКИЙ 14-21.1.2022 Латвия (цена- 390€) 
- Ретрит ""Проектная деятельность"" для участников ретритов")</f>
        <v>- Шаг к Пробуждению №5 на латышском Латвия LV 11-18 декабря 2021 года 
- ретрит ЕВРОПЕЙСКИЙ 14-21.1.2022 Латвия (цена- 390€) 
- Ретрит "Проектная деятельность" для участников ретритов</v>
      </c>
      <c r="G833" s="1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>
      <c r="A834" s="14" t="str">
        <f ca="1">IFERROR(__xludf.DUMMYFUNCTION("""COMPUTED_VALUE"""),"Ильсеяр Соколова")</f>
        <v>Ильсеяр Соколова</v>
      </c>
      <c r="B834" s="14" t="str">
        <f ca="1">IFERROR(__xludf.DUMMYFUNCTION("""COMPUTED_VALUE"""),"ilsik_ya@mail.ru")</f>
        <v>ilsik_ya@mail.ru</v>
      </c>
      <c r="C834" s="15" t="str">
        <f ca="1">IFERROR(__xludf.DUMMYFUNCTION("""COMPUTED_VALUE"""),"79375724512")</f>
        <v>79375724512</v>
      </c>
      <c r="D834" s="15" t="str">
        <f ca="1">IFERROR(__xludf.DUMMYFUNCTION("""COMPUTED_VALUE"""),"Россия")</f>
        <v>Россия</v>
      </c>
      <c r="E834" s="14"/>
      <c r="F834" s="8" t="str">
        <f ca="1">IFERROR(__xludf.DUMMYFUNCTION("""COMPUTED_VALUE"""),"- Тишина Челлендж (бесплатная часть)")</f>
        <v>- Тишина Челлендж (бесплатная часть)</v>
      </c>
      <c r="G834" s="1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>
      <c r="A835" s="14" t="str">
        <f ca="1">IFERROR(__xludf.DUMMYFUNCTION("""COMPUTED_VALUE"""),"B B")</f>
        <v>B B</v>
      </c>
      <c r="B835" s="14" t="str">
        <f ca="1">IFERROR(__xludf.DUMMYFUNCTION("""COMPUTED_VALUE"""),"ilyaputilin@ymail.com")</f>
        <v>ilyaputilin@ymail.com</v>
      </c>
      <c r="C835" s="15" t="str">
        <f ca="1">IFERROR(__xludf.DUMMYFUNCTION("""COMPUTED_VALUE"""),"8946")</f>
        <v>8946</v>
      </c>
      <c r="D835" s="15" t="str">
        <f ca="1">IFERROR(__xludf.DUMMYFUNCTION("""COMPUTED_VALUE"""),"Россия")</f>
        <v>Россия</v>
      </c>
      <c r="E835" s="14"/>
      <c r="F835" s="8" t="str">
        <f ca="1">IFERROR(__xludf.DUMMYFUNCTION("""COMPUTED_VALUE"""),"- Новогодний Интенсив Алматы-онлайн 17-19.12.2021")</f>
        <v>- Новогодний Интенсив Алматы-онлайн 17-19.12.2021</v>
      </c>
      <c r="G835" s="1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38.25">
      <c r="A836" s="14" t="str">
        <f ca="1">IFERROR(__xludf.DUMMYFUNCTION("""COMPUTED_VALUE"""),"Ilze Jekuma")</f>
        <v>Ilze Jekuma</v>
      </c>
      <c r="B836" s="14" t="str">
        <f ca="1">IFERROR(__xludf.DUMMYFUNCTION("""COMPUTED_VALUE"""),"ilze.jekuma@inbox.lv")</f>
        <v>ilze.jekuma@inbox.lv</v>
      </c>
      <c r="C836" s="15" t="str">
        <f ca="1">IFERROR(__xludf.DUMMYFUNCTION("""COMPUTED_VALUE"""),"+37129355632")</f>
        <v>+37129355632</v>
      </c>
      <c r="D836" s="15" t="str">
        <f ca="1">IFERROR(__xludf.DUMMYFUNCTION("""COMPUTED_VALUE"""),"Latvija")</f>
        <v>Latvija</v>
      </c>
      <c r="E836" s="14"/>
      <c r="F836" s="8" t="str">
        <f ca="1">IFERROR(__xludf.DUMMYFUNCTION("""COMPUTED_VALUE"""),"- ретрит ЕВРОПЕЙСКИЙ 14-21.1.2022 Латвия (цена- 390€) 
- Ретрит ""Проектная деятельность"" для участников ретритов
- Европейский Онлайн Интенсив 4-6.03.2022")</f>
        <v>- ретрит ЕВРОПЕЙСКИЙ 14-21.1.2022 Латвия (цена- 390€) 
- Ретрит "Проектная деятельность" для участников ретритов
- Европейский Онлайн Интенсив 4-6.03.2022</v>
      </c>
      <c r="G836" s="1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>
      <c r="A837" s="14" t="str">
        <f ca="1">IFERROR(__xludf.DUMMYFUNCTION("""COMPUTED_VALUE"""),"Динара Иманбердиева")</f>
        <v>Динара Иманбердиева</v>
      </c>
      <c r="B837" s="14" t="str">
        <f ca="1">IFERROR(__xludf.DUMMYFUNCTION("""COMPUTED_VALUE"""),"Imanberdydinara@gmail.com")</f>
        <v>Imanberdydinara@gmail.com</v>
      </c>
      <c r="C837" s="15"/>
      <c r="D837" s="15" t="str">
        <f ca="1">IFERROR(__xludf.DUMMYFUNCTION("""COMPUTED_VALUE"""),"Швеция")</f>
        <v>Швеция</v>
      </c>
      <c r="E837" s="14"/>
      <c r="F837" s="8" t="str">
        <f ca="1">IFERROR(__xludf.DUMMYFUNCTION("""COMPUTED_VALUE"""),"- Тишина Челлендж (бесплатная часть)")</f>
        <v>- Тишина Челлендж (бесплатная часть)</v>
      </c>
      <c r="G837" s="1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>
      <c r="A838" s="14" t="str">
        <f ca="1">IFERROR(__xludf.DUMMYFUNCTION("""COMPUTED_VALUE"""),"Инобат Иманкулова")</f>
        <v>Инобат Иманкулова</v>
      </c>
      <c r="B838" s="14" t="str">
        <f ca="1">IFERROR(__xludf.DUMMYFUNCTION("""COMPUTED_VALUE"""),"imankulivainobat5@gmail.com")</f>
        <v>imankulivainobat5@gmail.com</v>
      </c>
      <c r="C838" s="15" t="str">
        <f ca="1">IFERROR(__xludf.DUMMYFUNCTION("""COMPUTED_VALUE"""),", +998931080907")</f>
        <v>, +998931080907</v>
      </c>
      <c r="D838" s="15" t="str">
        <f ca="1">IFERROR(__xludf.DUMMYFUNCTION("""COMPUTED_VALUE"""),"Россия")</f>
        <v>Россия</v>
      </c>
      <c r="E838" s="14"/>
      <c r="F838" s="8" t="str">
        <f ca="1">IFERROR(__xludf.DUMMYFUNCTION("""COMPUTED_VALUE"""),"Мероприятий не обнаружено")</f>
        <v>Мероприятий не обнаружено</v>
      </c>
      <c r="G838" s="1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>
      <c r="A839" s="14" t="str">
        <f ca="1">IFERROR(__xludf.DUMMYFUNCTION("""COMPUTED_VALUE"""),"Дмитрий Герасимов")</f>
        <v>Дмитрий Герасимов</v>
      </c>
      <c r="B839" s="14" t="str">
        <f ca="1">IFERROR(__xludf.DUMMYFUNCTION("""COMPUTED_VALUE"""),"imperr91@gmail.com")</f>
        <v>imperr91@gmail.com</v>
      </c>
      <c r="C839" s="15" t="str">
        <f ca="1">IFERROR(__xludf.DUMMYFUNCTION("""COMPUTED_VALUE"""),"+375298394150")</f>
        <v>+375298394150</v>
      </c>
      <c r="D839" s="15" t="str">
        <f ca="1">IFERROR(__xludf.DUMMYFUNCTION("""COMPUTED_VALUE"""),"Беларусь")</f>
        <v>Беларусь</v>
      </c>
      <c r="E839" s="14"/>
      <c r="F839" s="8" t="str">
        <f ca="1">IFERROR(__xludf.DUMMYFUNCTION("""COMPUTED_VALUE"""),"- Чайная встреча в Минске 8.1.22")</f>
        <v>- Чайная встреча в Минске 8.1.22</v>
      </c>
      <c r="G839" s="1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>
      <c r="A840" s="14" t="str">
        <f ca="1">IFERROR(__xludf.DUMMYFUNCTION("""COMPUTED_VALUE"""),"Алекс Сандар")</f>
        <v>Алекс Сандар</v>
      </c>
      <c r="B840" s="14" t="str">
        <f ca="1">IFERROR(__xludf.DUMMYFUNCTION("""COMPUTED_VALUE"""),"ind.touragent@gmail.com")</f>
        <v>ind.touragent@gmail.com</v>
      </c>
      <c r="C840" s="15" t="str">
        <f ca="1">IFERROR(__xludf.DUMMYFUNCTION("""COMPUTED_VALUE"""),"+380949955001")</f>
        <v>+380949955001</v>
      </c>
      <c r="D840" s="15" t="str">
        <f ca="1">IFERROR(__xludf.DUMMYFUNCTION("""COMPUTED_VALUE"""),"Россия")</f>
        <v>Россия</v>
      </c>
      <c r="E840" s="14"/>
      <c r="F840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840" s="1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5.5">
      <c r="A841" s="14" t="str">
        <f ca="1">IFERROR(__xludf.DUMMYFUNCTION("""COMPUTED_VALUE"""),"Индира Ахмаджанова")</f>
        <v>Индира Ахмаджанова</v>
      </c>
      <c r="B841" s="14" t="str">
        <f ca="1">IFERROR(__xludf.DUMMYFUNCTION("""COMPUTED_VALUE"""),"Indimod78@gmail.com")</f>
        <v>Indimod78@gmail.com</v>
      </c>
      <c r="C841" s="15" t="str">
        <f ca="1">IFERROR(__xludf.DUMMYFUNCTION("""COMPUTED_VALUE"""),"+998946130628")</f>
        <v>+998946130628</v>
      </c>
      <c r="D841" s="15"/>
      <c r="E841" s="14"/>
      <c r="F84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841" s="1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5.5">
      <c r="A842" s="14" t="str">
        <f ca="1">IFERROR(__xludf.DUMMYFUNCTION("""COMPUTED_VALUE"""),"Нозима Адизова")</f>
        <v>Нозима Адизова</v>
      </c>
      <c r="B842" s="14" t="str">
        <f ca="1">IFERROR(__xludf.DUMMYFUNCTION("""COMPUTED_VALUE"""),"inelly986@gmail.com")</f>
        <v>inelly986@gmail.com</v>
      </c>
      <c r="C842" s="15" t="str">
        <f ca="1">IFERROR(__xludf.DUMMYFUNCTION("""COMPUTED_VALUE"""),"+998904150701")</f>
        <v>+998904150701</v>
      </c>
      <c r="D842" s="15"/>
      <c r="E842" s="14"/>
      <c r="F84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842" s="1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5.5">
      <c r="A843" s="14" t="str">
        <f ca="1">IFERROR(__xludf.DUMMYFUNCTION("""COMPUTED_VALUE"""),"Inese Kanska-Gelo")</f>
        <v>Inese Kanska-Gelo</v>
      </c>
      <c r="B843" s="14" t="str">
        <f ca="1">IFERROR(__xludf.DUMMYFUNCTION("""COMPUTED_VALUE"""),"inese.kanska@gmail.com")</f>
        <v>inese.kanska@gmail.com</v>
      </c>
      <c r="C843" s="15" t="str">
        <f ca="1">IFERROR(__xludf.DUMMYFUNCTION("""COMPUTED_VALUE"""),"28371414")</f>
        <v>28371414</v>
      </c>
      <c r="D843" s="15" t="str">
        <f ca="1">IFERROR(__xludf.DUMMYFUNCTION("""COMPUTED_VALUE"""),"Латвия")</f>
        <v>Латвия</v>
      </c>
      <c r="E843" s="14"/>
      <c r="F843" s="8" t="str">
        <f ca="1">IFERROR(__xludf.DUMMYFUNCTION("""COMPUTED_VALUE"""),"- Шаг к Пробуждению №5 на латышском Латвия LV 11-18 декабря 2021 года ")</f>
        <v xml:space="preserve">- Шаг к Пробуждению №5 на латышском Латвия LV 11-18 декабря 2021 года </v>
      </c>
      <c r="G843" s="1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>
      <c r="A844" s="14" t="str">
        <f ca="1">IFERROR(__xludf.DUMMYFUNCTION("""COMPUTED_VALUE"""),"inet2453380,  ")</f>
        <v xml:space="preserve">inet2453380,  </v>
      </c>
      <c r="B844" s="14" t="str">
        <f ca="1">IFERROR(__xludf.DUMMYFUNCTION("""COMPUTED_VALUE"""),"inet2453380@gmail.com")</f>
        <v>inet2453380@gmail.com</v>
      </c>
      <c r="C844" s="15"/>
      <c r="D844" s="15"/>
      <c r="E844" s="14"/>
      <c r="F844" s="8" t="str">
        <f ca="1">IFERROR(__xludf.DUMMYFUNCTION("""COMPUTED_VALUE"""),"- USA Челлендж Тишина")</f>
        <v>- USA Челлендж Тишина</v>
      </c>
      <c r="G844" s="1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>
      <c r="A845" s="14" t="str">
        <f ca="1">IFERROR(__xludf.DUMMYFUNCTION("""COMPUTED_VALUE"""),"Михаил Шавлюк")</f>
        <v>Михаил Шавлюк</v>
      </c>
      <c r="B845" s="14" t="str">
        <f ca="1">IFERROR(__xludf.DUMMYFUNCTION("""COMPUTED_VALUE"""),"Ineyqq@gmail.com")</f>
        <v>Ineyqq@gmail.com</v>
      </c>
      <c r="C845" s="15" t="str">
        <f ca="1">IFERROR(__xludf.DUMMYFUNCTION("""COMPUTED_VALUE"""),"+375291328065")</f>
        <v>+375291328065</v>
      </c>
      <c r="D845" s="15" t="str">
        <f ca="1">IFERROR(__xludf.DUMMYFUNCTION("""COMPUTED_VALUE"""),"Беларусь")</f>
        <v>Беларусь</v>
      </c>
      <c r="E845" s="14"/>
      <c r="F845" s="8" t="str">
        <f ca="1">IFERROR(__xludf.DUMMYFUNCTION("""COMPUTED_VALUE"""),"- Чайная встреча Разговор по душам Минск 11.12.2021")</f>
        <v>- Чайная встреча Разговор по душам Минск 11.12.2021</v>
      </c>
      <c r="G845" s="1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>
      <c r="A846" s="14" t="str">
        <f ca="1">IFERROR(__xludf.DUMMYFUNCTION("""COMPUTED_VALUE"""),"Ольга Словеснова")</f>
        <v>Ольга Словеснова</v>
      </c>
      <c r="B846" s="14" t="str">
        <f ca="1">IFERROR(__xludf.DUMMYFUNCTION("""COMPUTED_VALUE"""),"info-rouse@mail.ru")</f>
        <v>info-rouse@mail.ru</v>
      </c>
      <c r="C846" s="15" t="str">
        <f ca="1">IFERROR(__xludf.DUMMYFUNCTION("""COMPUTED_VALUE"""),"+79959623857")</f>
        <v>+79959623857</v>
      </c>
      <c r="D846" s="15" t="str">
        <f ca="1">IFERROR(__xludf.DUMMYFUNCTION("""COMPUTED_VALUE"""),"Россия")</f>
        <v>Россия</v>
      </c>
      <c r="E846" s="14"/>
      <c r="F846" s="8" t="str">
        <f ca="1">IFERROR(__xludf.DUMMYFUNCTION("""COMPUTED_VALUE"""),"- Тишина Челлендж (бесплатная часть)")</f>
        <v>- Тишина Челлендж (бесплатная часть)</v>
      </c>
      <c r="G846" s="1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>
      <c r="A847" s="14" t="str">
        <f ca="1">IFERROR(__xludf.DUMMYFUNCTION("""COMPUTED_VALUE"""),"Daine Noru")</f>
        <v>Daine Noru</v>
      </c>
      <c r="B847" s="14" t="str">
        <f ca="1">IFERROR(__xludf.DUMMYFUNCTION("""COMPUTED_VALUE"""),"Info@donaja.eu")</f>
        <v>Info@donaja.eu</v>
      </c>
      <c r="C847" s="15" t="str">
        <f ca="1">IFERROR(__xludf.DUMMYFUNCTION("""COMPUTED_VALUE"""),"+37065984725")</f>
        <v>+37065984725</v>
      </c>
      <c r="D847" s="15" t="str">
        <f ca="1">IFERROR(__xludf.DUMMYFUNCTION("""COMPUTED_VALUE"""),"Литва")</f>
        <v>Литва</v>
      </c>
      <c r="E847" s="14"/>
      <c r="F847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847" s="1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>
      <c r="A848" s="14" t="str">
        <f ca="1">IFERROR(__xludf.DUMMYFUNCTION("""COMPUTED_VALUE"""),"David Daraselia")</f>
        <v>David Daraselia</v>
      </c>
      <c r="B848" s="14" t="str">
        <f ca="1">IFERROR(__xludf.DUMMYFUNCTION("""COMPUTED_VALUE"""),"info@eto-razvod.ru")</f>
        <v>info@eto-razvod.ru</v>
      </c>
      <c r="C848" s="15" t="str">
        <f ca="1">IFERROR(__xludf.DUMMYFUNCTION("""COMPUTED_VALUE"""),", 79242275941")</f>
        <v>, 79242275941</v>
      </c>
      <c r="D848" s="15" t="str">
        <f ca="1">IFERROR(__xludf.DUMMYFUNCTION("""COMPUTED_VALUE"""),"Румыния")</f>
        <v>Румыния</v>
      </c>
      <c r="E848" s="14"/>
      <c r="F848" s="8" t="str">
        <f ca="1">IFERROR(__xludf.DUMMYFUNCTION("""COMPUTED_VALUE"""),"Мероприятий не обнаружено")</f>
        <v>Мероприятий не обнаружено</v>
      </c>
      <c r="G848" s="1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>
      <c r="A849" s="14" t="str">
        <f ca="1">IFERROR(__xludf.DUMMYFUNCTION("""COMPUTED_VALUE"""),"Сергей Черницкий")</f>
        <v>Сергей Черницкий</v>
      </c>
      <c r="B849" s="14" t="str">
        <f ca="1">IFERROR(__xludf.DUMMYFUNCTION("""COMPUTED_VALUE"""),"Info@polugar.com")</f>
        <v>Info@polugar.com</v>
      </c>
      <c r="C849" s="15" t="str">
        <f ca="1">IFERROR(__xludf.DUMMYFUNCTION("""COMPUTED_VALUE"""),", +79097770030")</f>
        <v>, +79097770030</v>
      </c>
      <c r="D849" s="15" t="str">
        <f ca="1">IFERROR(__xludf.DUMMYFUNCTION("""COMPUTED_VALUE"""),"Россия")</f>
        <v>Россия</v>
      </c>
      <c r="E849" s="14"/>
      <c r="F849" s="8" t="str">
        <f ca="1">IFERROR(__xludf.DUMMYFUNCTION("""COMPUTED_VALUE"""),"Мероприятий не обнаружено")</f>
        <v>Мероприятий не обнаружено</v>
      </c>
      <c r="G849" s="1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>
      <c r="A850" s="14" t="str">
        <f ca="1">IFERROR(__xludf.DUMMYFUNCTION("""COMPUTED_VALUE"""),"Лейла Я")</f>
        <v>Лейла Я</v>
      </c>
      <c r="B850" s="14" t="str">
        <f ca="1">IFERROR(__xludf.DUMMYFUNCTION("""COMPUTED_VALUE"""),"Info12345@list.ru")</f>
        <v>Info12345@list.ru</v>
      </c>
      <c r="C850" s="15" t="str">
        <f ca="1">IFERROR(__xludf.DUMMYFUNCTION("""COMPUTED_VALUE"""),", +998971575910")</f>
        <v>, +998971575910</v>
      </c>
      <c r="D850" s="15"/>
      <c r="E850" s="14"/>
      <c r="F850" s="8" t="str">
        <f ca="1">IFERROR(__xludf.DUMMYFUNCTION("""COMPUTED_VALUE"""),"Мероприятий не обнаружено")</f>
        <v>Мероприятий не обнаружено</v>
      </c>
      <c r="G850" s="1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>
      <c r="A851" s="14" t="str">
        <f ca="1">IFERROR(__xludf.DUMMYFUNCTION("""COMPUTED_VALUE"""),"Олег Анисимов")</f>
        <v>Олег Анисимов</v>
      </c>
      <c r="B851" s="14" t="str">
        <f ca="1">IFERROR(__xludf.DUMMYFUNCTION("""COMPUTED_VALUE"""),"ing430@mail.ru")</f>
        <v>ing430@mail.ru</v>
      </c>
      <c r="C851" s="15" t="str">
        <f ca="1">IFERROR(__xludf.DUMMYFUNCTION("""COMPUTED_VALUE"""),"79282945028")</f>
        <v>79282945028</v>
      </c>
      <c r="D851" s="15"/>
      <c r="E851" s="14"/>
      <c r="F851" s="8" t="str">
        <f ca="1">IFERROR(__xludf.DUMMYFUNCTION("""COMPUTED_VALUE"""),"- Партнерская программа")</f>
        <v>- Партнерская программа</v>
      </c>
      <c r="G851" s="1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5.5">
      <c r="A852" s="14" t="str">
        <f ca="1">IFERROR(__xludf.DUMMYFUNCTION("""COMPUTED_VALUE"""),"Inga Kozaka")</f>
        <v>Inga Kozaka</v>
      </c>
      <c r="B852" s="14" t="str">
        <f ca="1">IFERROR(__xludf.DUMMYFUNCTION("""COMPUTED_VALUE"""),"inga.kozaka@gmail.com")</f>
        <v>inga.kozaka@gmail.com</v>
      </c>
      <c r="C852" s="15" t="str">
        <f ca="1">IFERROR(__xludf.DUMMYFUNCTION("""COMPUTED_VALUE"""),"+37129197225")</f>
        <v>+37129197225</v>
      </c>
      <c r="D852" s="15" t="str">
        <f ca="1">IFERROR(__xludf.DUMMYFUNCTION("""COMPUTED_VALUE"""),"Латвия")</f>
        <v>Латвия</v>
      </c>
      <c r="E852" s="14"/>
      <c r="F852" s="8" t="str">
        <f ca="1">IFERROR(__xludf.DUMMYFUNCTION("""COMPUTED_VALUE"""),"- Шаг к Пробуждению №5 на латышском Латвия LV 11-18 декабря 2021 года ")</f>
        <v xml:space="preserve">- Шаг к Пробуждению №5 на латышском Латвия LV 11-18 декабря 2021 года </v>
      </c>
      <c r="G852" s="1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>
      <c r="A853" s="14" t="str">
        <f ca="1">IFERROR(__xludf.DUMMYFUNCTION("""COMPUTED_VALUE"""),"Инга Габ")</f>
        <v>Инга Габ</v>
      </c>
      <c r="B853" s="14" t="str">
        <f ca="1">IFERROR(__xludf.DUMMYFUNCTION("""COMPUTED_VALUE"""),"Inga250@yandex.ru")</f>
        <v>Inga250@yandex.ru</v>
      </c>
      <c r="C853" s="15" t="str">
        <f ca="1">IFERROR(__xludf.DUMMYFUNCTION("""COMPUTED_VALUE"""),"+375336958519")</f>
        <v>+375336958519</v>
      </c>
      <c r="D853" s="15" t="str">
        <f ca="1">IFERROR(__xludf.DUMMYFUNCTION("""COMPUTED_VALUE"""),"Беларусь")</f>
        <v>Беларусь</v>
      </c>
      <c r="E853" s="14"/>
      <c r="F853" s="8" t="str">
        <f ca="1">IFERROR(__xludf.DUMMYFUNCTION("""COMPUTED_VALUE"""),"- Практика Тишины общая платная")</f>
        <v>- Практика Тишины общая платная</v>
      </c>
      <c r="G853" s="1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>
      <c r="A854" s="14" t="str">
        <f ca="1">IFERROR(__xludf.DUMMYFUNCTION("""COMPUTED_VALUE"""),"ingakoleda75,  ")</f>
        <v xml:space="preserve">ingakoleda75,  </v>
      </c>
      <c r="B854" s="14" t="str">
        <f ca="1">IFERROR(__xludf.DUMMYFUNCTION("""COMPUTED_VALUE"""),"ingakoleda75@gmail.com")</f>
        <v>ingakoleda75@gmail.com</v>
      </c>
      <c r="C854" s="15"/>
      <c r="D854" s="15" t="str">
        <f ca="1">IFERROR(__xludf.DUMMYFUNCTION("""COMPUTED_VALUE"""),"США")</f>
        <v>США</v>
      </c>
      <c r="E854" s="14"/>
      <c r="F854" s="8" t="str">
        <f ca="1">IFERROR(__xludf.DUMMYFUNCTION("""COMPUTED_VALUE"""),"- USA Челлендж Тишина")</f>
        <v>- USA Челлендж Тишина</v>
      </c>
      <c r="G854" s="1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>
      <c r="A855" s="14" t="str">
        <f ca="1">IFERROR(__xludf.DUMMYFUNCTION("""COMPUTED_VALUE"""),"Инга Буравлева")</f>
        <v>Инга Буравлева</v>
      </c>
      <c r="B855" s="14" t="str">
        <f ca="1">IFERROR(__xludf.DUMMYFUNCTION("""COMPUTED_VALUE"""),"inmagica@yandex.ru")</f>
        <v>inmagica@yandex.ru</v>
      </c>
      <c r="C855" s="15" t="str">
        <f ca="1">IFERROR(__xludf.DUMMYFUNCTION("""COMPUTED_VALUE"""),"+79884712219")</f>
        <v>+79884712219</v>
      </c>
      <c r="D855" s="15" t="str">
        <f ca="1">IFERROR(__xludf.DUMMYFUNCTION("""COMPUTED_VALUE"""),"Россия")</f>
        <v>Россия</v>
      </c>
      <c r="E855" s="14"/>
      <c r="F855" s="8" t="str">
        <f ca="1">IFERROR(__xludf.DUMMYFUNCTION("""COMPUTED_VALUE"""),"- Однодневный онлайн ретрит (в зале) 14 мая 2022")</f>
        <v>- Однодневный онлайн ретрит (в зале) 14 мая 2022</v>
      </c>
      <c r="G855" s="1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>
      <c r="A856" s="14" t="str">
        <f ca="1">IFERROR(__xludf.DUMMYFUNCTION("""COMPUTED_VALUE"""),"innanak1318,  ")</f>
        <v xml:space="preserve">innanak1318,  </v>
      </c>
      <c r="B856" s="14" t="str">
        <f ca="1">IFERROR(__xludf.DUMMYFUNCTION("""COMPUTED_VALUE"""),"innanak1318@gmail.com")</f>
        <v>innanak1318@gmail.com</v>
      </c>
      <c r="C856" s="15"/>
      <c r="D856" s="15"/>
      <c r="E856" s="14"/>
      <c r="F856" s="8" t="str">
        <f ca="1">IFERROR(__xludf.DUMMYFUNCTION("""COMPUTED_VALUE"""),"- USA Челлендж Тишина")</f>
        <v>- USA Челлендж Тишина</v>
      </c>
      <c r="G856" s="1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>
      <c r="A857" s="14" t="str">
        <f ca="1">IFERROR(__xludf.DUMMYFUNCTION("""COMPUTED_VALUE"""),"innanesterets,  ")</f>
        <v xml:space="preserve">innanesterets,  </v>
      </c>
      <c r="B857" s="14" t="str">
        <f ca="1">IFERROR(__xludf.DUMMYFUNCTION("""COMPUTED_VALUE"""),"innanesterets@gmail.com")</f>
        <v>innanesterets@gmail.com</v>
      </c>
      <c r="C857" s="15"/>
      <c r="D857" s="15"/>
      <c r="E857" s="14"/>
      <c r="F857" s="8" t="str">
        <f ca="1">IFERROR(__xludf.DUMMYFUNCTION("""COMPUTED_VALUE"""),"- USA Челлендж Тишина")</f>
        <v>- USA Челлендж Тишина</v>
      </c>
      <c r="G857" s="1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>
      <c r="A858" s="14" t="str">
        <f ca="1">IFERROR(__xludf.DUMMYFUNCTION("""COMPUTED_VALUE"""),"Инна Самодурова")</f>
        <v>Инна Самодурова</v>
      </c>
      <c r="B858" s="14" t="str">
        <f ca="1">IFERROR(__xludf.DUMMYFUNCTION("""COMPUTED_VALUE"""),"innash3@yandex.ru")</f>
        <v>innash3@yandex.ru</v>
      </c>
      <c r="C858" s="15" t="str">
        <f ca="1">IFERROR(__xludf.DUMMYFUNCTION("""COMPUTED_VALUE"""),"79607413437")</f>
        <v>79607413437</v>
      </c>
      <c r="D858" s="15" t="str">
        <f ca="1">IFERROR(__xludf.DUMMYFUNCTION("""COMPUTED_VALUE"""),"Россия")</f>
        <v>Россия</v>
      </c>
      <c r="E858" s="14"/>
      <c r="F858" s="8" t="str">
        <f ca="1">IFERROR(__xludf.DUMMYFUNCTION("""COMPUTED_VALUE"""),"- Тишина Челлендж (бесплатная часть)")</f>
        <v>- Тишина Челлендж (бесплатная часть)</v>
      </c>
      <c r="G858" s="1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38.25">
      <c r="A859" s="14" t="str">
        <f ca="1">IFERROR(__xludf.DUMMYFUNCTION("""COMPUTED_VALUE"""),"Мархабо Киргизбаева")</f>
        <v>Мархабо Киргизбаева</v>
      </c>
      <c r="B859" s="14" t="str">
        <f ca="1">IFERROR(__xludf.DUMMYFUNCTION("""COMPUTED_VALUE"""),"inomovamohinurhon@gmail.com")</f>
        <v>inomovamohinurhon@gmail.com</v>
      </c>
      <c r="C859" s="15" t="str">
        <f ca="1">IFERROR(__xludf.DUMMYFUNCTION("""COMPUTED_VALUE"""),"+998903264015")</f>
        <v>+998903264015</v>
      </c>
      <c r="D859" s="15" t="str">
        <f ca="1">IFERROR(__xludf.DUMMYFUNCTION("""COMPUTED_VALUE"""),"Узбекистан")</f>
        <v>Узбекистан</v>
      </c>
      <c r="E859" s="14"/>
      <c r="F859" s="8" t="str">
        <f ca="1">IFERROR(__xludf.DUMMYFUNCTION("""COMPUTED_VALUE"""),"- Вебинар с Никитой Бородулиным 11.02.2022 часть1
- Марафон Тишины - Тишина челлендж: Урал, Казахстан, Узбекистан 25-29.04.2022")</f>
        <v>- Вебинар с Никитой Бородулиным 11.02.2022 часть1
- Марафон Тишины - Тишина челлендж: Урал, Казахстан, Узбекистан 25-29.04.2022</v>
      </c>
      <c r="G859" s="1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>
      <c r="A860" s="14" t="str">
        <f ca="1">IFERROR(__xludf.DUMMYFUNCTION("""COMPUTED_VALUE"""),"Ольга Кузнецова")</f>
        <v>Ольга Кузнецова</v>
      </c>
      <c r="B860" s="14" t="str">
        <f ca="1">IFERROR(__xludf.DUMMYFUNCTION("""COMPUTED_VALUE"""),"iordan05@list.ru")</f>
        <v>iordan05@list.ru</v>
      </c>
      <c r="C860" s="15" t="str">
        <f ca="1">IFERROR(__xludf.DUMMYFUNCTION("""COMPUTED_VALUE"""),"79083008886")</f>
        <v>79083008886</v>
      </c>
      <c r="D860" s="15" t="str">
        <f ca="1">IFERROR(__xludf.DUMMYFUNCTION("""COMPUTED_VALUE"""),"Россия")</f>
        <v>Россия</v>
      </c>
      <c r="E860" s="14"/>
      <c r="F860" s="8" t="str">
        <f ca="1">IFERROR(__xludf.DUMMYFUNCTION("""COMPUTED_VALUE"""),"- Тишина Челлендж (бесплатная часть)")</f>
        <v>- Тишина Челлендж (бесплатная часть)</v>
      </c>
      <c r="G860" s="1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>
      <c r="A861" s="14" t="str">
        <f ca="1">IFERROR(__xludf.DUMMYFUNCTION("""COMPUTED_VALUE"""),"Ирина Полетаева")</f>
        <v>Ирина Полетаева</v>
      </c>
      <c r="B861" s="14" t="str">
        <f ca="1">IFERROR(__xludf.DUMMYFUNCTION("""COMPUTED_VALUE"""),"ipol3taeva@yandex.ru")</f>
        <v>ipol3taeva@yandex.ru</v>
      </c>
      <c r="C861" s="15" t="str">
        <f ca="1">IFERROR(__xludf.DUMMYFUNCTION("""COMPUTED_VALUE"""),"+79922825047")</f>
        <v>+79922825047</v>
      </c>
      <c r="D861" s="15" t="str">
        <f ca="1">IFERROR(__xludf.DUMMYFUNCTION("""COMPUTED_VALUE"""),"Россия")</f>
        <v>Россия</v>
      </c>
      <c r="E861" s="14"/>
      <c r="F861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861" s="1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>
      <c r="A862" s="14" t="str">
        <f ca="1">IFERROR(__xludf.DUMMYFUNCTION("""COMPUTED_VALUE"""),"Ритория !")</f>
        <v>Ритория !</v>
      </c>
      <c r="B862" s="14" t="str">
        <f ca="1">IFERROR(__xludf.DUMMYFUNCTION("""COMPUTED_VALUE"""),"ir66@rambler.ru")</f>
        <v>ir66@rambler.ru</v>
      </c>
      <c r="C862" s="15" t="str">
        <f ca="1">IFERROR(__xludf.DUMMYFUNCTION("""COMPUTED_VALUE"""),", +79214446597")</f>
        <v>, +79214446597</v>
      </c>
      <c r="D862" s="15" t="str">
        <f ca="1">IFERROR(__xludf.DUMMYFUNCTION("""COMPUTED_VALUE"""),"Россия")</f>
        <v>Россия</v>
      </c>
      <c r="E862" s="14"/>
      <c r="F862" s="8" t="str">
        <f ca="1">IFERROR(__xludf.DUMMYFUNCTION("""COMPUTED_VALUE"""),"Мероприятий не обнаружено")</f>
        <v>Мероприятий не обнаружено</v>
      </c>
      <c r="G862" s="1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5.5">
      <c r="A863" s="14" t="str">
        <f ca="1">IFERROR(__xludf.DUMMYFUNCTION("""COMPUTED_VALUE"""),"Ирина Савон")</f>
        <v>Ирина Савон</v>
      </c>
      <c r="B863" s="14" t="str">
        <f ca="1">IFERROR(__xludf.DUMMYFUNCTION("""COMPUTED_VALUE"""),"ira-savon@yandex.ru")</f>
        <v>ira-savon@yandex.ru</v>
      </c>
      <c r="C863" s="15" t="str">
        <f ca="1">IFERROR(__xludf.DUMMYFUNCTION("""COMPUTED_VALUE"""),"+998909344359")</f>
        <v>+998909344359</v>
      </c>
      <c r="D863" s="15" t="str">
        <f ca="1">IFERROR(__xludf.DUMMYFUNCTION("""COMPUTED_VALUE"""),"Узбекистан")</f>
        <v>Узбекистан</v>
      </c>
      <c r="E863" s="14"/>
      <c r="F86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863" s="1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>
      <c r="A864" s="14" t="str">
        <f ca="1">IFERROR(__xludf.DUMMYFUNCTION("""COMPUTED_VALUE"""),"Ирина Климачева")</f>
        <v>Ирина Климачева</v>
      </c>
      <c r="B864" s="14" t="str">
        <f ca="1">IFERROR(__xludf.DUMMYFUNCTION("""COMPUTED_VALUE"""),"ira.klimacheva@mail.ru")</f>
        <v>ira.klimacheva@mail.ru</v>
      </c>
      <c r="C864" s="15" t="str">
        <f ca="1">IFERROR(__xludf.DUMMYFUNCTION("""COMPUTED_VALUE"""),"+375297361691")</f>
        <v>+375297361691</v>
      </c>
      <c r="D864" s="15" t="str">
        <f ca="1">IFERROR(__xludf.DUMMYFUNCTION("""COMPUTED_VALUE"""),"Беларусь")</f>
        <v>Беларусь</v>
      </c>
      <c r="E864" s="14"/>
      <c r="F864" s="8" t="str">
        <f ca="1">IFERROR(__xludf.DUMMYFUNCTION("""COMPUTED_VALUE"""),"- Живая ""Практика Тишины"" Минск (регулярные занятия)")</f>
        <v>- Живая "Практика Тишины" Минск (регулярные занятия)</v>
      </c>
      <c r="G864" s="1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>
      <c r="A865" s="14" t="str">
        <f ca="1">IFERROR(__xludf.DUMMYFUNCTION("""COMPUTED_VALUE"""),"Ираида Юдичева")</f>
        <v>Ираида Юдичева</v>
      </c>
      <c r="B865" s="14" t="str">
        <f ca="1">IFERROR(__xludf.DUMMYFUNCTION("""COMPUTED_VALUE"""),"iraida_berchik@mail.ru")</f>
        <v>iraida_berchik@mail.ru</v>
      </c>
      <c r="C865" s="15" t="str">
        <f ca="1">IFERROR(__xludf.DUMMYFUNCTION("""COMPUTED_VALUE"""),"79081851479")</f>
        <v>79081851479</v>
      </c>
      <c r="D865" s="15" t="str">
        <f ca="1">IFERROR(__xludf.DUMMYFUNCTION("""COMPUTED_VALUE"""),"США")</f>
        <v>США</v>
      </c>
      <c r="E865" s="14"/>
      <c r="F865" s="8" t="str">
        <f ca="1">IFERROR(__xludf.DUMMYFUNCTION("""COMPUTED_VALUE"""),"- Тишина Челлендж (бесплатная часть)")</f>
        <v>- Тишина Челлендж (бесплатная часть)</v>
      </c>
      <c r="G865" s="1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>
      <c r="A866" s="14" t="str">
        <f ca="1">IFERROR(__xludf.DUMMYFUNCTION("""COMPUTED_VALUE"""),"Анастасия Битюцкая")</f>
        <v>Анастасия Битюцкая</v>
      </c>
      <c r="B866" s="14" t="str">
        <f ca="1">IFERROR(__xludf.DUMMYFUNCTION("""COMPUTED_VALUE"""),"Irak665@mai.ru")</f>
        <v>Irak665@mai.ru</v>
      </c>
      <c r="C866" s="15" t="str">
        <f ca="1">IFERROR(__xludf.DUMMYFUNCTION("""COMPUTED_VALUE"""),", +998903330825")</f>
        <v>, +998903330825</v>
      </c>
      <c r="D866" s="15"/>
      <c r="E866" s="14"/>
      <c r="F866" s="8" t="str">
        <f ca="1">IFERROR(__xludf.DUMMYFUNCTION("""COMPUTED_VALUE"""),"Мероприятий не обнаружено")</f>
        <v>Мероприятий не обнаружено</v>
      </c>
      <c r="G866" s="1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5.5">
      <c r="A867" s="14" t="str">
        <f ca="1">IFERROR(__xludf.DUMMYFUNCTION("""COMPUTED_VALUE"""),"Ирина Ч")</f>
        <v>Ирина Ч</v>
      </c>
      <c r="B867" s="14" t="str">
        <f ca="1">IFERROR(__xludf.DUMMYFUNCTION("""COMPUTED_VALUE"""),"Iren_ira90@mail.ru")</f>
        <v>Iren_ira90@mail.ru</v>
      </c>
      <c r="C867" s="15" t="str">
        <f ca="1">IFERROR(__xludf.DUMMYFUNCTION("""COMPUTED_VALUE"""),"+998909864969")</f>
        <v>+998909864969</v>
      </c>
      <c r="D867" s="15"/>
      <c r="E867" s="14"/>
      <c r="F86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867" s="1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5.5">
      <c r="A868" s="14" t="str">
        <f ca="1">IFERROR(__xludf.DUMMYFUNCTION("""COMPUTED_VALUE"""),"Ирэна Гимуш")</f>
        <v>Ирэна Гимуш</v>
      </c>
      <c r="B868" s="14" t="str">
        <f ca="1">IFERROR(__xludf.DUMMYFUNCTION("""COMPUTED_VALUE"""),"irenushka@list.ru")</f>
        <v>irenushka@list.ru</v>
      </c>
      <c r="C868" s="15" t="str">
        <f ca="1">IFERROR(__xludf.DUMMYFUNCTION("""COMPUTED_VALUE"""),"+998903529678")</f>
        <v>+998903529678</v>
      </c>
      <c r="D868" s="15"/>
      <c r="E868" s="14"/>
      <c r="F86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868" s="1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>
      <c r="A869" s="14" t="str">
        <f ca="1">IFERROR(__xludf.DUMMYFUNCTION("""COMPUTED_VALUE"""),"ирина гриц")</f>
        <v>ирина гриц</v>
      </c>
      <c r="B869" s="14" t="str">
        <f ca="1">IFERROR(__xludf.DUMMYFUNCTION("""COMPUTED_VALUE"""),"irin__is@mail.ru")</f>
        <v>irin__is@mail.ru</v>
      </c>
      <c r="C869" s="15" t="str">
        <f ca="1">IFERROR(__xludf.DUMMYFUNCTION("""COMPUTED_VALUE"""),", +79084454392")</f>
        <v>, +79084454392</v>
      </c>
      <c r="D869" s="15" t="str">
        <f ca="1">IFERROR(__xludf.DUMMYFUNCTION("""COMPUTED_VALUE"""),"Россия")</f>
        <v>Россия</v>
      </c>
      <c r="E869" s="14" t="str">
        <f ca="1">IFERROR(__xludf.DUMMYFUNCTION("""COMPUTED_VALUE"""),"Ирина")</f>
        <v>Ирина</v>
      </c>
      <c r="F869" s="8" t="str">
        <f ca="1">IFERROR(__xludf.DUMMYFUNCTION("""COMPUTED_VALUE"""),"Мероприятий не обнаружено")</f>
        <v>Мероприятий не обнаружено</v>
      </c>
      <c r="G869" s="1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5.5">
      <c r="A870" s="14" t="str">
        <f ca="1">IFERROR(__xludf.DUMMYFUNCTION("""COMPUTED_VALUE"""),"Ирина Рейфонас")</f>
        <v>Ирина Рейфонас</v>
      </c>
      <c r="B870" s="14" t="str">
        <f ca="1">IFERROR(__xludf.DUMMYFUNCTION("""COMPUTED_VALUE"""),"irina___70@mail.ru")</f>
        <v>irina___70@mail.ru</v>
      </c>
      <c r="C870" s="15" t="str">
        <f ca="1">IFERROR(__xludf.DUMMYFUNCTION("""COMPUTED_VALUE"""),"+77056015477")</f>
        <v>+77056015477</v>
      </c>
      <c r="D870" s="15"/>
      <c r="E870" s="14"/>
      <c r="F87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870" s="1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38.25">
      <c r="A871" s="14" t="str">
        <f ca="1">IFERROR(__xludf.DUMMYFUNCTION("""COMPUTED_VALUE"""),"Ирина Степанова")</f>
        <v>Ирина Степанова</v>
      </c>
      <c r="B871" s="14" t="str">
        <f ca="1">IFERROR(__xludf.DUMMYFUNCTION("""COMPUTED_VALUE"""),"irina_78.1.78@mail.ru")</f>
        <v>irina_78.1.78@mail.ru</v>
      </c>
      <c r="C871" s="15" t="str">
        <f ca="1">IFERROR(__xludf.DUMMYFUNCTION("""COMPUTED_VALUE"""),"79818530288")</f>
        <v>79818530288</v>
      </c>
      <c r="D871" s="15" t="str">
        <f ca="1">IFERROR(__xludf.DUMMYFUNCTION("""COMPUTED_VALUE"""),"Россия")</f>
        <v>Россия</v>
      </c>
      <c r="E871" s="14"/>
      <c r="F871" s="8" t="str">
        <f ca="1">IFERROR(__xludf.DUMMYFUNCTION("""COMPUTED_VALUE"""),"- Челлендж Тишины
- Онлайн курс Шаг к Пробуждению №16 26.2-5.3.22 Пакет стандартный")</f>
        <v>- Челлендж Тишины
- Онлайн курс Шаг к Пробуждению №16 26.2-5.3.22 Пакет стандартный</v>
      </c>
      <c r="G871" s="1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5.5">
      <c r="A872" s="14" t="str">
        <f ca="1">IFERROR(__xludf.DUMMYFUNCTION("""COMPUTED_VALUE"""),"irina_izma,  ")</f>
        <v xml:space="preserve">irina_izma,  </v>
      </c>
      <c r="B872" s="14" t="str">
        <f ca="1">IFERROR(__xludf.DUMMYFUNCTION("""COMPUTED_VALUE"""),"irina_izma@mail.ru")</f>
        <v>irina_izma@mail.ru</v>
      </c>
      <c r="C872" s="15"/>
      <c r="D872" s="15" t="str">
        <f ca="1">IFERROR(__xludf.DUMMYFUNCTION("""COMPUTED_VALUE"""),"Россия")</f>
        <v>Россия</v>
      </c>
      <c r="E872" s="14"/>
      <c r="F872" s="8" t="str">
        <f ca="1">IFERROR(__xludf.DUMMYFUNCTION("""COMPUTED_VALUE"""),"- Онлайн курс Шаг к Пробуждению №16 26.2-5.3.22 Пакет стандартный")</f>
        <v>- Онлайн курс Шаг к Пробуждению №16 26.2-5.3.22 Пакет стандартный</v>
      </c>
      <c r="G872" s="1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>
      <c r="A873" s="14" t="str">
        <f ca="1">IFERROR(__xludf.DUMMYFUNCTION("""COMPUTED_VALUE"""),"Ирина Грачева")</f>
        <v>Ирина Грачева</v>
      </c>
      <c r="B873" s="14" t="str">
        <f ca="1">IFERROR(__xludf.DUMMYFUNCTION("""COMPUTED_VALUE"""),"Irina_malaya@inbox.ru")</f>
        <v>Irina_malaya@inbox.ru</v>
      </c>
      <c r="C873" s="15" t="str">
        <f ca="1">IFERROR(__xludf.DUMMYFUNCTION("""COMPUTED_VALUE"""),"+79179678818")</f>
        <v>+79179678818</v>
      </c>
      <c r="D873" s="15" t="str">
        <f ca="1">IFERROR(__xludf.DUMMYFUNCTION("""COMPUTED_VALUE"""),"Россия")</f>
        <v>Россия</v>
      </c>
      <c r="E873" s="14"/>
      <c r="F873" s="8" t="str">
        <f ca="1">IFERROR(__xludf.DUMMYFUNCTION("""COMPUTED_VALUE"""),"-  Курс Пробуждение. Начало.")</f>
        <v>-  Курс Пробуждение. Начало.</v>
      </c>
      <c r="G873" s="1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>
      <c r="A874" s="14" t="str">
        <f ca="1">IFERROR(__xludf.DUMMYFUNCTION("""COMPUTED_VALUE"""),"Ирина Парфенова")</f>
        <v>Ирина Парфенова</v>
      </c>
      <c r="B874" s="14" t="str">
        <f ca="1">IFERROR(__xludf.DUMMYFUNCTION("""COMPUTED_VALUE"""),"irina_parf@mail.ru")</f>
        <v>irina_parf@mail.ru</v>
      </c>
      <c r="C874" s="15" t="str">
        <f ca="1">IFERROR(__xludf.DUMMYFUNCTION("""COMPUTED_VALUE"""),"79171413761")</f>
        <v>79171413761</v>
      </c>
      <c r="D874" s="15" t="str">
        <f ca="1">IFERROR(__xludf.DUMMYFUNCTION("""COMPUTED_VALUE"""),"Россия")</f>
        <v>Россия</v>
      </c>
      <c r="E874" s="14"/>
      <c r="F874" s="8" t="str">
        <f ca="1">IFERROR(__xludf.DUMMYFUNCTION("""COMPUTED_VALUE"""),"- Тишина Челлендж (бесплатная часть)")</f>
        <v>- Тишина Челлендж (бесплатная часть)</v>
      </c>
      <c r="G874" s="1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>
      <c r="A875" s="14" t="str">
        <f ca="1">IFERROR(__xludf.DUMMYFUNCTION("""COMPUTED_VALUE"""),"Ирина Чемоданова")</f>
        <v>Ирина Чемоданова</v>
      </c>
      <c r="B875" s="14" t="str">
        <f ca="1">IFERROR(__xludf.DUMMYFUNCTION("""COMPUTED_VALUE"""),"Irina.820855@gmail.com")</f>
        <v>Irina.820855@gmail.com</v>
      </c>
      <c r="C875" s="15" t="str">
        <f ca="1">IFERROR(__xludf.DUMMYFUNCTION("""COMPUTED_VALUE"""),"79124361987")</f>
        <v>79124361987</v>
      </c>
      <c r="D875" s="15"/>
      <c r="E875" s="14"/>
      <c r="F875" s="8" t="str">
        <f ca="1">IFERROR(__xludf.DUMMYFUNCTION("""COMPUTED_VALUE"""),"- Тишина Челлендж (бесплатная часть)")</f>
        <v>- Тишина Челлендж (бесплатная часть)</v>
      </c>
      <c r="G875" s="1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>
      <c r="A876" s="14" t="str">
        <f ca="1">IFERROR(__xludf.DUMMYFUNCTION("""COMPUTED_VALUE"""),"Ирина Чернышева")</f>
        <v>Ирина Чернышева</v>
      </c>
      <c r="B876" s="14" t="str">
        <f ca="1">IFERROR(__xludf.DUMMYFUNCTION("""COMPUTED_VALUE"""),"irina.chernysheva.teacher@mail.ru")</f>
        <v>irina.chernysheva.teacher@mail.ru</v>
      </c>
      <c r="C876" s="15" t="str">
        <f ca="1">IFERROR(__xludf.DUMMYFUNCTION("""COMPUTED_VALUE"""),", +79687058535")</f>
        <v>, +79687058535</v>
      </c>
      <c r="D876" s="15" t="str">
        <f ca="1">IFERROR(__xludf.DUMMYFUNCTION("""COMPUTED_VALUE"""),"Литва")</f>
        <v>Литва</v>
      </c>
      <c r="E876" s="14"/>
      <c r="F876" s="8" t="str">
        <f ca="1">IFERROR(__xludf.DUMMYFUNCTION("""COMPUTED_VALUE"""),"Мероприятий не обнаружено")</f>
        <v>Мероприятий не обнаружено</v>
      </c>
      <c r="G876" s="1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>
      <c r="A877" s="14" t="str">
        <f ca="1">IFERROR(__xludf.DUMMYFUNCTION("""COMPUTED_VALUE"""),"Irina Kühn")</f>
        <v>Irina Kühn</v>
      </c>
      <c r="B877" s="14" t="str">
        <f ca="1">IFERROR(__xludf.DUMMYFUNCTION("""COMPUTED_VALUE"""),"irina.kuehn@gmx.net")</f>
        <v>irina.kuehn@gmx.net</v>
      </c>
      <c r="C877" s="15" t="str">
        <f ca="1">IFERROR(__xludf.DUMMYFUNCTION("""COMPUTED_VALUE"""),"+4915120116060")</f>
        <v>+4915120116060</v>
      </c>
      <c r="D877" s="15" t="str">
        <f ca="1">IFERROR(__xludf.DUMMYFUNCTION("""COMPUTED_VALUE"""),"Германия")</f>
        <v>Германия</v>
      </c>
      <c r="E877" s="14"/>
      <c r="F877" s="8" t="str">
        <f ca="1">IFERROR(__xludf.DUMMYFUNCTION("""COMPUTED_VALUE"""),"- Медитация без стереотипов")</f>
        <v>- Медитация без стереотипов</v>
      </c>
      <c r="G877" s="1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51">
      <c r="A878" s="14" t="str">
        <f ca="1">IFERROR(__xludf.DUMMYFUNCTION("""COMPUTED_VALUE"""),"Ирина Федосеева")</f>
        <v>Ирина Федосеева</v>
      </c>
      <c r="B878" s="14" t="str">
        <f ca="1">IFERROR(__xludf.DUMMYFUNCTION("""COMPUTED_VALUE"""),"irinafeorif@gmail.com")</f>
        <v>irinafeorif@gmail.com</v>
      </c>
      <c r="C878" s="15" t="str">
        <f ca="1">IFERROR(__xludf.DUMMYFUNCTION("""COMPUTED_VALUE"""),"380996472209")</f>
        <v>380996472209</v>
      </c>
      <c r="D878" s="15" t="str">
        <f ca="1">IFERROR(__xludf.DUMMYFUNCTION("""COMPUTED_VALUE"""),"США")</f>
        <v>США</v>
      </c>
      <c r="E878" s="14" t="str">
        <f ca="1">IFERROR(__xludf.DUMMYFUNCTION("""COMPUTED_VALUE"""),"@fedoseevairina")</f>
        <v>@fedoseevairina</v>
      </c>
      <c r="F878" s="8" t="str">
        <f ca="1">IFERROR(__xludf.DUMMYFUNCTION("""COMPUTED_VALUE"""),"- Международный ретрит 14-21.1.2022 Украина (6500 Гривен) (оплата до 29.12.2021)
- Вебинар-батл Я уже все знаю! Мне не нужна Школа 9.01.2022
- Ретрит ""Проектная деятельность"" для участников ретритов")</f>
        <v>- Международный ретрит 14-21.1.2022 Украина (6500 Гривен) (оплата до 29.12.2021)
- Вебинар-батл Я уже все знаю! Мне не нужна Школа 9.01.2022
- Ретрит "Проектная деятельность" для участников ретритов</v>
      </c>
      <c r="G878" s="1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>
      <c r="A879" s="14" t="str">
        <f ca="1">IFERROR(__xludf.DUMMYFUNCTION("""COMPUTED_VALUE"""),"Ирина Королева")</f>
        <v>Ирина Королева</v>
      </c>
      <c r="B879" s="14" t="str">
        <f ca="1">IFERROR(__xludf.DUMMYFUNCTION("""COMPUTED_VALUE"""),"irinak170670@gmail.com")</f>
        <v>irinak170670@gmail.com</v>
      </c>
      <c r="C879" s="15" t="str">
        <f ca="1">IFERROR(__xludf.DUMMYFUNCTION("""COMPUTED_VALUE"""),"+79525091677")</f>
        <v>+79525091677</v>
      </c>
      <c r="D879" s="15" t="str">
        <f ca="1">IFERROR(__xludf.DUMMYFUNCTION("""COMPUTED_VALUE"""),"Россия")</f>
        <v>Россия</v>
      </c>
      <c r="E879" s="14"/>
      <c r="F879" s="8" t="str">
        <f ca="1">IFERROR(__xludf.DUMMYFUNCTION("""COMPUTED_VALUE"""),"- Практика тишины Магнитогорск 19.02.2022")</f>
        <v>- Практика тишины Магнитогорск 19.02.2022</v>
      </c>
      <c r="G879" s="1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>
      <c r="A880" s="14" t="str">
        <f ca="1">IFERROR(__xludf.DUMMYFUNCTION("""COMPUTED_VALUE"""),"Irina Te")</f>
        <v>Irina Te</v>
      </c>
      <c r="B880" s="14" t="str">
        <f ca="1">IFERROR(__xludf.DUMMYFUNCTION("""COMPUTED_VALUE"""),"irinamtl@gmail.com")</f>
        <v>irinamtl@gmail.com</v>
      </c>
      <c r="C880" s="15"/>
      <c r="D880" s="15" t="str">
        <f ca="1">IFERROR(__xludf.DUMMYFUNCTION("""COMPUTED_VALUE"""),"США")</f>
        <v>США</v>
      </c>
      <c r="E880" s="14"/>
      <c r="F880" s="8" t="str">
        <f ca="1">IFERROR(__xludf.DUMMYFUNCTION("""COMPUTED_VALUE"""),"- Базовая бесплатная часть")</f>
        <v>- Базовая бесплатная часть</v>
      </c>
      <c r="G880" s="1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>
      <c r="A881" s="14" t="str">
        <f ca="1">IFERROR(__xludf.DUMMYFUNCTION("""COMPUTED_VALUE"""),"Ирина Н")</f>
        <v>Ирина Н</v>
      </c>
      <c r="B881" s="14" t="str">
        <f ca="1">IFERROR(__xludf.DUMMYFUNCTION("""COMPUTED_VALUE"""),"Irinanevskaya@list.ru")</f>
        <v>Irinanevskaya@list.ru</v>
      </c>
      <c r="C881" s="15"/>
      <c r="D881" s="15" t="str">
        <f ca="1">IFERROR(__xludf.DUMMYFUNCTION("""COMPUTED_VALUE"""),"Швеция")</f>
        <v>Швеция</v>
      </c>
      <c r="E881" s="14"/>
      <c r="F881" s="8" t="str">
        <f ca="1">IFERROR(__xludf.DUMMYFUNCTION("""COMPUTED_VALUE"""),"- Тишина Челлендж (бесплатная часть)")</f>
        <v>- Тишина Челлендж (бесплатная часть)</v>
      </c>
      <c r="G881" s="1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>
      <c r="A882" s="14" t="str">
        <f ca="1">IFERROR(__xludf.DUMMYFUNCTION("""COMPUTED_VALUE"""),"Ирина Ночнюк")</f>
        <v>Ирина Ночнюк</v>
      </c>
      <c r="B882" s="14" t="str">
        <f ca="1">IFERROR(__xludf.DUMMYFUNCTION("""COMPUTED_VALUE"""),"irinanoch@bk.ru")</f>
        <v>irinanoch@bk.ru</v>
      </c>
      <c r="C882" s="15"/>
      <c r="D882" s="15" t="str">
        <f ca="1">IFERROR(__xludf.DUMMYFUNCTION("""COMPUTED_VALUE"""),"Молдова")</f>
        <v>Молдова</v>
      </c>
      <c r="E882" s="14"/>
      <c r="F882" s="8" t="str">
        <f ca="1">IFERROR(__xludf.DUMMYFUNCTION("""COMPUTED_VALUE"""),"- Тишина Челлендж (бесплатная часть)")</f>
        <v>- Тишина Челлендж (бесплатная часть)</v>
      </c>
      <c r="G882" s="1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>
      <c r="A883" s="14" t="str">
        <f ca="1">IFERROR(__xludf.DUMMYFUNCTION("""COMPUTED_VALUE"""),"Irina Stankova")</f>
        <v>Irina Stankova</v>
      </c>
      <c r="B883" s="14" t="str">
        <f ca="1">IFERROR(__xludf.DUMMYFUNCTION("""COMPUTED_VALUE"""),"irinastankova401@gmail.com")</f>
        <v>irinastankova401@gmail.com</v>
      </c>
      <c r="C883" s="15" t="str">
        <f ca="1">IFERROR(__xludf.DUMMYFUNCTION("""COMPUTED_VALUE"""),"+4915735321708")</f>
        <v>+4915735321708</v>
      </c>
      <c r="D883" s="15" t="str">
        <f ca="1">IFERROR(__xludf.DUMMYFUNCTION("""COMPUTED_VALUE"""),"Германия")</f>
        <v>Германия</v>
      </c>
      <c r="E883" s="14"/>
      <c r="F883" s="8" t="str">
        <f ca="1">IFERROR(__xludf.DUMMYFUNCTION("""COMPUTED_VALUE"""),"- Вебинар все о ретрите 12.2.2022")</f>
        <v>- Вебинар все о ретрите 12.2.2022</v>
      </c>
      <c r="G883" s="1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5.5">
      <c r="A884" s="14" t="str">
        <f ca="1">IFERROR(__xludf.DUMMYFUNCTION("""COMPUTED_VALUE"""),"Ирина Витвинова")</f>
        <v>Ирина Витвинова</v>
      </c>
      <c r="B884" s="14" t="str">
        <f ca="1">IFERROR(__xludf.DUMMYFUNCTION("""COMPUTED_VALUE"""),"irinavitvinova@rambler.ru")</f>
        <v>irinavitvinova@rambler.ru</v>
      </c>
      <c r="C884" s="15" t="str">
        <f ca="1">IFERROR(__xludf.DUMMYFUNCTION("""COMPUTED_VALUE"""),"+998911336995")</f>
        <v>+998911336995</v>
      </c>
      <c r="D884" s="15"/>
      <c r="E884" s="14"/>
      <c r="F88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884" s="1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>
      <c r="A885" s="14" t="str">
        <f ca="1">IFERROR(__xludf.DUMMYFUNCTION("""COMPUTED_VALUE"""),"Ирина Трубинова")</f>
        <v>Ирина Трубинова</v>
      </c>
      <c r="B885" s="14" t="str">
        <f ca="1">IFERROR(__xludf.DUMMYFUNCTION("""COMPUTED_VALUE"""),"irishechkairinka@mail.ru")</f>
        <v>irishechkairinka@mail.ru</v>
      </c>
      <c r="C885" s="15" t="str">
        <f ca="1">IFERROR(__xludf.DUMMYFUNCTION("""COMPUTED_VALUE"""),"+79523322833")</f>
        <v>+79523322833</v>
      </c>
      <c r="D885" s="15" t="str">
        <f ca="1">IFERROR(__xludf.DUMMYFUNCTION("""COMPUTED_VALUE"""),"Россия")</f>
        <v>Россия</v>
      </c>
      <c r="E885" s="14"/>
      <c r="F885" s="8" t="str">
        <f ca="1">IFERROR(__xludf.DUMMYFUNCTION("""COMPUTED_VALUE"""),"- Тишина Челлендж (бесплатная часть)")</f>
        <v>- Тишина Челлендж (бесплатная часть)</v>
      </c>
      <c r="G885" s="1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>
      <c r="A886" s="14" t="str">
        <f ca="1">IFERROR(__xludf.DUMMYFUNCTION("""COMPUTED_VALUE""")," ")</f>
        <v xml:space="preserve"> </v>
      </c>
      <c r="B886" s="14" t="str">
        <f ca="1">IFERROR(__xludf.DUMMYFUNCTION("""COMPUTED_VALUE"""),"irusiazem@gmail.com")</f>
        <v>irusiazem@gmail.com</v>
      </c>
      <c r="C886" s="15"/>
      <c r="D886" s="15" t="str">
        <f ca="1">IFERROR(__xludf.DUMMYFUNCTION("""COMPUTED_VALUE"""),"США")</f>
        <v>США</v>
      </c>
      <c r="E886" s="14"/>
      <c r="F886" s="8" t="str">
        <f ca="1">IFERROR(__xludf.DUMMYFUNCTION("""COMPUTED_VALUE"""),"Мероприятий не обнаружено")</f>
        <v>Мероприятий не обнаружено</v>
      </c>
      <c r="G886" s="1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>
      <c r="A887" s="14" t="str">
        <f ca="1">IFERROR(__xludf.DUMMYFUNCTION("""COMPUTED_VALUE"""),"Ирина Денисова")</f>
        <v>Ирина Денисова</v>
      </c>
      <c r="B887" s="14" t="str">
        <f ca="1">IFERROR(__xludf.DUMMYFUNCTION("""COMPUTED_VALUE"""),"Irusikden@mail.ru")</f>
        <v>Irusikden@mail.ru</v>
      </c>
      <c r="C887" s="15"/>
      <c r="D887" s="15" t="str">
        <f ca="1">IFERROR(__xludf.DUMMYFUNCTION("""COMPUTED_VALUE"""),"Швеция")</f>
        <v>Швеция</v>
      </c>
      <c r="E887" s="14"/>
      <c r="F887" s="8" t="str">
        <f ca="1">IFERROR(__xludf.DUMMYFUNCTION("""COMPUTED_VALUE"""),"- Тишина Челлендж (бесплатная часть)")</f>
        <v>- Тишина Челлендж (бесплатная часть)</v>
      </c>
      <c r="G887" s="1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>
      <c r="A888" s="14" t="str">
        <f ca="1">IFERROR(__xludf.DUMMYFUNCTION("""COMPUTED_VALUE"""),"Татьяна Громыко")</f>
        <v>Татьяна Громыко</v>
      </c>
      <c r="B888" s="14" t="str">
        <f ca="1">IFERROR(__xludf.DUMMYFUNCTION("""COMPUTED_VALUE"""),"irzza@rambler.ru")</f>
        <v>irzza@rambler.ru</v>
      </c>
      <c r="C888" s="15" t="str">
        <f ca="1">IFERROR(__xludf.DUMMYFUNCTION("""COMPUTED_VALUE"""),"+79036745017")</f>
        <v>+79036745017</v>
      </c>
      <c r="D888" s="15" t="str">
        <f ca="1">IFERROR(__xludf.DUMMYFUNCTION("""COMPUTED_VALUE"""),"Россия")</f>
        <v>Россия</v>
      </c>
      <c r="E888" s="14"/>
      <c r="F888" s="8" t="str">
        <f ca="1">IFERROR(__xludf.DUMMYFUNCTION("""COMPUTED_VALUE"""),"- Регулярная практика тишины в Москве ")</f>
        <v xml:space="preserve">- Регулярная практика тишины в Москве </v>
      </c>
      <c r="G888" s="1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>
      <c r="A889" s="14" t="str">
        <f ca="1">IFERROR(__xludf.DUMMYFUNCTION("""COMPUTED_VALUE"""),"Лариса Исаева")</f>
        <v>Лариса Исаева</v>
      </c>
      <c r="B889" s="14" t="str">
        <f ca="1">IFERROR(__xludf.DUMMYFUNCTION("""COMPUTED_VALUE"""),"isaeva.larisa2013@yandex.ru")</f>
        <v>isaeva.larisa2013@yandex.ru</v>
      </c>
      <c r="C889" s="15" t="str">
        <f ca="1">IFERROR(__xludf.DUMMYFUNCTION("""COMPUTED_VALUE"""),"+79295973668")</f>
        <v>+79295973668</v>
      </c>
      <c r="D889" s="15" t="str">
        <f ca="1">IFERROR(__xludf.DUMMYFUNCTION("""COMPUTED_VALUE"""),"Россия")</f>
        <v>Россия</v>
      </c>
      <c r="E889" s="14"/>
      <c r="F889" s="8" t="str">
        <f ca="1">IFERROR(__xludf.DUMMYFUNCTION("""COMPUTED_VALUE"""),"- Тишина Челлендж (бесплатная часть)")</f>
        <v>- Тишина Челлендж (бесплатная часть)</v>
      </c>
      <c r="G889" s="1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5.5">
      <c r="A890" s="14" t="str">
        <f ca="1">IFERROR(__xludf.DUMMYFUNCTION("""COMPUTED_VALUE"""),"Гаухар Ишангалиева")</f>
        <v>Гаухар Ишангалиева</v>
      </c>
      <c r="B890" s="14" t="str">
        <f ca="1">IFERROR(__xludf.DUMMYFUNCTION("""COMPUTED_VALUE"""),"ishangaligoha@gmail.com")</f>
        <v>ishangaligoha@gmail.com</v>
      </c>
      <c r="C890" s="15" t="str">
        <f ca="1">IFERROR(__xludf.DUMMYFUNCTION("""COMPUTED_VALUE"""),"77052892288")</f>
        <v>77052892288</v>
      </c>
      <c r="D890" s="15"/>
      <c r="E890" s="14"/>
      <c r="F89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890" s="1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>
      <c r="A891" s="14" t="str">
        <f ca="1">IFERROR(__xludf.DUMMYFUNCTION("""COMPUTED_VALUE"""),"Сергей Ишимов")</f>
        <v>Сергей Ишимов</v>
      </c>
      <c r="B891" s="14" t="str">
        <f ca="1">IFERROR(__xludf.DUMMYFUNCTION("""COMPUTED_VALUE"""),"ishimka@yandex.ru")</f>
        <v>ishimka@yandex.ru</v>
      </c>
      <c r="C891" s="15" t="str">
        <f ca="1">IFERROR(__xludf.DUMMYFUNCTION("""COMPUTED_VALUE"""),"+79265715170")</f>
        <v>+79265715170</v>
      </c>
      <c r="D891" s="15" t="str">
        <f ca="1">IFERROR(__xludf.DUMMYFUNCTION("""COMPUTED_VALUE"""),"Россия")</f>
        <v>Россия</v>
      </c>
      <c r="E891" s="14"/>
      <c r="F891" s="8" t="str">
        <f ca="1">IFERROR(__xludf.DUMMYFUNCTION("""COMPUTED_VALUE"""),"- Челлендж Тишины")</f>
        <v>- Челлендж Тишины</v>
      </c>
      <c r="G891" s="1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38.25">
      <c r="A892" s="14" t="str">
        <f ca="1">IFERROR(__xludf.DUMMYFUNCTION("""COMPUTED_VALUE"""),"Инна Орен")</f>
        <v>Инна Орен</v>
      </c>
      <c r="B892" s="14" t="str">
        <f ca="1">IFERROR(__xludf.DUMMYFUNCTION("""COMPUTED_VALUE"""),"isinnail@gmail.com")</f>
        <v>isinnail@gmail.com</v>
      </c>
      <c r="C892" s="15" t="str">
        <f ca="1">IFERROR(__xludf.DUMMYFUNCTION("""COMPUTED_VALUE"""),"+972502511023")</f>
        <v>+972502511023</v>
      </c>
      <c r="D892" s="15" t="str">
        <f ca="1">IFERROR(__xludf.DUMMYFUNCTION("""COMPUTED_VALUE"""),"Израиль")</f>
        <v>Израиль</v>
      </c>
      <c r="E892" s="14"/>
      <c r="F892" s="8" t="str">
        <f ca="1">IFERROR(__xludf.DUMMYFUNCTION("""COMPUTED_VALUE"""),"- Вебинар с Никитой Бородулиным 11.02.2022 часть1
- Медитация без стереотипов
- Тишина Челлендж (бесплатная часть)")</f>
        <v>- Вебинар с Никитой Бородулиным 11.02.2022 часть1
- Медитация без стереотипов
- Тишина Челлендж (бесплатная часть)</v>
      </c>
      <c r="G892" s="1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>
      <c r="A893" s="14" t="str">
        <f ca="1">IFERROR(__xludf.DUMMYFUNCTION("""COMPUTED_VALUE"""),"Елена Исламова")</f>
        <v>Елена Исламова</v>
      </c>
      <c r="B893" s="14" t="str">
        <f ca="1">IFERROR(__xludf.DUMMYFUNCTION("""COMPUTED_VALUE"""),"Islamova6elena@mail.ru")</f>
        <v>Islamova6elena@mail.ru</v>
      </c>
      <c r="C893" s="15" t="str">
        <f ca="1">IFERROR(__xludf.DUMMYFUNCTION("""COMPUTED_VALUE"""),", +998331203320")</f>
        <v>, +998331203320</v>
      </c>
      <c r="D893" s="15"/>
      <c r="E893" s="14"/>
      <c r="F893" s="8" t="str">
        <f ca="1">IFERROR(__xludf.DUMMYFUNCTION("""COMPUTED_VALUE"""),"Мероприятий не обнаружено")</f>
        <v>Мероприятий не обнаружено</v>
      </c>
      <c r="G893" s="1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5.5">
      <c r="A894" s="14" t="str">
        <f ca="1">IFERROR(__xludf.DUMMYFUNCTION("""COMPUTED_VALUE"""),"Хамдия Исламова")</f>
        <v>Хамдия Исламова</v>
      </c>
      <c r="B894" s="14" t="str">
        <f ca="1">IFERROR(__xludf.DUMMYFUNCTION("""COMPUTED_VALUE"""),"islamovahamdiya@gmail.com")</f>
        <v>islamovahamdiya@gmail.com</v>
      </c>
      <c r="C894" s="15" t="str">
        <f ca="1">IFERROR(__xludf.DUMMYFUNCTION("""COMPUTED_VALUE"""),"+79876063756")</f>
        <v>+79876063756</v>
      </c>
      <c r="D894" s="15" t="str">
        <f ca="1">IFERROR(__xludf.DUMMYFUNCTION("""COMPUTED_VALUE"""),"Россия")</f>
        <v>Россия</v>
      </c>
      <c r="E894" s="14"/>
      <c r="F894" s="8" t="str">
        <f ca="1">IFERROR(__xludf.DUMMYFUNCTION("""COMPUTED_VALUE"""),"- Онлайн курс Шаг к Пробуждению №16 26.2-5.3.22 Пакет стандартный")</f>
        <v>- Онлайн курс Шаг к Пробуждению №16 26.2-5.3.22 Пакет стандартный</v>
      </c>
      <c r="G894" s="1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5.5">
      <c r="A895" s="14" t="str">
        <f ca="1">IFERROR(__xludf.DUMMYFUNCTION("""COMPUTED_VALUE"""),"Сая Исламова")</f>
        <v>Сая Исламова</v>
      </c>
      <c r="B895" s="14" t="str">
        <f ca="1">IFERROR(__xludf.DUMMYFUNCTION("""COMPUTED_VALUE"""),"islamovas@inbox.ru")</f>
        <v>islamovas@inbox.ru</v>
      </c>
      <c r="C895" s="15" t="str">
        <f ca="1">IFERROR(__xludf.DUMMYFUNCTION("""COMPUTED_VALUE"""),"+998977042662")</f>
        <v>+998977042662</v>
      </c>
      <c r="D895" s="15"/>
      <c r="E895" s="14"/>
      <c r="F89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895" s="1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>
      <c r="A896" s="14" t="str">
        <f ca="1">IFERROR(__xludf.DUMMYFUNCTION("""COMPUTED_VALUE"""),"Ринат Исмагилов")</f>
        <v>Ринат Исмагилов</v>
      </c>
      <c r="B896" s="14" t="str">
        <f ca="1">IFERROR(__xludf.DUMMYFUNCTION("""COMPUTED_VALUE"""),"Ismagilov@partslin.com")</f>
        <v>Ismagilov@partslin.com</v>
      </c>
      <c r="C896" s="15" t="str">
        <f ca="1">IFERROR(__xludf.DUMMYFUNCTION("""COMPUTED_VALUE"""),"+79680851522")</f>
        <v>+79680851522</v>
      </c>
      <c r="D896" s="15" t="str">
        <f ca="1">IFERROR(__xludf.DUMMYFUNCTION("""COMPUTED_VALUE"""),"Россия")</f>
        <v>Россия</v>
      </c>
      <c r="E896" s="14"/>
      <c r="F896" s="8" t="str">
        <f ca="1">IFERROR(__xludf.DUMMYFUNCTION("""COMPUTED_VALUE"""),"- Вебинар-батл Я уже все знаю! Мне не нужна Школа 9.01.2022")</f>
        <v>- Вебинар-батл Я уже все знаю! Мне не нужна Школа 9.01.2022</v>
      </c>
      <c r="G896" s="1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>
      <c r="A897" s="14" t="str">
        <f ca="1">IFERROR(__xludf.DUMMYFUNCTION("""COMPUTED_VALUE"""),"Ринат Исмагилов")</f>
        <v>Ринат Исмагилов</v>
      </c>
      <c r="B897" s="14" t="str">
        <f ca="1">IFERROR(__xludf.DUMMYFUNCTION("""COMPUTED_VALUE"""),"Ismahilovrw@mail.ru")</f>
        <v>Ismahilovrw@mail.ru</v>
      </c>
      <c r="C897" s="15" t="str">
        <f ca="1">IFERROR(__xludf.DUMMYFUNCTION("""COMPUTED_VALUE"""),"+79680851522")</f>
        <v>+79680851522</v>
      </c>
      <c r="D897" s="15" t="str">
        <f ca="1">IFERROR(__xludf.DUMMYFUNCTION("""COMPUTED_VALUE"""),"Россия")</f>
        <v>Россия</v>
      </c>
      <c r="E897" s="14"/>
      <c r="F897" s="8" t="str">
        <f ca="1">IFERROR(__xludf.DUMMYFUNCTION("""COMPUTED_VALUE"""),"- Вебинар-батл Я уже все знаю! Мне не нужна Школа 9.01.2022")</f>
        <v>- Вебинар-батл Я уже все знаю! Мне не нужна Школа 9.01.2022</v>
      </c>
      <c r="G897" s="1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5.5">
      <c r="A898" s="14" t="str">
        <f ca="1">IFERROR(__xludf.DUMMYFUNCTION("""COMPUTED_VALUE"""),"ЯРОСЛАВ КОВАЛЬЧУК")</f>
        <v>ЯРОСЛАВ КОВАЛЬЧУК</v>
      </c>
      <c r="B898" s="14" t="str">
        <f ca="1">IFERROR(__xludf.DUMMYFUNCTION("""COMPUTED_VALUE"""),"iso9100@Mail.ru")</f>
        <v>iso9100@Mail.ru</v>
      </c>
      <c r="C898" s="15" t="str">
        <f ca="1">IFERROR(__xludf.DUMMYFUNCTION("""COMPUTED_VALUE"""),"380676967306")</f>
        <v>380676967306</v>
      </c>
      <c r="D898" s="15" t="str">
        <f ca="1">IFERROR(__xludf.DUMMYFUNCTION("""COMPUTED_VALUE"""),"Украина")</f>
        <v>Украина</v>
      </c>
      <c r="E898" s="14" t="str">
        <f ca="1">IFERROR(__xludf.DUMMYFUNCTION("""COMPUTED_VALUE"""),"@yarik0s")</f>
        <v>@yarik0s</v>
      </c>
      <c r="F898" s="8" t="str">
        <f ca="1">IFERROR(__xludf.DUMMYFUNCTION("""COMPUTED_VALUE"""),"- Клуб пробуждения Друзья (2 уровень) - 6 месяцев - скидка 13%
- Тишина Челлендж для Украины (рус)")</f>
        <v>- Клуб пробуждения Друзья (2 уровень) - 6 месяцев - скидка 13%
- Тишина Челлендж для Украины (рус)</v>
      </c>
      <c r="G898" s="1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>
      <c r="A899" s="14" t="str">
        <f ca="1">IFERROR(__xludf.DUMMYFUNCTION("""COMPUTED_VALUE"""),"Ирина Стычева, ")</f>
        <v xml:space="preserve">Ирина Стычева, </v>
      </c>
      <c r="B899" s="14" t="str">
        <f ca="1">IFERROR(__xludf.DUMMYFUNCTION("""COMPUTED_VALUE"""),"Istycheva@yandex.ru")</f>
        <v>Istycheva@yandex.ru</v>
      </c>
      <c r="C899" s="15" t="str">
        <f ca="1">IFERROR(__xludf.DUMMYFUNCTION("""COMPUTED_VALUE"""),"+79891659239, ")</f>
        <v xml:space="preserve">+79891659239, </v>
      </c>
      <c r="D899" s="15"/>
      <c r="E899" s="14"/>
      <c r="F899" s="8" t="str">
        <f ca="1">IFERROR(__xludf.DUMMYFUNCTION("""COMPUTED_VALUE"""),"- Тишина Челлендж (бесплатная часть)")</f>
        <v>- Тишина Челлендж (бесплатная часть)</v>
      </c>
      <c r="G899" s="1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>
      <c r="A900" s="14" t="str">
        <f ca="1">IFERROR(__xludf.DUMMYFUNCTION("""COMPUTED_VALUE"""),"Индира, Индира ")</f>
        <v xml:space="preserve">Индира, Индира </v>
      </c>
      <c r="B900" s="14" t="str">
        <f ca="1">IFERROR(__xludf.DUMMYFUNCTION("""COMPUTED_VALUE"""),"isupovair@mail.ru")</f>
        <v>isupovair@mail.ru</v>
      </c>
      <c r="C900" s="15" t="str">
        <f ca="1">IFERROR(__xludf.DUMMYFUNCTION("""COMPUTED_VALUE"""),"+79000891454")</f>
        <v>+79000891454</v>
      </c>
      <c r="D900" s="15" t="str">
        <f ca="1">IFERROR(__xludf.DUMMYFUNCTION("""COMPUTED_VALUE"""),"Россия")</f>
        <v>Россия</v>
      </c>
      <c r="E900" s="14"/>
      <c r="F900" s="8" t="str">
        <f ca="1">IFERROR(__xludf.DUMMYFUNCTION("""COMPUTED_VALUE"""),"-  Курс Пробуждение. Начало.")</f>
        <v>-  Курс Пробуждение. Начало.</v>
      </c>
      <c r="G900" s="1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>
      <c r="A901" s="14" t="str">
        <f ca="1">IFERROR(__xludf.DUMMYFUNCTION("""COMPUTED_VALUE"""),"И У")</f>
        <v>И У</v>
      </c>
      <c r="B901" s="14" t="str">
        <f ca="1">IFERROR(__xludf.DUMMYFUNCTION("""COMPUTED_VALUE"""),"isus6771@mail.ru")</f>
        <v>isus6771@mail.ru</v>
      </c>
      <c r="C901" s="15"/>
      <c r="D901" s="15" t="str">
        <f ca="1">IFERROR(__xludf.DUMMYFUNCTION("""COMPUTED_VALUE"""),"Таджикистан")</f>
        <v>Таджикистан</v>
      </c>
      <c r="E901" s="14"/>
      <c r="F901" s="8" t="str">
        <f ca="1">IFERROR(__xludf.DUMMYFUNCTION("""COMPUTED_VALUE"""),"Мероприятий не обнаружено")</f>
        <v>Мероприятий не обнаружено</v>
      </c>
      <c r="G901" s="1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>
      <c r="A902" s="14" t="str">
        <f ca="1">IFERROR(__xludf.DUMMYFUNCTION("""COMPUTED_VALUE"""),"Iurii Savin")</f>
        <v>Iurii Savin</v>
      </c>
      <c r="B902" s="14" t="str">
        <f ca="1">IFERROR(__xludf.DUMMYFUNCTION("""COMPUTED_VALUE"""),"iur.aicido73@yandex.ru")</f>
        <v>iur.aicido73@yandex.ru</v>
      </c>
      <c r="C902" s="15"/>
      <c r="D902" s="15" t="str">
        <f ca="1">IFERROR(__xludf.DUMMYFUNCTION("""COMPUTED_VALUE"""),"Молдова")</f>
        <v>Молдова</v>
      </c>
      <c r="E902" s="14"/>
      <c r="F902" s="8" t="str">
        <f ca="1">IFERROR(__xludf.DUMMYFUNCTION("""COMPUTED_VALUE"""),"- Тишина Челлендж (бесплатная часть)")</f>
        <v>- Тишина Челлендж (бесплатная часть)</v>
      </c>
      <c r="G902" s="1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>
      <c r="A903" s="14" t="str">
        <f ca="1">IFERROR(__xludf.DUMMYFUNCTION("""COMPUTED_VALUE"""),"Иван Митин")</f>
        <v>Иван Митин</v>
      </c>
      <c r="B903" s="14" t="str">
        <f ca="1">IFERROR(__xludf.DUMMYFUNCTION("""COMPUTED_VALUE"""),"ivanesis83@yandex.ru")</f>
        <v>ivanesis83@yandex.ru</v>
      </c>
      <c r="C903" s="15" t="str">
        <f ca="1">IFERROR(__xludf.DUMMYFUNCTION("""COMPUTED_VALUE"""),"+79119596505")</f>
        <v>+79119596505</v>
      </c>
      <c r="D903" s="15" t="str">
        <f ca="1">IFERROR(__xludf.DUMMYFUNCTION("""COMPUTED_VALUE"""),"Россия")</f>
        <v>Россия</v>
      </c>
      <c r="E903" s="14"/>
      <c r="F903" s="8" t="str">
        <f ca="1">IFERROR(__xludf.DUMMYFUNCTION("""COMPUTED_VALUE"""),"- Вебинар все о ретрите 12.2.2022")</f>
        <v>- Вебинар все о ретрите 12.2.2022</v>
      </c>
      <c r="G903" s="1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>
      <c r="A904" s="14" t="str">
        <f ca="1">IFERROR(__xludf.DUMMYFUNCTION("""COMPUTED_VALUE"""),"Штефан Иванов")</f>
        <v>Штефан Иванов</v>
      </c>
      <c r="B904" s="14" t="str">
        <f ca="1">IFERROR(__xludf.DUMMYFUNCTION("""COMPUTED_VALUE"""),"ivanov.shtefan97@gmail.com")</f>
        <v>ivanov.shtefan97@gmail.com</v>
      </c>
      <c r="C904" s="15" t="str">
        <f ca="1">IFERROR(__xludf.DUMMYFUNCTION("""COMPUTED_VALUE"""),"+79121642582")</f>
        <v>+79121642582</v>
      </c>
      <c r="D904" s="15" t="str">
        <f ca="1">IFERROR(__xludf.DUMMYFUNCTION("""COMPUTED_VALUE"""),"Россия")</f>
        <v>Россия</v>
      </c>
      <c r="E904" s="14"/>
      <c r="F904" s="8" t="str">
        <f ca="1">IFERROR(__xludf.DUMMYFUNCTION("""COMPUTED_VALUE"""),"- Тишина Челлендж (бесплатная часть)")</f>
        <v>- Тишина Челлендж (бесплатная часть)</v>
      </c>
      <c r="G904" s="1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>
      <c r="A905" s="14" t="str">
        <f ca="1">IFERROR(__xludf.DUMMYFUNCTION("""COMPUTED_VALUE"""),"Марина Иванова")</f>
        <v>Марина Иванова</v>
      </c>
      <c r="B905" s="14" t="str">
        <f ca="1">IFERROR(__xludf.DUMMYFUNCTION("""COMPUTED_VALUE"""),"ivanovamarina051972@gmail.com")</f>
        <v>ivanovamarina051972@gmail.com</v>
      </c>
      <c r="C905" s="15" t="str">
        <f ca="1">IFERROR(__xludf.DUMMYFUNCTION("""COMPUTED_VALUE"""),"79181741820")</f>
        <v>79181741820</v>
      </c>
      <c r="D905" s="15" t="str">
        <f ca="1">IFERROR(__xludf.DUMMYFUNCTION("""COMPUTED_VALUE"""),"Россия")</f>
        <v>Россия</v>
      </c>
      <c r="E905" s="14"/>
      <c r="F905" s="8" t="str">
        <f ca="1">IFERROR(__xludf.DUMMYFUNCTION("""COMPUTED_VALUE"""),"- Тишина Челлендж (бесплатная часть)")</f>
        <v>- Тишина Челлендж (бесплатная часть)</v>
      </c>
      <c r="G905" s="1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>
      <c r="A906" s="14" t="str">
        <f ca="1">IFERROR(__xludf.DUMMYFUNCTION("""COMPUTED_VALUE"""),"Даниэль Арутюнов")</f>
        <v>Даниэль Арутюнов</v>
      </c>
      <c r="B906" s="14" t="str">
        <f ca="1">IFERROR(__xludf.DUMMYFUNCTION("""COMPUTED_VALUE"""),"Ivanovets89@mail.ru")</f>
        <v>Ivanovets89@mail.ru</v>
      </c>
      <c r="C906" s="15" t="str">
        <f ca="1">IFERROR(__xludf.DUMMYFUNCTION("""COMPUTED_VALUE"""),"79648828313")</f>
        <v>79648828313</v>
      </c>
      <c r="D906" s="15" t="str">
        <f ca="1">IFERROR(__xludf.DUMMYFUNCTION("""COMPUTED_VALUE"""),"Россия")</f>
        <v>Россия</v>
      </c>
      <c r="E906" s="14"/>
      <c r="F906" s="8" t="str">
        <f ca="1">IFERROR(__xludf.DUMMYFUNCTION("""COMPUTED_VALUE"""),"- Тишина Челлендж (бесплатная часть)")</f>
        <v>- Тишина Челлендж (бесплатная часть)</v>
      </c>
      <c r="G906" s="1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>
      <c r="A907" s="14" t="str">
        <f ca="1">IFERROR(__xludf.DUMMYFUNCTION("""COMPUTED_VALUE"""),"Иван Шейко")</f>
        <v>Иван Шейко</v>
      </c>
      <c r="B907" s="14" t="str">
        <f ca="1">IFERROR(__xludf.DUMMYFUNCTION("""COMPUTED_VALUE"""),"ivansheko@yandex.ru")</f>
        <v>ivansheko@yandex.ru</v>
      </c>
      <c r="C907" s="15" t="str">
        <f ca="1">IFERROR(__xludf.DUMMYFUNCTION("""COMPUTED_VALUE"""),"+79150542691")</f>
        <v>+79150542691</v>
      </c>
      <c r="D907" s="15" t="str">
        <f ca="1">IFERROR(__xludf.DUMMYFUNCTION("""COMPUTED_VALUE"""),"Россия")</f>
        <v>Россия</v>
      </c>
      <c r="E907" s="14"/>
      <c r="F907" s="8" t="str">
        <f ca="1">IFERROR(__xludf.DUMMYFUNCTION("""COMPUTED_VALUE"""),"- Однодневный ретрит Россия 14 мая 2022")</f>
        <v>- Однодневный ретрит Россия 14 мая 2022</v>
      </c>
      <c r="G907" s="1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>
      <c r="A908" s="14" t="str">
        <f ca="1">IFERROR(__xludf.DUMMYFUNCTION("""COMPUTED_VALUE"""),"ivan star")</f>
        <v>ivan star</v>
      </c>
      <c r="B908" s="14" t="str">
        <f ca="1">IFERROR(__xludf.DUMMYFUNCTION("""COMPUTED_VALUE"""),"ivanstar75@mail.ru")</f>
        <v>ivanstar75@mail.ru</v>
      </c>
      <c r="C908" s="15"/>
      <c r="D908" s="15" t="str">
        <f ca="1">IFERROR(__xludf.DUMMYFUNCTION("""COMPUTED_VALUE"""),"Швеция")</f>
        <v>Швеция</v>
      </c>
      <c r="E908" s="14"/>
      <c r="F908" s="8" t="str">
        <f ca="1">IFERROR(__xludf.DUMMYFUNCTION("""COMPUTED_VALUE"""),"- Тишина Челлендж (бесплатная часть)")</f>
        <v>- Тишина Челлендж (бесплатная часть)</v>
      </c>
      <c r="G908" s="1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>
      <c r="A909" s="14" t="str">
        <f ca="1">IFERROR(__xludf.DUMMYFUNCTION("""COMPUTED_VALUE"""),"Иван Ваганов")</f>
        <v>Иван Ваганов</v>
      </c>
      <c r="B909" s="14" t="str">
        <f ca="1">IFERROR(__xludf.DUMMYFUNCTION("""COMPUTED_VALUE"""),"ivanvaganov@yandex.ru")</f>
        <v>ivanvaganov@yandex.ru</v>
      </c>
      <c r="C909" s="15" t="str">
        <f ca="1">IFERROR(__xludf.DUMMYFUNCTION("""COMPUTED_VALUE"""),", +79006553554")</f>
        <v>, +79006553554</v>
      </c>
      <c r="D909" s="15" t="str">
        <f ca="1">IFERROR(__xludf.DUMMYFUNCTION("""COMPUTED_VALUE"""),"США")</f>
        <v>США</v>
      </c>
      <c r="E909" s="14"/>
      <c r="F909" s="8" t="str">
        <f ca="1">IFERROR(__xludf.DUMMYFUNCTION("""COMPUTED_VALUE"""),"Мероприятий не обнаружено")</f>
        <v>Мероприятий не обнаружено</v>
      </c>
      <c r="G909" s="1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51">
      <c r="A910" s="14" t="str">
        <f ca="1">IFERROR(__xludf.DUMMYFUNCTION("""COMPUTED_VALUE"""),"Iveta Cimiņa")</f>
        <v>Iveta Cimiņa</v>
      </c>
      <c r="B910" s="14" t="str">
        <f ca="1">IFERROR(__xludf.DUMMYFUNCTION("""COMPUTED_VALUE"""),"ivetacimina@inbox.lv")</f>
        <v>ivetacimina@inbox.lv</v>
      </c>
      <c r="C910" s="15" t="str">
        <f ca="1">IFERROR(__xludf.DUMMYFUNCTION("""COMPUTED_VALUE"""),"26402041")</f>
        <v>26402041</v>
      </c>
      <c r="D910" s="15" t="str">
        <f ca="1">IFERROR(__xludf.DUMMYFUNCTION("""COMPUTED_VALUE"""),"Latvija")</f>
        <v>Latvija</v>
      </c>
      <c r="E910" s="14"/>
      <c r="F910" s="8" t="str">
        <f ca="1">IFERROR(__xludf.DUMMYFUNCTION("""COMPUTED_VALUE"""),"- ретрит ЕВРОПЕЙСКИЙ 14-21.1.2022 Латвия (цена- 390€) 
- Ретрит ""Проектная деятельность"" для участников ретритов
- Онлайн Интенсив 29-30 января 2022 Европа
- Вебинар с Никитой Бородулиным 11.02.2022 часть1")</f>
        <v>- ретрит ЕВРОПЕЙСКИЙ 14-21.1.2022 Латвия (цена- 390€) 
- Ретрит "Проектная деятельность" для участников ретритов
- Онлайн Интенсив 29-30 января 2022 Европа
- Вебинар с Никитой Бородулиным 11.02.2022 часть1</v>
      </c>
      <c r="G910" s="1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5.5">
      <c r="A911" s="14" t="str">
        <f ca="1">IFERROR(__xludf.DUMMYFUNCTION("""COMPUTED_VALUE"""),"Iveta Ķimse")</f>
        <v>Iveta Ķimse</v>
      </c>
      <c r="B911" s="14" t="str">
        <f ca="1">IFERROR(__xludf.DUMMYFUNCTION("""COMPUTED_VALUE"""),"ivetaki@inbox.lv")</f>
        <v>ivetaki@inbox.lv</v>
      </c>
      <c r="C911" s="15" t="str">
        <f ca="1">IFERROR(__xludf.DUMMYFUNCTION("""COMPUTED_VALUE"""),"28231036")</f>
        <v>28231036</v>
      </c>
      <c r="D911" s="15" t="str">
        <f ca="1">IFERROR(__xludf.DUMMYFUNCTION("""COMPUTED_VALUE"""),"Латвия")</f>
        <v>Латвия</v>
      </c>
      <c r="E911" s="14"/>
      <c r="F911" s="8" t="str">
        <f ca="1">IFERROR(__xludf.DUMMYFUNCTION("""COMPUTED_VALUE"""),"- Онлайн Интенсив 29-30 января 2022 Европа
- Европейский Онлайн Интенсив 4-6.03.2022")</f>
        <v>- Онлайн Интенсив 29-30 января 2022 Европа
- Европейский Онлайн Интенсив 4-6.03.2022</v>
      </c>
      <c r="G911" s="1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5.5">
      <c r="A912" s="14" t="str">
        <f ca="1">IFERROR(__xludf.DUMMYFUNCTION("""COMPUTED_VALUE"""),"ДИ И")</f>
        <v>ДИ И</v>
      </c>
      <c r="B912" s="14" t="str">
        <f ca="1">IFERROR(__xludf.DUMMYFUNCTION("""COMPUTED_VALUE"""),"Iwachowa777@gmail.com")</f>
        <v>Iwachowa777@gmail.com</v>
      </c>
      <c r="C912" s="15" t="str">
        <f ca="1">IFERROR(__xludf.DUMMYFUNCTION("""COMPUTED_VALUE"""),"7771366975")</f>
        <v>7771366975</v>
      </c>
      <c r="D912" s="15"/>
      <c r="E912" s="14"/>
      <c r="F91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912" s="1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>
      <c r="A913" s="14" t="str">
        <f ca="1">IFERROR(__xludf.DUMMYFUNCTION("""COMPUTED_VALUE"""),"Берсенева Елена")</f>
        <v>Берсенева Елена</v>
      </c>
      <c r="B913" s="14" t="str">
        <f ca="1">IFERROR(__xludf.DUMMYFUNCTION("""COMPUTED_VALUE"""),"Izumrud.lip@mail.ru")</f>
        <v>Izumrud.lip@mail.ru</v>
      </c>
      <c r="C913" s="15" t="str">
        <f ca="1">IFERROR(__xludf.DUMMYFUNCTION("""COMPUTED_VALUE"""),"79102500017")</f>
        <v>79102500017</v>
      </c>
      <c r="D913" s="15" t="str">
        <f ca="1">IFERROR(__xludf.DUMMYFUNCTION("""COMPUTED_VALUE"""),"Россия")</f>
        <v>Россия</v>
      </c>
      <c r="E913" s="14"/>
      <c r="F913" s="8" t="str">
        <f ca="1">IFERROR(__xludf.DUMMYFUNCTION("""COMPUTED_VALUE"""),"- Выездной ретрит Воронеж-Липецк 25-27.2.2022")</f>
        <v>- Выездной ретрит Воронеж-Липецк 25-27.2.2022</v>
      </c>
      <c r="G913" s="1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>
      <c r="A914" s="14" t="str">
        <f ca="1">IFERROR(__xludf.DUMMYFUNCTION("""COMPUTED_VALUE"""),"Janis Jekabsons")</f>
        <v>Janis Jekabsons</v>
      </c>
      <c r="B914" s="14" t="str">
        <f ca="1">IFERROR(__xludf.DUMMYFUNCTION("""COMPUTED_VALUE"""),"ja3000@inbox.lv")</f>
        <v>ja3000@inbox.lv</v>
      </c>
      <c r="C914" s="15" t="str">
        <f ca="1">IFERROR(__xludf.DUMMYFUNCTION("""COMPUTED_VALUE"""),"20703277")</f>
        <v>20703277</v>
      </c>
      <c r="D914" s="15" t="str">
        <f ca="1">IFERROR(__xludf.DUMMYFUNCTION("""COMPUTED_VALUE"""),"Латвия")</f>
        <v>Латвия</v>
      </c>
      <c r="E914" s="14"/>
      <c r="F914" s="8" t="str">
        <f ca="1">IFERROR(__xludf.DUMMYFUNCTION("""COMPUTED_VALUE"""),"- Европейский Онлайн Интенсив 4-6.03.2022")</f>
        <v>- Европейский Онлайн Интенсив 4-6.03.2022</v>
      </c>
      <c r="G914" s="1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>
      <c r="A915" s="14" t="str">
        <f ca="1">IFERROR(__xludf.DUMMYFUNCTION("""COMPUTED_VALUE"""),"Demdem Tyr")</f>
        <v>Demdem Tyr</v>
      </c>
      <c r="B915" s="14" t="str">
        <f ca="1">IFERROR(__xludf.DUMMYFUNCTION("""COMPUTED_VALUE"""),"jajajoder@yandex.ru")</f>
        <v>jajajoder@yandex.ru</v>
      </c>
      <c r="C915" s="15"/>
      <c r="D915" s="15" t="str">
        <f ca="1">IFERROR(__xludf.DUMMYFUNCTION("""COMPUTED_VALUE"""),"Испания")</f>
        <v>Испания</v>
      </c>
      <c r="E915" s="14"/>
      <c r="F915" s="8" t="str">
        <f ca="1">IFERROR(__xludf.DUMMYFUNCTION("""COMPUTED_VALUE"""),"- Базовая бесплатная часть")</f>
        <v>- Базовая бесплатная часть</v>
      </c>
      <c r="G915" s="1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>
      <c r="A916" s="14" t="str">
        <f ca="1">IFERROR(__xludf.DUMMYFUNCTION("""COMPUTED_VALUE"""),"Janine Reimann")</f>
        <v>Janine Reimann</v>
      </c>
      <c r="B916" s="14" t="str">
        <f ca="1">IFERROR(__xludf.DUMMYFUNCTION("""COMPUTED_VALUE"""),"janine.reimann@gmx.de")</f>
        <v>janine.reimann@gmx.de</v>
      </c>
      <c r="C916" s="15" t="str">
        <f ca="1">IFERROR(__xludf.DUMMYFUNCTION("""COMPUTED_VALUE"""),"+4915735241204")</f>
        <v>+4915735241204</v>
      </c>
      <c r="D916" s="15" t="str">
        <f ca="1">IFERROR(__xludf.DUMMYFUNCTION("""COMPUTED_VALUE"""),"Германия")</f>
        <v>Германия</v>
      </c>
      <c r="E916" s="14"/>
      <c r="F916" s="8" t="str">
        <f ca="1">IFERROR(__xludf.DUMMYFUNCTION("""COMPUTED_VALUE"""),"- Онлайн курс Шаг к Пробуждению №14 4-14.12.2021 DEU")</f>
        <v>- Онлайн курс Шаг к Пробуждению №14 4-14.12.2021 DEU</v>
      </c>
      <c r="G916" s="1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5.5">
      <c r="A917" s="14" t="str">
        <f ca="1">IFERROR(__xludf.DUMMYFUNCTION("""COMPUTED_VALUE"""),"Жансая Закарина")</f>
        <v>Жансая Закарина</v>
      </c>
      <c r="B917" s="14" t="str">
        <f ca="1">IFERROR(__xludf.DUMMYFUNCTION("""COMPUTED_VALUE"""),"Jansik_zak@mail.ru")</f>
        <v>Jansik_zak@mail.ru</v>
      </c>
      <c r="C917" s="15" t="str">
        <f ca="1">IFERROR(__xludf.DUMMYFUNCTION("""COMPUTED_VALUE"""),"87027662045")</f>
        <v>87027662045</v>
      </c>
      <c r="D917" s="15"/>
      <c r="E917" s="14"/>
      <c r="F91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917" s="1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>
      <c r="A918" s="14" t="str">
        <f ca="1">IFERROR(__xludf.DUMMYFUNCTION("""COMPUTED_VALUE"""),"Ольга Никифорова")</f>
        <v>Ольга Никифорова</v>
      </c>
      <c r="B918" s="14" t="str">
        <f ca="1">IFERROR(__xludf.DUMMYFUNCTION("""COMPUTED_VALUE"""),"jaolga65@mail.ru")</f>
        <v>jaolga65@mail.ru</v>
      </c>
      <c r="C918" s="15" t="str">
        <f ca="1">IFERROR(__xludf.DUMMYFUNCTION("""COMPUTED_VALUE"""),"+79852318610")</f>
        <v>+79852318610</v>
      </c>
      <c r="D918" s="15" t="str">
        <f ca="1">IFERROR(__xludf.DUMMYFUNCTION("""COMPUTED_VALUE"""),"Россия")</f>
        <v>Россия</v>
      </c>
      <c r="E918" s="14"/>
      <c r="F918" s="8" t="str">
        <f ca="1">IFERROR(__xludf.DUMMYFUNCTION("""COMPUTED_VALUE"""),"- Вебинар все о ретрите 12.2.2022")</f>
        <v>- Вебинар все о ретрите 12.2.2022</v>
      </c>
      <c r="G918" s="1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>
      <c r="A919" s="14" t="str">
        <f ca="1">IFERROR(__xludf.DUMMYFUNCTION("""COMPUTED_VALUE"""),"Жасмин Приступа")</f>
        <v>Жасмин Приступа</v>
      </c>
      <c r="B919" s="14" t="str">
        <f ca="1">IFERROR(__xludf.DUMMYFUNCTION("""COMPUTED_VALUE"""),"jasminpristupa@icloud.com")</f>
        <v>jasminpristupa@icloud.com</v>
      </c>
      <c r="C919" s="15" t="str">
        <f ca="1">IFERROR(__xludf.DUMMYFUNCTION("""COMPUTED_VALUE"""),"+79114231875")</f>
        <v>+79114231875</v>
      </c>
      <c r="D919" s="15" t="str">
        <f ca="1">IFERROR(__xludf.DUMMYFUNCTION("""COMPUTED_VALUE"""),"Россия")</f>
        <v>Россия</v>
      </c>
      <c r="E919" s="14"/>
      <c r="F919" s="8" t="str">
        <f ca="1">IFERROR(__xludf.DUMMYFUNCTION("""COMPUTED_VALUE"""),"- Практика Тишины общая платная")</f>
        <v>- Практика Тишины общая платная</v>
      </c>
      <c r="G919" s="1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>
      <c r="A920" s="14" t="str">
        <f ca="1">IFERROR(__xludf.DUMMYFUNCTION("""COMPUTED_VALUE"""),"Jason Kean")</f>
        <v>Jason Kean</v>
      </c>
      <c r="B920" s="14" t="str">
        <f ca="1">IFERROR(__xludf.DUMMYFUNCTION("""COMPUTED_VALUE"""),"jason_kean@cable.comcast.com")</f>
        <v>jason_kean@cable.comcast.com</v>
      </c>
      <c r="C920" s="15"/>
      <c r="D920" s="15" t="str">
        <f ca="1">IFERROR(__xludf.DUMMYFUNCTION("""COMPUTED_VALUE"""),"США")</f>
        <v>США</v>
      </c>
      <c r="E920" s="14"/>
      <c r="F920" s="8" t="str">
        <f ca="1">IFERROR(__xludf.DUMMYFUNCTION("""COMPUTED_VALUE"""),"- Awakening challenge")</f>
        <v>- Awakening challenge</v>
      </c>
      <c r="G920" s="1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>
      <c r="A921" s="14" t="str">
        <f ca="1">IFERROR(__xludf.DUMMYFUNCTION("""COMPUTED_VALUE"""),"Лев Гордон")</f>
        <v>Лев Гордон</v>
      </c>
      <c r="B921" s="14" t="str">
        <f ca="1">IFERROR(__xludf.DUMMYFUNCTION("""COMPUTED_VALUE"""),"jayrandom@yahoo.com")</f>
        <v>jayrandom@yahoo.com</v>
      </c>
      <c r="C921" s="15" t="str">
        <f ca="1">IFERROR(__xludf.DUMMYFUNCTION("""COMPUTED_VALUE"""),"+447950516269")</f>
        <v>+447950516269</v>
      </c>
      <c r="D921" s="15" t="str">
        <f ca="1">IFERROR(__xludf.DUMMYFUNCTION("""COMPUTED_VALUE"""),"Великобритания")</f>
        <v>Великобритания</v>
      </c>
      <c r="E921" s="14"/>
      <c r="F921" s="8" t="str">
        <f ca="1">IFERROR(__xludf.DUMMYFUNCTION("""COMPUTED_VALUE"""),"- Запись на ""Беседу по душам""")</f>
        <v>- Запись на "Беседу по душам"</v>
      </c>
      <c r="G921" s="1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76.5">
      <c r="A922" s="14" t="str">
        <f ca="1">IFERROR(__xludf.DUMMYFUNCTION("""COMPUTED_VALUE"""),"Галина Железнова")</f>
        <v>Галина Железнова</v>
      </c>
      <c r="B922" s="14" t="str">
        <f ca="1">IFERROR(__xludf.DUMMYFUNCTION("""COMPUTED_VALUE"""),"Jeleznowag@yandex.ru")</f>
        <v>Jeleznowag@yandex.ru</v>
      </c>
      <c r="C922" s="15" t="str">
        <f ca="1">IFERROR(__xludf.DUMMYFUNCTION("""COMPUTED_VALUE"""),"+79626186138")</f>
        <v>+79626186138</v>
      </c>
      <c r="D922" s="15" t="str">
        <f ca="1">IFERROR(__xludf.DUMMYFUNCTION("""COMPUTED_VALUE"""),"Россия")</f>
        <v>Россия</v>
      </c>
      <c r="E922" s="14"/>
      <c r="F922" s="8" t="str">
        <f ca="1">IFERROR(__xludf.DUMMYFUNCTION("""COMPUTED_VALUE"""),"- Вебинар все о ретрите 12.2.2022
- Челлендж Тишины
- Онлайн курс Шаг к Пробуждению №16 26.2-5.3.22 Пакет стандартный
- Клуб пробуждения Друзья (Региональный)
- Однодневный онлайн ретрит Россия 14 мая 2022")</f>
        <v>- Вебинар все о ретрите 12.2.2022
- Челлендж Тишины
- Онлайн курс Шаг к Пробуждению №16 26.2-5.3.22 Пакет стандартный
- Клуб пробуждения Друзья (Региональный)
- Однодневный онлайн ретрит Россия 14 мая 2022</v>
      </c>
      <c r="G922" s="1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5.5">
      <c r="A923" s="14" t="str">
        <f ca="1">IFERROR(__xludf.DUMMYFUNCTION("""COMPUTED_VALUE"""),"Евгения Гончарова")</f>
        <v>Евгения Гончарова</v>
      </c>
      <c r="B923" s="14" t="str">
        <f ca="1">IFERROR(__xludf.DUMMYFUNCTION("""COMPUTED_VALUE"""),"jenechka.lev@mail.ru")</f>
        <v>jenechka.lev@mail.ru</v>
      </c>
      <c r="C923" s="15" t="str">
        <f ca="1">IFERROR(__xludf.DUMMYFUNCTION("""COMPUTED_VALUE"""),"+77774789794")</f>
        <v>+77774789794</v>
      </c>
      <c r="D923" s="15"/>
      <c r="E923" s="14"/>
      <c r="F92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923" s="1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>
      <c r="A924" s="14" t="str">
        <f ca="1">IFERROR(__xludf.DUMMYFUNCTION("""COMPUTED_VALUE"""),"Евгения Андреева")</f>
        <v>Евгения Андреева</v>
      </c>
      <c r="B924" s="14" t="str">
        <f ca="1">IFERROR(__xludf.DUMMYFUNCTION("""COMPUTED_VALUE"""),"Jenia.86@list.ru")</f>
        <v>Jenia.86@list.ru</v>
      </c>
      <c r="C924" s="15"/>
      <c r="D924" s="15" t="str">
        <f ca="1">IFERROR(__xludf.DUMMYFUNCTION("""COMPUTED_VALUE"""),"Швеция")</f>
        <v>Швеция</v>
      </c>
      <c r="E924" s="14"/>
      <c r="F924" s="8" t="str">
        <f ca="1">IFERROR(__xludf.DUMMYFUNCTION("""COMPUTED_VALUE"""),"- Тишина Челлендж (бесплатная часть)")</f>
        <v>- Тишина Челлендж (бесплатная часть)</v>
      </c>
      <c r="G924" s="1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>
      <c r="A925" s="14" t="str">
        <f ca="1">IFERROR(__xludf.DUMMYFUNCTION("""COMPUTED_VALUE"""),"Evgeniya Frolova")</f>
        <v>Evgeniya Frolova</v>
      </c>
      <c r="B925" s="14" t="str">
        <f ca="1">IFERROR(__xludf.DUMMYFUNCTION("""COMPUTED_VALUE"""),"jenya.frolova@gmail.com")</f>
        <v>jenya.frolova@gmail.com</v>
      </c>
      <c r="C925" s="15" t="str">
        <f ca="1">IFERROR(__xludf.DUMMYFUNCTION("""COMPUTED_VALUE"""),"+79164470711")</f>
        <v>+79164470711</v>
      </c>
      <c r="D925" s="15" t="str">
        <f ca="1">IFERROR(__xludf.DUMMYFUNCTION("""COMPUTED_VALUE"""),"США")</f>
        <v>США</v>
      </c>
      <c r="E925" s="14"/>
      <c r="F925" s="8" t="str">
        <f ca="1">IFERROR(__xludf.DUMMYFUNCTION("""COMPUTED_VALUE"""),"- Вебинар все о ретрите 12.2.2022")</f>
        <v>- Вебинар все о ретрите 12.2.2022</v>
      </c>
      <c r="G925" s="1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>
      <c r="A926" s="14" t="str">
        <f ca="1">IFERROR(__xludf.DUMMYFUNCTION("""COMPUTED_VALUE"""),"Δημητρης ΛΑΙΟΣ")</f>
        <v>Δημητρης ΛΑΙΟΣ</v>
      </c>
      <c r="B926" s="14" t="str">
        <f ca="1">IFERROR(__xludf.DUMMYFUNCTION("""COMPUTED_VALUE"""),"Jim_laios@yahoo.gr")</f>
        <v>Jim_laios@yahoo.gr</v>
      </c>
      <c r="C926" s="15"/>
      <c r="D926" s="15"/>
      <c r="E926" s="14"/>
      <c r="F926" s="8" t="str">
        <f ca="1">IFERROR(__xludf.DUMMYFUNCTION("""COMPUTED_VALUE"""),"- What hides behind anxiety? The quantum leap [EU]")</f>
        <v>- What hides behind anxiety? The quantum leap [EU]</v>
      </c>
      <c r="G926" s="1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>
      <c r="A927" s="14" t="str">
        <f ca="1">IFERROR(__xludf.DUMMYFUNCTION("""COMPUTED_VALUE"""),"Евгений Смазнов")</f>
        <v>Евгений Смазнов</v>
      </c>
      <c r="B927" s="14" t="str">
        <f ca="1">IFERROR(__xludf.DUMMYFUNCTION("""COMPUTED_VALUE"""),"jin_8484@mail.ru")</f>
        <v>jin_8484@mail.ru</v>
      </c>
      <c r="C927" s="15" t="str">
        <f ca="1">IFERROR(__xludf.DUMMYFUNCTION("""COMPUTED_VALUE"""),"+79243006100")</f>
        <v>+79243006100</v>
      </c>
      <c r="D927" s="15" t="str">
        <f ca="1">IFERROR(__xludf.DUMMYFUNCTION("""COMPUTED_VALUE"""),"Россия")</f>
        <v>Россия</v>
      </c>
      <c r="E927" s="14"/>
      <c r="F927" s="8" t="str">
        <f ca="1">IFERROR(__xludf.DUMMYFUNCTION("""COMPUTED_VALUE"""),"- Онлайн Интенсив Дальний Восток 25-27.02.2022 ")</f>
        <v xml:space="preserve">- Онлайн Интенсив Дальний Восток 25-27.02.2022 </v>
      </c>
      <c r="G927" s="1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5.5">
      <c r="A928" s="14" t="str">
        <f ca="1">IFERROR(__xludf.DUMMYFUNCTION("""COMPUTED_VALUE"""),"Наталия Зейд")</f>
        <v>Наталия Зейд</v>
      </c>
      <c r="B928" s="14" t="str">
        <f ca="1">IFERROR(__xludf.DUMMYFUNCTION("""COMPUTED_VALUE"""),"jiznya32@gmail.com")</f>
        <v>jiznya32@gmail.com</v>
      </c>
      <c r="C928" s="15" t="str">
        <f ca="1">IFERROR(__xludf.DUMMYFUNCTION("""COMPUTED_VALUE"""),"935602083")</f>
        <v>935602083</v>
      </c>
      <c r="D928" s="15"/>
      <c r="E928" s="14"/>
      <c r="F92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928" s="1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5.5">
      <c r="A929" s="14" t="str">
        <f ca="1">IFERROR(__xludf.DUMMYFUNCTION("""COMPUTED_VALUE"""),"Гуля Шарипова")</f>
        <v>Гуля Шарипова</v>
      </c>
      <c r="B929" s="14" t="str">
        <f ca="1">IFERROR(__xludf.DUMMYFUNCTION("""COMPUTED_VALUE"""),"Jlo_84@bk.ru")</f>
        <v>Jlo_84@bk.ru</v>
      </c>
      <c r="C929" s="15" t="str">
        <f ca="1">IFERROR(__xludf.DUMMYFUNCTION("""COMPUTED_VALUE"""),"+998970802811")</f>
        <v>+998970802811</v>
      </c>
      <c r="D929" s="15"/>
      <c r="E929" s="14"/>
      <c r="F92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929" s="1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>
      <c r="A930" s="14" t="str">
        <f ca="1">IFERROR(__xludf.DUMMYFUNCTION("""COMPUTED_VALUE"""),"Мира Сагиндыкова")</f>
        <v>Мира Сагиндыкова</v>
      </c>
      <c r="B930" s="14" t="str">
        <f ca="1">IFERROR(__xludf.DUMMYFUNCTION("""COMPUTED_VALUE"""),"jmj_67@mail.ru")</f>
        <v>jmj_67@mail.ru</v>
      </c>
      <c r="C930" s="15"/>
      <c r="D930" s="15" t="str">
        <f ca="1">IFERROR(__xludf.DUMMYFUNCTION("""COMPUTED_VALUE"""),"Швеция")</f>
        <v>Швеция</v>
      </c>
      <c r="E930" s="14"/>
      <c r="F930" s="8" t="str">
        <f ca="1">IFERROR(__xludf.DUMMYFUNCTION("""COMPUTED_VALUE"""),"Мероприятий не обнаружено")</f>
        <v>Мероприятий не обнаружено</v>
      </c>
      <c r="G930" s="1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>
      <c r="A931" s="14" t="str">
        <f ca="1">IFERROR(__xludf.DUMMYFUNCTION("""COMPUTED_VALUE"""),"Joana Joana")</f>
        <v>Joana Joana</v>
      </c>
      <c r="B931" s="14" t="str">
        <f ca="1">IFERROR(__xludf.DUMMYFUNCTION("""COMPUTED_VALUE"""),"joanamviegas@gmail.com")</f>
        <v>joanamviegas@gmail.com</v>
      </c>
      <c r="C931" s="15"/>
      <c r="D931" s="15"/>
      <c r="E931" s="14"/>
      <c r="F931" s="8" t="str">
        <f ca="1">IFERROR(__xludf.DUMMYFUNCTION("""COMPUTED_VALUE"""),"- What hides behind anxiety? The quantum leap [EU]")</f>
        <v>- What hides behind anxiety? The quantum leap [EU]</v>
      </c>
      <c r="G931" s="1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38.25">
      <c r="A932" s="14" t="str">
        <f ca="1">IFERROR(__xludf.DUMMYFUNCTION("""COMPUTED_VALUE"""),"Margarita JOCHIM")</f>
        <v>Margarita JOCHIM</v>
      </c>
      <c r="B932" s="14" t="str">
        <f ca="1">IFERROR(__xludf.DUMMYFUNCTION("""COMPUTED_VALUE"""),"Jochimmargarita@gmail.com")</f>
        <v>Jochimmargarita@gmail.com</v>
      </c>
      <c r="C932" s="15" t="str">
        <f ca="1">IFERROR(__xludf.DUMMYFUNCTION("""COMPUTED_VALUE"""),"+4915734100050")</f>
        <v>+4915734100050</v>
      </c>
      <c r="D932" s="15" t="str">
        <f ca="1">IFERROR(__xludf.DUMMYFUNCTION("""COMPUTED_VALUE"""),"Германия")</f>
        <v>Германия</v>
      </c>
      <c r="E932" s="14"/>
      <c r="F932" s="8" t="str">
        <f ca="1">IFERROR(__xludf.DUMMYFUNCTION("""COMPUTED_VALUE"""),"- ретрит ЕВРОПЕЙСКИЙ 14-21.1.2022 Германия (550€)в номере на двоих
-  Ретрит в Латвии 19-27.03.2022")</f>
        <v>- ретрит ЕВРОПЕЙСКИЙ 14-21.1.2022 Германия (550€)в номере на двоих
-  Ретрит в Латвии 19-27.03.2022</v>
      </c>
      <c r="G932" s="1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>
      <c r="A933" s="14" t="str">
        <f ca="1">IFERROR(__xludf.DUMMYFUNCTION("""COMPUTED_VALUE"""),"Евгений Иванов")</f>
        <v>Евгений Иванов</v>
      </c>
      <c r="B933" s="14" t="str">
        <f ca="1">IFERROR(__xludf.DUMMYFUNCTION("""COMPUTED_VALUE"""),"johnjohn2014@yandex.ru")</f>
        <v>johnjohn2014@yandex.ru</v>
      </c>
      <c r="C933" s="15" t="str">
        <f ca="1">IFERROR(__xludf.DUMMYFUNCTION("""COMPUTED_VALUE"""),"+79967005009")</f>
        <v>+79967005009</v>
      </c>
      <c r="D933" s="15" t="str">
        <f ca="1">IFERROR(__xludf.DUMMYFUNCTION("""COMPUTED_VALUE"""),"Россия")</f>
        <v>Россия</v>
      </c>
      <c r="E933" s="14"/>
      <c r="F933" s="8" t="str">
        <f ca="1">IFERROR(__xludf.DUMMYFUNCTION("""COMPUTED_VALUE"""),"-  Курс Пробуждение. Начало.")</f>
        <v>-  Курс Пробуждение. Начало.</v>
      </c>
      <c r="G933" s="1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>
      <c r="A934" s="14" t="str">
        <f ca="1">IFERROR(__xludf.DUMMYFUNCTION("""COMPUTED_VALUE"""),"Евгений Сергеевич")</f>
        <v>Евгений Сергеевич</v>
      </c>
      <c r="B934" s="14" t="str">
        <f ca="1">IFERROR(__xludf.DUMMYFUNCTION("""COMPUTED_VALUE"""),"johny_s89@mail.ru")</f>
        <v>johny_s89@mail.ru</v>
      </c>
      <c r="C934" s="15"/>
      <c r="D934" s="15" t="str">
        <f ca="1">IFERROR(__xludf.DUMMYFUNCTION("""COMPUTED_VALUE"""),"Швеция")</f>
        <v>Швеция</v>
      </c>
      <c r="E934" s="14"/>
      <c r="F934" s="8" t="str">
        <f ca="1">IFERROR(__xludf.DUMMYFUNCTION("""COMPUTED_VALUE"""),"- Тишина Челлендж (бесплатная часть)")</f>
        <v>- Тишина Челлендж (бесплатная часть)</v>
      </c>
      <c r="G934" s="1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>
      <c r="A935" s="14" t="str">
        <f ca="1">IFERROR(__xludf.DUMMYFUNCTION("""COMPUTED_VALUE"""),"евгений Щепара")</f>
        <v>евгений Щепара</v>
      </c>
      <c r="B935" s="14" t="str">
        <f ca="1">IFERROR(__xludf.DUMMYFUNCTION("""COMPUTED_VALUE"""),"joker.nn@mail.ru")</f>
        <v>joker.nn@mail.ru</v>
      </c>
      <c r="C935" s="15" t="str">
        <f ca="1">IFERROR(__xludf.DUMMYFUNCTION("""COMPUTED_VALUE"""),"+79030442012")</f>
        <v>+79030442012</v>
      </c>
      <c r="D935" s="15" t="str">
        <f ca="1">IFERROR(__xludf.DUMMYFUNCTION("""COMPUTED_VALUE"""),"Россия")</f>
        <v>Россия</v>
      </c>
      <c r="E935" s="14"/>
      <c r="F935" s="8" t="str">
        <f ca="1">IFERROR(__xludf.DUMMYFUNCTION("""COMPUTED_VALUE"""),"- Мастер-класс Открой космос внутри себя 28.8.21")</f>
        <v>- Мастер-класс Открой космос внутри себя 28.8.21</v>
      </c>
      <c r="G935" s="1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5.5">
      <c r="A936" s="14" t="str">
        <f ca="1">IFERROR(__xludf.DUMMYFUNCTION("""COMPUTED_VALUE"""),"Гоша Гоша")</f>
        <v>Гоша Гоша</v>
      </c>
      <c r="B936" s="14" t="str">
        <f ca="1">IFERROR(__xludf.DUMMYFUNCTION("""COMPUTED_VALUE"""),"JORA.JORIK.2020@INBOX.RU")</f>
        <v>JORA.JORIK.2020@INBOX.RU</v>
      </c>
      <c r="C936" s="15" t="str">
        <f ca="1">IFERROR(__xludf.DUMMYFUNCTION("""COMPUTED_VALUE"""),"+79015162636")</f>
        <v>+79015162636</v>
      </c>
      <c r="D936" s="15" t="str">
        <f ca="1">IFERROR(__xludf.DUMMYFUNCTION("""COMPUTED_VALUE"""),"Россия")</f>
        <v>Россия</v>
      </c>
      <c r="E936" s="14"/>
      <c r="F936" s="8" t="str">
        <f ca="1">IFERROR(__xludf.DUMMYFUNCTION("""COMPUTED_VALUE"""),"- Вебинар с Никитой Бородулиным 11.02.2022 часть1
- Однодневный ретрит Россия 14 мая 2022")</f>
        <v>- Вебинар с Никитой Бородулиным 11.02.2022 часть1
- Однодневный ретрит Россия 14 мая 2022</v>
      </c>
      <c r="G936" s="1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>
      <c r="A937" s="14" t="str">
        <f ca="1">IFERROR(__xludf.DUMMYFUNCTION("""COMPUTED_VALUE"""),"Юлия Жарченкова")</f>
        <v>Юлия Жарченкова</v>
      </c>
      <c r="B937" s="14" t="str">
        <f ca="1">IFERROR(__xludf.DUMMYFUNCTION("""COMPUTED_VALUE"""),"jserebryakowa@gmail.com")</f>
        <v>jserebryakowa@gmail.com</v>
      </c>
      <c r="C937" s="15" t="str">
        <f ca="1">IFERROR(__xludf.DUMMYFUNCTION("""COMPUTED_VALUE"""),"+79165010138")</f>
        <v>+79165010138</v>
      </c>
      <c r="D937" s="15" t="str">
        <f ca="1">IFERROR(__xludf.DUMMYFUNCTION("""COMPUTED_VALUE"""),"Россия")</f>
        <v>Россия</v>
      </c>
      <c r="E937" s="14" t="str">
        <f ca="1">IFERROR(__xludf.DUMMYFUNCTION("""COMPUTED_VALUE"""),"julie_silver")</f>
        <v>julie_silver</v>
      </c>
      <c r="F937" s="8" t="str">
        <f ca="1">IFERROR(__xludf.DUMMYFUNCTION("""COMPUTED_VALUE"""),"- Заявка на звонок для курса ""Парадентальная медитация""")</f>
        <v>- Заявка на звонок для курса "Парадентальная медитация"</v>
      </c>
      <c r="G937" s="1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>
      <c r="A938" s="14" t="str">
        <f ca="1">IFERROR(__xludf.DUMMYFUNCTION("""COMPUTED_VALUE"""),"Julia Neumiller")</f>
        <v>Julia Neumiller</v>
      </c>
      <c r="B938" s="14" t="str">
        <f ca="1">IFERROR(__xludf.DUMMYFUNCTION("""COMPUTED_VALUE"""),"julia.neumiller@mail.ru")</f>
        <v>julia.neumiller@mail.ru</v>
      </c>
      <c r="C938" s="15" t="str">
        <f ca="1">IFERROR(__xludf.DUMMYFUNCTION("""COMPUTED_VALUE"""),"+4915254592464")</f>
        <v>+4915254592464</v>
      </c>
      <c r="D938" s="15" t="str">
        <f ca="1">IFERROR(__xludf.DUMMYFUNCTION("""COMPUTED_VALUE"""),"Германия")</f>
        <v>Германия</v>
      </c>
      <c r="E938" s="14"/>
      <c r="F938" s="8" t="str">
        <f ca="1">IFERROR(__xludf.DUMMYFUNCTION("""COMPUTED_VALUE"""),"- Тишина Челлендж (бесплатная часть)")</f>
        <v>- Тишина Челлендж (бесплатная часть)</v>
      </c>
      <c r="G938" s="1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>
      <c r="A939" s="14" t="str">
        <f ca="1">IFERROR(__xludf.DUMMYFUNCTION("""COMPUTED_VALUE"""),"julia.zoger,  ")</f>
        <v xml:space="preserve">julia.zoger,  </v>
      </c>
      <c r="B939" s="14" t="str">
        <f ca="1">IFERROR(__xludf.DUMMYFUNCTION("""COMPUTED_VALUE"""),"julia.zoger@gmail.com")</f>
        <v>julia.zoger@gmail.com</v>
      </c>
      <c r="C939" s="15"/>
      <c r="D939" s="15"/>
      <c r="E939" s="14"/>
      <c r="F939" s="8" t="str">
        <f ca="1">IFERROR(__xludf.DUMMYFUNCTION("""COMPUTED_VALUE"""),"- USA Челлендж Тишина")</f>
        <v>- USA Челлендж Тишина</v>
      </c>
      <c r="G939" s="1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>
      <c r="A940" s="14" t="str">
        <f ca="1">IFERROR(__xludf.DUMMYFUNCTION("""COMPUTED_VALUE"""),"Юлия Волкова, ")</f>
        <v xml:space="preserve">Юлия Волкова, </v>
      </c>
      <c r="B940" s="14" t="str">
        <f ca="1">IFERROR(__xludf.DUMMYFUNCTION("""COMPUTED_VALUE"""),"juliawolfkova@mail.ru")</f>
        <v>juliawolfkova@mail.ru</v>
      </c>
      <c r="C940" s="15" t="str">
        <f ca="1">IFERROR(__xludf.DUMMYFUNCTION("""COMPUTED_VALUE"""),"+79186675652, ")</f>
        <v xml:space="preserve">+79186675652, </v>
      </c>
      <c r="D940" s="15"/>
      <c r="E940" s="14"/>
      <c r="F940" s="8" t="str">
        <f ca="1">IFERROR(__xludf.DUMMYFUNCTION("""COMPUTED_VALUE"""),"- Партнерская программа")</f>
        <v>- Партнерская программа</v>
      </c>
      <c r="G940" s="1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>
      <c r="A941" s="14" t="str">
        <f ca="1">IFERROR(__xludf.DUMMYFUNCTION("""COMPUTED_VALUE"""),"Юлия Галлямова")</f>
        <v>Юлия Галлямова</v>
      </c>
      <c r="B941" s="14" t="str">
        <f ca="1">IFERROR(__xludf.DUMMYFUNCTION("""COMPUTED_VALUE"""),"julie-white@inbox.ru")</f>
        <v>julie-white@inbox.ru</v>
      </c>
      <c r="C941" s="15" t="str">
        <f ca="1">IFERROR(__xludf.DUMMYFUNCTION("""COMPUTED_VALUE"""),"+79224425545")</f>
        <v>+79224425545</v>
      </c>
      <c r="D941" s="15" t="str">
        <f ca="1">IFERROR(__xludf.DUMMYFUNCTION("""COMPUTED_VALUE"""),"Россия")</f>
        <v>Россия</v>
      </c>
      <c r="E941" s="14"/>
      <c r="F941" s="8" t="str">
        <f ca="1">IFERROR(__xludf.DUMMYFUNCTION("""COMPUTED_VALUE"""),"- Однодневный ретрит Россия 14 мая 2022")</f>
        <v>- Однодневный ретрит Россия 14 мая 2022</v>
      </c>
      <c r="G941" s="1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>
      <c r="A942" s="14" t="str">
        <f ca="1">IFERROR(__xludf.DUMMYFUNCTION("""COMPUTED_VALUE"""),"Julie Rogers")</f>
        <v>Julie Rogers</v>
      </c>
      <c r="B942" s="14" t="str">
        <f ca="1">IFERROR(__xludf.DUMMYFUNCTION("""COMPUTED_VALUE"""),"julierogers@alpine-massage.com")</f>
        <v>julierogers@alpine-massage.com</v>
      </c>
      <c r="C942" s="15"/>
      <c r="D942" s="15"/>
      <c r="E942" s="14"/>
      <c r="F942" s="8" t="str">
        <f ca="1">IFERROR(__xludf.DUMMYFUNCTION("""COMPUTED_VALUE"""),"- What hides behind anxiety? The quantum leap [EU]")</f>
        <v>- What hides behind anxiety? The quantum leap [EU]</v>
      </c>
      <c r="G942" s="1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5.5">
      <c r="A943" s="14" t="str">
        <f ca="1">IFERROR(__xludf.DUMMYFUNCTION("""COMPUTED_VALUE"""),"Юлия Пономарева")</f>
        <v>Юлия Пономарева</v>
      </c>
      <c r="B943" s="14" t="str">
        <f ca="1">IFERROR(__xludf.DUMMYFUNCTION("""COMPUTED_VALUE"""),"julija-ponomareva2@mail.ru")</f>
        <v>julija-ponomareva2@mail.ru</v>
      </c>
      <c r="C943" s="15" t="str">
        <f ca="1">IFERROR(__xludf.DUMMYFUNCTION("""COMPUTED_VALUE"""),"87028622956")</f>
        <v>87028622956</v>
      </c>
      <c r="D943" s="15"/>
      <c r="E943" s="14"/>
      <c r="F94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943" s="1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>
      <c r="A944" s="14" t="str">
        <f ca="1">IFERROR(__xludf.DUMMYFUNCTION("""COMPUTED_VALUE"""),"Костя Константинович")</f>
        <v>Костя Константинович</v>
      </c>
      <c r="B944" s="14" t="str">
        <f ca="1">IFERROR(__xludf.DUMMYFUNCTION("""COMPUTED_VALUE"""),"julius_cesar@mail.ru")</f>
        <v>julius_cesar@mail.ru</v>
      </c>
      <c r="C944" s="15" t="str">
        <f ca="1">IFERROR(__xludf.DUMMYFUNCTION("""COMPUTED_VALUE"""),"+972547645678")</f>
        <v>+972547645678</v>
      </c>
      <c r="D944" s="15" t="str">
        <f ca="1">IFERROR(__xludf.DUMMYFUNCTION("""COMPUTED_VALUE"""),"США")</f>
        <v>США</v>
      </c>
      <c r="E944" s="14"/>
      <c r="F944" s="8" t="str">
        <f ca="1">IFERROR(__xludf.DUMMYFUNCTION("""COMPUTED_VALUE"""),"- Тишина Челлендж (бесплатная часть)")</f>
        <v>- Тишина Челлендж (бесплатная часть)</v>
      </c>
      <c r="G944" s="1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5.5">
      <c r="A945" s="14" t="str">
        <f ca="1">IFERROR(__xludf.DUMMYFUNCTION("""COMPUTED_VALUE"""),"Юлия Баннова-Каширская")</f>
        <v>Юлия Баннова-Каширская</v>
      </c>
      <c r="B945" s="14" t="str">
        <f ca="1">IFERROR(__xludf.DUMMYFUNCTION("""COMPUTED_VALUE"""),"juliyakashir@mail.ru")</f>
        <v>juliyakashir@mail.ru</v>
      </c>
      <c r="C945" s="15" t="str">
        <f ca="1">IFERROR(__xludf.DUMMYFUNCTION("""COMPUTED_VALUE"""),"998903253883")</f>
        <v>998903253883</v>
      </c>
      <c r="D945" s="15"/>
      <c r="E945" s="14"/>
      <c r="F94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945" s="1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>
      <c r="A946" s="14" t="str">
        <f ca="1">IFERROR(__xludf.DUMMYFUNCTION("""COMPUTED_VALUE"""),"Елизавета Сар")</f>
        <v>Елизавета Сар</v>
      </c>
      <c r="B946" s="14" t="str">
        <f ca="1">IFERROR(__xludf.DUMMYFUNCTION("""COMPUTED_VALUE"""),"K_liza@mail.ru")</f>
        <v>K_liza@mail.ru</v>
      </c>
      <c r="C946" s="15"/>
      <c r="D946" s="15" t="str">
        <f ca="1">IFERROR(__xludf.DUMMYFUNCTION("""COMPUTED_VALUE"""),"Россия")</f>
        <v>Россия</v>
      </c>
      <c r="E946" s="14"/>
      <c r="F946" s="8" t="str">
        <f ca="1">IFERROR(__xludf.DUMMYFUNCTION("""COMPUTED_VALUE"""),"- Тишина Челлендж (бесплатная часть)")</f>
        <v>- Тишина Челлендж (бесплатная часть)</v>
      </c>
      <c r="G946" s="1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38.25">
      <c r="A947" s="14" t="str">
        <f ca="1">IFERROR(__xludf.DUMMYFUNCTION("""COMPUTED_VALUE"""),"Nilufar Xomidova")</f>
        <v>Nilufar Xomidova</v>
      </c>
      <c r="B947" s="14" t="str">
        <f ca="1">IFERROR(__xludf.DUMMYFUNCTION("""COMPUTED_VALUE"""),"K_nilu@mail.ru")</f>
        <v>K_nilu@mail.ru</v>
      </c>
      <c r="C947" s="15" t="str">
        <f ca="1">IFERROR(__xludf.DUMMYFUNCTION("""COMPUTED_VALUE"""),"+998909777533")</f>
        <v>+998909777533</v>
      </c>
      <c r="D947" s="15" t="str">
        <f ca="1">IFERROR(__xludf.DUMMYFUNCTION("""COMPUTED_VALUE"""),"Узбекистан")</f>
        <v>Узбекистан</v>
      </c>
      <c r="E947" s="14"/>
      <c r="F947" s="8" t="str">
        <f ca="1">IFERROR(__xludf.DUMMYFUNCTION("""COMPUTED_VALUE"""),"- Марафон Тишины - Тишина челлендж: Урал, Казахстан, Узбекистан 25-29.04.2022
- Тишина Челлендж (бесплатная часть)")</f>
        <v>- Марафон Тишины - Тишина челлендж: Урал, Казахстан, Узбекистан 25-29.04.2022
- Тишина Челлендж (бесплатная часть)</v>
      </c>
      <c r="G947" s="1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5.5">
      <c r="A948" s="14" t="str">
        <f ca="1">IFERROR(__xludf.DUMMYFUNCTION("""COMPUTED_VALUE"""),"Гузель Кунакбаева")</f>
        <v>Гузель Кунакбаева</v>
      </c>
      <c r="B948" s="14" t="str">
        <f ca="1">IFERROR(__xludf.DUMMYFUNCTION("""COMPUTED_VALUE"""),"k.g.i.1982@yandex.ru")</f>
        <v>k.g.i.1982@yandex.ru</v>
      </c>
      <c r="C948" s="15" t="str">
        <f ca="1">IFERROR(__xludf.DUMMYFUNCTION("""COMPUTED_VALUE"""),"+79006266762")</f>
        <v>+79006266762</v>
      </c>
      <c r="D948" s="15" t="str">
        <f ca="1">IFERROR(__xludf.DUMMYFUNCTION("""COMPUTED_VALUE"""),"Россия")</f>
        <v>Россия</v>
      </c>
      <c r="E948" s="14"/>
      <c r="F948" s="8" t="str">
        <f ca="1">IFERROR(__xludf.DUMMYFUNCTION("""COMPUTED_VALUE"""),"- Тишина Челлендж (бесплатная часть)
- Сатсанг с Валентиной Пулло в Питере 7.5.2022")</f>
        <v>- Тишина Челлендж (бесплатная часть)
- Сатсанг с Валентиной Пулло в Питере 7.5.2022</v>
      </c>
      <c r="G948" s="1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>
      <c r="A949" s="14" t="str">
        <f ca="1">IFERROR(__xludf.DUMMYFUNCTION("""COMPUTED_VALUE"""),"K.ildus76,  ")</f>
        <v xml:space="preserve">K.ildus76,  </v>
      </c>
      <c r="B949" s="14" t="str">
        <f ca="1">IFERROR(__xludf.DUMMYFUNCTION("""COMPUTED_VALUE"""),"K.ildus76@inbox.ru")</f>
        <v>K.ildus76@inbox.ru</v>
      </c>
      <c r="C949" s="15"/>
      <c r="D949" s="15" t="str">
        <f ca="1">IFERROR(__xludf.DUMMYFUNCTION("""COMPUTED_VALUE"""),"Казахстан")</f>
        <v>Казахстан</v>
      </c>
      <c r="E949" s="14"/>
      <c r="F949" s="8" t="str">
        <f ca="1">IFERROR(__xludf.DUMMYFUNCTION("""COMPUTED_VALUE"""),"- Базовая бесплатная часть")</f>
        <v>- Базовая бесплатная часть</v>
      </c>
      <c r="G949" s="1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>
      <c r="A950" s="14" t="str">
        <f ca="1">IFERROR(__xludf.DUMMYFUNCTION("""COMPUTED_VALUE"""),"Кристина Холикова")</f>
        <v>Кристина Холикова</v>
      </c>
      <c r="B950" s="14" t="str">
        <f ca="1">IFERROR(__xludf.DUMMYFUNCTION("""COMPUTED_VALUE"""),"k.nsk2002@gnail.com")</f>
        <v>k.nsk2002@gnail.com</v>
      </c>
      <c r="C950" s="15" t="str">
        <f ca="1">IFERROR(__xludf.DUMMYFUNCTION("""COMPUTED_VALUE"""),", 79139142454")</f>
        <v>, 79139142454</v>
      </c>
      <c r="D950" s="15"/>
      <c r="E950" s="14"/>
      <c r="F950" s="8" t="str">
        <f ca="1">IFERROR(__xludf.DUMMYFUNCTION("""COMPUTED_VALUE"""),"Мероприятий не обнаружено")</f>
        <v>Мероприятий не обнаружено</v>
      </c>
      <c r="G950" s="1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>
      <c r="A951" s="14" t="str">
        <f ca="1">IFERROR(__xludf.DUMMYFUNCTION("""COMPUTED_VALUE"""),"K44512619,  ")</f>
        <v xml:space="preserve">K44512619,  </v>
      </c>
      <c r="B951" s="14" t="str">
        <f ca="1">IFERROR(__xludf.DUMMYFUNCTION("""COMPUTED_VALUE"""),"K44512619@gmail.com")</f>
        <v>K44512619@gmail.com</v>
      </c>
      <c r="C951" s="15"/>
      <c r="D951" s="15" t="str">
        <f ca="1">IFERROR(__xludf.DUMMYFUNCTION("""COMPUTED_VALUE"""),"Россия")</f>
        <v>Россия</v>
      </c>
      <c r="E951" s="14"/>
      <c r="F951" s="8" t="str">
        <f ca="1">IFERROR(__xludf.DUMMYFUNCTION("""COMPUTED_VALUE"""),"- Базовая бесплатная часть")</f>
        <v>- Базовая бесплатная часть</v>
      </c>
      <c r="G951" s="1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>
      <c r="A952" s="14" t="str">
        <f ca="1">IFERROR(__xludf.DUMMYFUNCTION("""COMPUTED_VALUE"""),"Олег Каблучный")</f>
        <v>Олег Каблучный</v>
      </c>
      <c r="B952" s="14" t="str">
        <f ca="1">IFERROR(__xludf.DUMMYFUNCTION("""COMPUTED_VALUE"""),"kablu-oleg@yandex.ru")</f>
        <v>kablu-oleg@yandex.ru</v>
      </c>
      <c r="C952" s="15" t="str">
        <f ca="1">IFERROR(__xludf.DUMMYFUNCTION("""COMPUTED_VALUE"""),"79821084700")</f>
        <v>79821084700</v>
      </c>
      <c r="D952" s="15" t="str">
        <f ca="1">IFERROR(__xludf.DUMMYFUNCTION("""COMPUTED_VALUE"""),"Россия")</f>
        <v>Россия</v>
      </c>
      <c r="E952" s="14"/>
      <c r="F952" s="8" t="str">
        <f ca="1">IFERROR(__xludf.DUMMYFUNCTION("""COMPUTED_VALUE"""),"- Тишина Челлендж (бесплатная часть)")</f>
        <v>- Тишина Челлендж (бесплатная часть)</v>
      </c>
      <c r="G952" s="1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5.5">
      <c r="A953" s="14" t="str">
        <f ca="1">IFERROR(__xludf.DUMMYFUNCTION("""COMPUTED_VALUE"""),"Екатерина Кадалашвили")</f>
        <v>Екатерина Кадалашвили</v>
      </c>
      <c r="B953" s="14" t="str">
        <f ca="1">IFERROR(__xludf.DUMMYFUNCTION("""COMPUTED_VALUE"""),"kadalashvilie@gmail.com")</f>
        <v>kadalashvilie@gmail.com</v>
      </c>
      <c r="C953" s="15" t="str">
        <f ca="1">IFERROR(__xludf.DUMMYFUNCTION("""COMPUTED_VALUE"""),"+998911623614")</f>
        <v>+998911623614</v>
      </c>
      <c r="D953" s="15"/>
      <c r="E953" s="14"/>
      <c r="F95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953" s="1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>
      <c r="A954" s="14" t="str">
        <f ca="1">IFERROR(__xludf.DUMMYFUNCTION("""COMPUTED_VALUE"""),"Жанна Пфундт")</f>
        <v>Жанна Пфундт</v>
      </c>
      <c r="B954" s="14" t="str">
        <f ca="1">IFERROR(__xludf.DUMMYFUNCTION("""COMPUTED_VALUE"""),"kadzerio@gmail.com")</f>
        <v>kadzerio@gmail.com</v>
      </c>
      <c r="C954" s="15"/>
      <c r="D954" s="15" t="str">
        <f ca="1">IFERROR(__xludf.DUMMYFUNCTION("""COMPUTED_VALUE"""),"Россия")</f>
        <v>Россия</v>
      </c>
      <c r="E954" s="14"/>
      <c r="F954" s="8" t="str">
        <f ca="1">IFERROR(__xludf.DUMMYFUNCTION("""COMPUTED_VALUE"""),"- Базовая бесплатная часть")</f>
        <v>- Базовая бесплатная часть</v>
      </c>
      <c r="G954" s="1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38.25">
      <c r="A955" s="14" t="str">
        <f ca="1">IFERROR(__xludf.DUMMYFUNCTION("""COMPUTED_VALUE"""),"Рамиля Миназиева")</f>
        <v>Рамиля Миназиева</v>
      </c>
      <c r="B955" s="14" t="str">
        <f ca="1">IFERROR(__xludf.DUMMYFUNCTION("""COMPUTED_VALUE"""),"kafemarinad15@gmail.com")</f>
        <v>kafemarinad15@gmail.com</v>
      </c>
      <c r="C955" s="15" t="str">
        <f ca="1">IFERROR(__xludf.DUMMYFUNCTION("""COMPUTED_VALUE"""),"+79874187418")</f>
        <v>+79874187418</v>
      </c>
      <c r="D955" s="15" t="str">
        <f ca="1">IFERROR(__xludf.DUMMYFUNCTION("""COMPUTED_VALUE"""),"США")</f>
        <v>США</v>
      </c>
      <c r="E955" s="14"/>
      <c r="F955" s="8" t="str">
        <f ca="1">IFERROR(__xludf.DUMMYFUNCTION("""COMPUTED_VALUE"""),"- Интенсив онлайн 14-17.04.2022
- Марафон Тишины - Тишина челлендж: Урал, Казахстан, Узбекистан 25-29.04.2022")</f>
        <v>- Интенсив онлайн 14-17.04.2022
- Марафон Тишины - Тишина челлендж: Урал, Казахстан, Узбекистан 25-29.04.2022</v>
      </c>
      <c r="G955" s="1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>
      <c r="A956" s="14" t="str">
        <f ca="1">IFERROR(__xludf.DUMMYFUNCTION("""COMPUTED_VALUE"""),"Гузель Клд")</f>
        <v>Гузель Клд</v>
      </c>
      <c r="B956" s="14" t="str">
        <f ca="1">IFERROR(__xludf.DUMMYFUNCTION("""COMPUTED_VALUE"""),"kalandarovag@gmail.com")</f>
        <v>kalandarovag@gmail.com</v>
      </c>
      <c r="C956" s="15" t="str">
        <f ca="1">IFERROR(__xludf.DUMMYFUNCTION("""COMPUTED_VALUE"""),"+375259638665")</f>
        <v>+375259638665</v>
      </c>
      <c r="D956" s="15" t="str">
        <f ca="1">IFERROR(__xludf.DUMMYFUNCTION("""COMPUTED_VALUE"""),"Беларусь")</f>
        <v>Беларусь</v>
      </c>
      <c r="E956" s="14"/>
      <c r="F956" s="8" t="str">
        <f ca="1">IFERROR(__xludf.DUMMYFUNCTION("""COMPUTED_VALUE"""),"- Чайная встреча Разговор по душам 26.2.2022 Минск")</f>
        <v>- Чайная встреча Разговор по душам 26.2.2022 Минск</v>
      </c>
      <c r="G956" s="1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>
      <c r="A957" s="14" t="str">
        <f ca="1">IFERROR(__xludf.DUMMYFUNCTION("""COMPUTED_VALUE"""),"Аслан Калиев")</f>
        <v>Аслан Калиев</v>
      </c>
      <c r="B957" s="14" t="str">
        <f ca="1">IFERROR(__xludf.DUMMYFUNCTION("""COMPUTED_VALUE"""),"Kalievaslan8812@gmail.com")</f>
        <v>Kalievaslan8812@gmail.com</v>
      </c>
      <c r="C957" s="15" t="str">
        <f ca="1">IFERROR(__xludf.DUMMYFUNCTION("""COMPUTED_VALUE"""),"87051610734")</f>
        <v>87051610734</v>
      </c>
      <c r="D957" s="15" t="str">
        <f ca="1">IFERROR(__xludf.DUMMYFUNCTION("""COMPUTED_VALUE"""),"Казахстан")</f>
        <v>Казахстан</v>
      </c>
      <c r="E957" s="14"/>
      <c r="F957" s="8" t="str">
        <f ca="1">IFERROR(__xludf.DUMMYFUNCTION("""COMPUTED_VALUE"""),"- Тишина Челлендж (бесплатная часть)")</f>
        <v>- Тишина Челлендж (бесплатная часть)</v>
      </c>
      <c r="G957" s="1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>
      <c r="A958" s="14" t="str">
        <f ca="1">IFERROR(__xludf.DUMMYFUNCTION("""COMPUTED_VALUE"""),"Олег Калугин")</f>
        <v>Олег Калугин</v>
      </c>
      <c r="B958" s="14" t="str">
        <f ca="1">IFERROR(__xludf.DUMMYFUNCTION("""COMPUTED_VALUE"""),"kalugin66@ya.ru")</f>
        <v>kalugin66@ya.ru</v>
      </c>
      <c r="C958" s="15"/>
      <c r="D958" s="15" t="str">
        <f ca="1">IFERROR(__xludf.DUMMYFUNCTION("""COMPUTED_VALUE"""),"Россия")</f>
        <v>Россия</v>
      </c>
      <c r="E958" s="14"/>
      <c r="F958" s="8" t="str">
        <f ca="1">IFERROR(__xludf.DUMMYFUNCTION("""COMPUTED_VALUE"""),"- Тишина Челлендж (бесплатная часть)")</f>
        <v>- Тишина Челлендж (бесплатная часть)</v>
      </c>
      <c r="G958" s="1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5.5">
      <c r="A959" s="14" t="str">
        <f ca="1">IFERROR(__xludf.DUMMYFUNCTION("""COMPUTED_VALUE"""),"Камшат Юсубалиева")</f>
        <v>Камшат Юсубалиева</v>
      </c>
      <c r="B959" s="14" t="str">
        <f ca="1">IFERROR(__xludf.DUMMYFUNCTION("""COMPUTED_VALUE"""),"Kama8383@inbox.ru")</f>
        <v>Kama8383@inbox.ru</v>
      </c>
      <c r="C959" s="15" t="str">
        <f ca="1">IFERROR(__xludf.DUMMYFUNCTION("""COMPUTED_VALUE"""),"87014620202")</f>
        <v>87014620202</v>
      </c>
      <c r="D959" s="15"/>
      <c r="E959" s="14"/>
      <c r="F95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959" s="1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>
      <c r="A960" s="14" t="str">
        <f ca="1">IFERROR(__xludf.DUMMYFUNCTION("""COMPUTED_VALUE"""),"Ольга Каменских")</f>
        <v>Ольга Каменских</v>
      </c>
      <c r="B960" s="14" t="str">
        <f ca="1">IFERROR(__xludf.DUMMYFUNCTION("""COMPUTED_VALUE"""),"kamenskih.olechka@yandex.ru")</f>
        <v>kamenskih.olechka@yandex.ru</v>
      </c>
      <c r="C960" s="15" t="str">
        <f ca="1">IFERROR(__xludf.DUMMYFUNCTION("""COMPUTED_VALUE"""),"+79822404236")</f>
        <v>+79822404236</v>
      </c>
      <c r="D960" s="15" t="str">
        <f ca="1">IFERROR(__xludf.DUMMYFUNCTION("""COMPUTED_VALUE"""),"Россия")</f>
        <v>Россия</v>
      </c>
      <c r="E960" s="14"/>
      <c r="F960" s="8" t="str">
        <f ca="1">IFERROR(__xludf.DUMMYFUNCTION("""COMPUTED_VALUE"""),"- Вводный вебинар 3.5.22 на Шаг к Пробуждению")</f>
        <v>- Вводный вебинар 3.5.22 на Шаг к Пробуждению</v>
      </c>
      <c r="G960" s="1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>
      <c r="A961" s="14" t="str">
        <f ca="1">IFERROR(__xludf.DUMMYFUNCTION("""COMPUTED_VALUE"""),"kamgaz85,  ")</f>
        <v xml:space="preserve">kamgaz85,  </v>
      </c>
      <c r="B961" s="14" t="str">
        <f ca="1">IFERROR(__xludf.DUMMYFUNCTION("""COMPUTED_VALUE"""),"kamgaz85@mail.ru")</f>
        <v>kamgaz85@mail.ru</v>
      </c>
      <c r="C961" s="15"/>
      <c r="D961" s="15"/>
      <c r="E961" s="14"/>
      <c r="F961" s="8" t="str">
        <f ca="1">IFERROR(__xludf.DUMMYFUNCTION("""COMPUTED_VALUE"""),"- USA Челлендж Тишина")</f>
        <v>- USA Челлендж Тишина</v>
      </c>
      <c r="G961" s="1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5.5">
      <c r="A962" s="14" t="str">
        <f ca="1">IFERROR(__xludf.DUMMYFUNCTION("""COMPUTED_VALUE"""),"Kamilla Kholmirzayeva")</f>
        <v>Kamilla Kholmirzayeva</v>
      </c>
      <c r="B962" s="14" t="str">
        <f ca="1">IFERROR(__xludf.DUMMYFUNCTION("""COMPUTED_VALUE"""),"kamilla.xolmirzayeva@mail.ru")</f>
        <v>kamilla.xolmirzayeva@mail.ru</v>
      </c>
      <c r="C962" s="15" t="str">
        <f ca="1">IFERROR(__xludf.DUMMYFUNCTION("""COMPUTED_VALUE"""),"+998998351101")</f>
        <v>+998998351101</v>
      </c>
      <c r="D962" s="15"/>
      <c r="E962" s="14"/>
      <c r="F96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962" s="1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5.5">
      <c r="A963" s="14" t="str">
        <f ca="1">IFERROR(__xludf.DUMMYFUNCTION("""COMPUTED_VALUE"""),"Kamilla Galiakhmedova")</f>
        <v>Kamilla Galiakhmedova</v>
      </c>
      <c r="B963" s="14" t="str">
        <f ca="1">IFERROR(__xludf.DUMMYFUNCTION("""COMPUTED_VALUE"""),"kamillagaliakhmedova@mail.ru")</f>
        <v>kamillagaliakhmedova@mail.ru</v>
      </c>
      <c r="C963" s="15" t="str">
        <f ca="1">IFERROR(__xludf.DUMMYFUNCTION("""COMPUTED_VALUE"""),"+998900627972")</f>
        <v>+998900627972</v>
      </c>
      <c r="D963" s="15"/>
      <c r="E963" s="14"/>
      <c r="F96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963" s="1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5.5">
      <c r="A964" s="14" t="str">
        <f ca="1">IFERROR(__xludf.DUMMYFUNCTION("""COMPUTED_VALUE"""),"Камила Исмаилова")</f>
        <v>Камила Исмаилова</v>
      </c>
      <c r="B964" s="14" t="str">
        <f ca="1">IFERROR(__xludf.DUMMYFUNCTION("""COMPUTED_VALUE"""),"Kamilyok86@mail.ru")</f>
        <v>Kamilyok86@mail.ru</v>
      </c>
      <c r="C964" s="15" t="str">
        <f ca="1">IFERROR(__xludf.DUMMYFUNCTION("""COMPUTED_VALUE"""),"+998931380877")</f>
        <v>+998931380877</v>
      </c>
      <c r="D964" s="15"/>
      <c r="E964" s="14"/>
      <c r="F96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964" s="1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5.5">
      <c r="A965" s="14" t="str">
        <f ca="1">IFERROR(__xludf.DUMMYFUNCTION("""COMPUTED_VALUE"""),"Жанна Мелис")</f>
        <v>Жанна Мелис</v>
      </c>
      <c r="B965" s="14" t="str">
        <f ca="1">IFERROR(__xludf.DUMMYFUNCTION("""COMPUTED_VALUE"""),"kampitony@gmail.com")</f>
        <v>kampitony@gmail.com</v>
      </c>
      <c r="C965" s="15" t="str">
        <f ca="1">IFERROR(__xludf.DUMMYFUNCTION("""COMPUTED_VALUE"""),"77775256550")</f>
        <v>77775256550</v>
      </c>
      <c r="D965" s="15" t="str">
        <f ca="1">IFERROR(__xludf.DUMMYFUNCTION("""COMPUTED_VALUE"""),"Казахстан")</f>
        <v>Казахстан</v>
      </c>
      <c r="E965" s="14"/>
      <c r="F965" s="8" t="str">
        <f ca="1">IFERROR(__xludf.DUMMYFUNCTION("""COMPUTED_VALUE"""),"- Новогодний Интенсив Алматы-онлайн 17-19.12.2021
- Клуб пробуждения Друзья (Региональный)")</f>
        <v>- Новогодний Интенсив Алматы-онлайн 17-19.12.2021
- Клуб пробуждения Друзья (Региональный)</v>
      </c>
      <c r="G965" s="1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5.5">
      <c r="A966" s="14" t="str">
        <f ca="1">IFERROR(__xludf.DUMMYFUNCTION("""COMPUTED_VALUE"""),"Айгерим Канагатова")</f>
        <v>Айгерим Канагатова</v>
      </c>
      <c r="B966" s="14" t="str">
        <f ca="1">IFERROR(__xludf.DUMMYFUNCTION("""COMPUTED_VALUE"""),"Kanatovna11@mail.ru")</f>
        <v>Kanatovna11@mail.ru</v>
      </c>
      <c r="C966" s="15" t="str">
        <f ca="1">IFERROR(__xludf.DUMMYFUNCTION("""COMPUTED_VALUE"""),"87767574747")</f>
        <v>87767574747</v>
      </c>
      <c r="D966" s="15"/>
      <c r="E966" s="14"/>
      <c r="F96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966" s="1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>
      <c r="A967" s="14" t="str">
        <f ca="1">IFERROR(__xludf.DUMMYFUNCTION("""COMPUTED_VALUE"""),"ГЛЕБ Капустин")</f>
        <v>ГЛЕБ Капустин</v>
      </c>
      <c r="B967" s="14" t="str">
        <f ca="1">IFERROR(__xludf.DUMMYFUNCTION("""COMPUTED_VALUE"""),"Kapystin@yandex.ru")</f>
        <v>Kapystin@yandex.ru</v>
      </c>
      <c r="C967" s="15" t="str">
        <f ca="1">IFERROR(__xludf.DUMMYFUNCTION("""COMPUTED_VALUE"""),"+79777436387")</f>
        <v>+79777436387</v>
      </c>
      <c r="D967" s="15" t="str">
        <f ca="1">IFERROR(__xludf.DUMMYFUNCTION("""COMPUTED_VALUE"""),"Германия")</f>
        <v>Германия</v>
      </c>
      <c r="E967" s="14"/>
      <c r="F967" s="8" t="str">
        <f ca="1">IFERROR(__xludf.DUMMYFUNCTION("""COMPUTED_VALUE"""),"- Заявка на СЪЕЗД+ФЕСТИВАЛЬ ""Мы вместе"" 3-8.01.22")</f>
        <v>- Заявка на СЪЕЗД+ФЕСТИВАЛЬ "Мы вместе" 3-8.01.22</v>
      </c>
      <c r="G967" s="1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38.25">
      <c r="A968" s="14" t="str">
        <f ca="1">IFERROR(__xludf.DUMMYFUNCTION("""COMPUTED_VALUE"""),"Лариса Баранова")</f>
        <v>Лариса Баранова</v>
      </c>
      <c r="B968" s="14" t="str">
        <f ca="1">IFERROR(__xludf.DUMMYFUNCTION("""COMPUTED_VALUE"""),"karaded12@gmail.com")</f>
        <v>karaded12@gmail.com</v>
      </c>
      <c r="C968" s="15" t="str">
        <f ca="1">IFERROR(__xludf.DUMMYFUNCTION("""COMPUTED_VALUE"""),"+37126841019")</f>
        <v>+37126841019</v>
      </c>
      <c r="D968" s="15" t="str">
        <f ca="1">IFERROR(__xludf.DUMMYFUNCTION("""COMPUTED_VALUE"""),"Латвия")</f>
        <v>Латвия</v>
      </c>
      <c r="E968" s="14"/>
      <c r="F968" s="8" t="str">
        <f ca="1">IFERROR(__xludf.DUMMYFUNCTION("""COMPUTED_VALUE"""),"- Вебинар с Никитой Бородулиным 11.02.2022 часть1
- Всемирная Медитация Пробуждения
- Вебинар все о ретрите 12.2.2022")</f>
        <v>- Вебинар с Никитой Бородулиным 11.02.2022 часть1
- Всемирная Медитация Пробуждения
- Вебинар все о ретрите 12.2.2022</v>
      </c>
      <c r="G968" s="1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>
      <c r="A969" s="14" t="str">
        <f ca="1">IFERROR(__xludf.DUMMYFUNCTION("""COMPUTED_VALUE"""),"Татьяна Караманян")</f>
        <v>Татьяна Караманян</v>
      </c>
      <c r="B969" s="14" t="str">
        <f ca="1">IFERROR(__xludf.DUMMYFUNCTION("""COMPUTED_VALUE"""),"karamanyan70@mail.ru")</f>
        <v>karamanyan70@mail.ru</v>
      </c>
      <c r="C969" s="15" t="str">
        <f ca="1">IFERROR(__xludf.DUMMYFUNCTION("""COMPUTED_VALUE"""),"79183062038")</f>
        <v>79183062038</v>
      </c>
      <c r="D969" s="15" t="str">
        <f ca="1">IFERROR(__xludf.DUMMYFUNCTION("""COMPUTED_VALUE"""),"Россия")</f>
        <v>Россия</v>
      </c>
      <c r="E969" s="14"/>
      <c r="F969" s="8" t="str">
        <f ca="1">IFERROR(__xludf.DUMMYFUNCTION("""COMPUTED_VALUE"""),"- Вебинар все о ретрите 12.2.2022")</f>
        <v>- Вебинар все о ретрите 12.2.2022</v>
      </c>
      <c r="G969" s="1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5.5">
      <c r="A970" s="14" t="str">
        <f ca="1">IFERROR(__xludf.DUMMYFUNCTION("""COMPUTED_VALUE"""),"Альбина Карамова")</f>
        <v>Альбина Карамова</v>
      </c>
      <c r="B970" s="14" t="str">
        <f ca="1">IFERROR(__xludf.DUMMYFUNCTION("""COMPUTED_VALUE"""),"karamova.albinka@list.ru")</f>
        <v>karamova.albinka@list.ru</v>
      </c>
      <c r="C970" s="15" t="str">
        <f ca="1">IFERROR(__xludf.DUMMYFUNCTION("""COMPUTED_VALUE"""),"+998917708848")</f>
        <v>+998917708848</v>
      </c>
      <c r="D970" s="15"/>
      <c r="E970" s="14"/>
      <c r="F97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970" s="1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38.25">
      <c r="A971" s="14" t="str">
        <f ca="1">IFERROR(__xludf.DUMMYFUNCTION("""COMPUTED_VALUE"""),"ВАСИЛИЙ КАРАЖЕЛЯСКОВ")</f>
        <v>ВАСИЛИЙ КАРАЖЕЛЯСКОВ</v>
      </c>
      <c r="B971" s="14" t="str">
        <f ca="1">IFERROR(__xludf.DUMMYFUNCTION("""COMPUTED_VALUE"""),"karazhelyaskov1980@mail.ru")</f>
        <v>karazhelyaskov1980@mail.ru</v>
      </c>
      <c r="C971" s="15" t="str">
        <f ca="1">IFERROR(__xludf.DUMMYFUNCTION("""COMPUTED_VALUE"""),"79263535558")</f>
        <v>79263535558</v>
      </c>
      <c r="D971" s="15" t="str">
        <f ca="1">IFERROR(__xludf.DUMMYFUNCTION("""COMPUTED_VALUE"""),"Россия")</f>
        <v>Россия</v>
      </c>
      <c r="E971" s="14" t="str">
        <f ca="1">IFERROR(__xludf.DUMMYFUNCTION("""COMPUTED_VALUE"""),"@karazhelyaskov ")</f>
        <v xml:space="preserve">@karazhelyaskov </v>
      </c>
      <c r="F971" s="8" t="str">
        <f ca="1">IFERROR(__xludf.DUMMYFUNCTION("""COMPUTED_VALUE"""),"- Заявка на СЪЕЗД+ФЕСТИВАЛЬ ""Мы вместе"" 3-8.01.22
- Клуб пробуждения Друзья (2 уровень) - 1 месяц
- Интенсив 15-17 апреля Москва")</f>
        <v>- Заявка на СЪЕЗД+ФЕСТИВАЛЬ "Мы вместе" 3-8.01.22
- Клуб пробуждения Друзья (2 уровень) - 1 месяц
- Интенсив 15-17 апреля Москва</v>
      </c>
      <c r="G971" s="1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>
      <c r="A972" s="14" t="str">
        <f ca="1">IFERROR(__xludf.DUMMYFUNCTION("""COMPUTED_VALUE"""),"Карина Арчакова")</f>
        <v>Карина Арчакова</v>
      </c>
      <c r="B972" s="14" t="str">
        <f ca="1">IFERROR(__xludf.DUMMYFUNCTION("""COMPUTED_VALUE"""),"kariliar@gmail.com")</f>
        <v>kariliar@gmail.com</v>
      </c>
      <c r="C972" s="15" t="str">
        <f ca="1">IFERROR(__xludf.DUMMYFUNCTION("""COMPUTED_VALUE"""),"+37120672104")</f>
        <v>+37120672104</v>
      </c>
      <c r="D972" s="15" t="str">
        <f ca="1">IFERROR(__xludf.DUMMYFUNCTION("""COMPUTED_VALUE"""),"Латвия")</f>
        <v>Латвия</v>
      </c>
      <c r="E972" s="17" t="str">
        <f ca="1">IFERROR(__xludf.DUMMYFUNCTION("""COMPUTED_VALUE"""),"https://t.me/karina_motion")</f>
        <v>https://t.me/karina_motion</v>
      </c>
      <c r="F972" s="8" t="str">
        <f ca="1">IFERROR(__xludf.DUMMYFUNCTION("""COMPUTED_VALUE"""),"- Заявка на звонок для курса ""Парадентальная медитация""")</f>
        <v>- Заявка на звонок для курса "Парадентальная медитация"</v>
      </c>
      <c r="G972" s="1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>
      <c r="A973" s="14" t="str">
        <f ca="1">IFERROR(__xludf.DUMMYFUNCTION("""COMPUTED_VALUE"""),"karramba07,  ")</f>
        <v xml:space="preserve">karramba07,  </v>
      </c>
      <c r="B973" s="14" t="str">
        <f ca="1">IFERROR(__xludf.DUMMYFUNCTION("""COMPUTED_VALUE"""),"karramba07@gmail.com")</f>
        <v>karramba07@gmail.com</v>
      </c>
      <c r="C973" s="15"/>
      <c r="D973" s="15"/>
      <c r="E973" s="14"/>
      <c r="F973" s="8" t="str">
        <f ca="1">IFERROR(__xludf.DUMMYFUNCTION("""COMPUTED_VALUE"""),"- USA Челлендж Тишина")</f>
        <v>- USA Челлендж Тишина</v>
      </c>
      <c r="G973" s="1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>
      <c r="A974" s="14" t="str">
        <f ca="1">IFERROR(__xludf.DUMMYFUNCTION("""COMPUTED_VALUE"""),"Eirini Karagiannidou")</f>
        <v>Eirini Karagiannidou</v>
      </c>
      <c r="B974" s="14" t="str">
        <f ca="1">IFERROR(__xludf.DUMMYFUNCTION("""COMPUTED_VALUE"""),"Karrenia94@gmail.com")</f>
        <v>Karrenia94@gmail.com</v>
      </c>
      <c r="C974" s="15"/>
      <c r="D974" s="15"/>
      <c r="E974" s="14"/>
      <c r="F974" s="8" t="str">
        <f ca="1">IFERROR(__xludf.DUMMYFUNCTION("""COMPUTED_VALUE"""),"- What hides behind anxiety? The quantum leap [EU]")</f>
        <v>- What hides behind anxiety? The quantum leap [EU]</v>
      </c>
      <c r="G974" s="1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5.5">
      <c r="A975" s="14" t="str">
        <f ca="1">IFERROR(__xludf.DUMMYFUNCTION("""COMPUTED_VALUE"""),"Наталья Кашук")</f>
        <v>Наталья Кашук</v>
      </c>
      <c r="B975" s="14" t="str">
        <f ca="1">IFERROR(__xludf.DUMMYFUNCTION("""COMPUTED_VALUE"""),"Kashuk-natalya@mail.ru")</f>
        <v>Kashuk-natalya@mail.ru</v>
      </c>
      <c r="C975" s="15" t="str">
        <f ca="1">IFERROR(__xludf.DUMMYFUNCTION("""COMPUTED_VALUE"""),"87775096258")</f>
        <v>87775096258</v>
      </c>
      <c r="D975" s="15"/>
      <c r="E975" s="14"/>
      <c r="F97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975" s="1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5.5">
      <c r="A976" s="14" t="str">
        <f ca="1">IFERROR(__xludf.DUMMYFUNCTION("""COMPUTED_VALUE"""),"Svetlana Stakhneva")</f>
        <v>Svetlana Stakhneva</v>
      </c>
      <c r="B976" s="14" t="str">
        <f ca="1">IFERROR(__xludf.DUMMYFUNCTION("""COMPUTED_VALUE"""),"Kasimot@rambler.ru")</f>
        <v>Kasimot@rambler.ru</v>
      </c>
      <c r="C976" s="15" t="str">
        <f ca="1">IFERROR(__xludf.DUMMYFUNCTION("""COMPUTED_VALUE"""),"+77029434002")</f>
        <v>+77029434002</v>
      </c>
      <c r="D976" s="15" t="str">
        <f ca="1">IFERROR(__xludf.DUMMYFUNCTION("""COMPUTED_VALUE"""),"Казахстан ")</f>
        <v xml:space="preserve">Казахстан </v>
      </c>
      <c r="E976" s="14"/>
      <c r="F97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976" s="1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5.5">
      <c r="A977" s="14" t="str">
        <f ca="1">IFERROR(__xludf.DUMMYFUNCTION("""COMPUTED_VALUE"""),"Anna Drevinska")</f>
        <v>Anna Drevinska</v>
      </c>
      <c r="B977" s="14" t="str">
        <f ca="1">IFERROR(__xludf.DUMMYFUNCTION("""COMPUTED_VALUE"""),"kastanse@inbox.lv")</f>
        <v>kastanse@inbox.lv</v>
      </c>
      <c r="C977" s="15" t="str">
        <f ca="1">IFERROR(__xludf.DUMMYFUNCTION("""COMPUTED_VALUE"""),"00353868666112")</f>
        <v>00353868666112</v>
      </c>
      <c r="D977" s="15" t="str">
        <f ca="1">IFERROR(__xludf.DUMMYFUNCTION("""COMPUTED_VALUE"""),"Ирландия")</f>
        <v>Ирландия</v>
      </c>
      <c r="E977" s="14"/>
      <c r="F977" s="8" t="str">
        <f ca="1">IFERROR(__xludf.DUMMYFUNCTION("""COMPUTED_VALUE"""),"- Шаг к Пробуждению №5 на латышском Латвия LV 11-18 декабря 2021 года ")</f>
        <v xml:space="preserve">- Шаг к Пробуждению №5 на латышском Латвия LV 11-18 декабря 2021 года </v>
      </c>
      <c r="G977" s="1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38.25">
      <c r="A978" s="14" t="str">
        <f ca="1">IFERROR(__xludf.DUMMYFUNCTION("""COMPUTED_VALUE"""),"Екатерина Ивантиева")</f>
        <v>Екатерина Ивантиева</v>
      </c>
      <c r="B978" s="14" t="str">
        <f ca="1">IFERROR(__xludf.DUMMYFUNCTION("""COMPUTED_VALUE"""),"kasy060479@gmail.com")</f>
        <v>kasy060479@gmail.com</v>
      </c>
      <c r="C978" s="15" t="str">
        <f ca="1">IFERROR(__xludf.DUMMYFUNCTION("""COMPUTED_VALUE"""),"+79212303946")</f>
        <v>+79212303946</v>
      </c>
      <c r="D978" s="15" t="str">
        <f ca="1">IFERROR(__xludf.DUMMYFUNCTION("""COMPUTED_VALUE"""),"Россия")</f>
        <v>Россия</v>
      </c>
      <c r="E978" s="14"/>
      <c r="F978" s="8" t="str">
        <f ca="1">IFERROR(__xludf.DUMMYFUNCTION("""COMPUTED_VALUE"""),"- Тишина Челлендж (бесплатная часть)
- Вводный вебинар 3.5.22 на Шаг к Пробуждению
- Онлайн курс Шаг к Шаг к Пробуждению №18 7-24 мая 2022")</f>
        <v>- Тишина Челлендж (бесплатная часть)
- Вводный вебинар 3.5.22 на Шаг к Пробуждению
- Онлайн курс Шаг к Шаг к Пробуждению №18 7-24 мая 2022</v>
      </c>
      <c r="G978" s="1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>
      <c r="A979" s="14" t="str">
        <f ca="1">IFERROR(__xludf.DUMMYFUNCTION("""COMPUTED_VALUE"""),"Nata K")</f>
        <v>Nata K</v>
      </c>
      <c r="B979" s="14" t="str">
        <f ca="1">IFERROR(__xludf.DUMMYFUNCTION("""COMPUTED_VALUE"""),"kataichik@gmail.com")</f>
        <v>kataichik@gmail.com</v>
      </c>
      <c r="C979" s="15" t="str">
        <f ca="1">IFERROR(__xludf.DUMMYFUNCTION("""COMPUTED_VALUE"""),"4083904563")</f>
        <v>4083904563</v>
      </c>
      <c r="D979" s="15" t="str">
        <f ca="1">IFERROR(__xludf.DUMMYFUNCTION("""COMPUTED_VALUE"""),"United States")</f>
        <v>United States</v>
      </c>
      <c r="E979" s="14"/>
      <c r="F979" s="8" t="str">
        <f ca="1">IFERROR(__xludf.DUMMYFUNCTION("""COMPUTED_VALUE"""),"- USA Челлендж Тишина")</f>
        <v>- USA Челлендж Тишина</v>
      </c>
      <c r="G979" s="1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5.5">
      <c r="A980" s="14" t="str">
        <f ca="1">IFERROR(__xludf.DUMMYFUNCTION("""COMPUTED_VALUE"""),"Катя Белякова")</f>
        <v>Катя Белякова</v>
      </c>
      <c r="B980" s="14" t="str">
        <f ca="1">IFERROR(__xludf.DUMMYFUNCTION("""COMPUTED_VALUE"""),"katefromrus@gmail.com")</f>
        <v>katefromrus@gmail.com</v>
      </c>
      <c r="C980" s="15" t="str">
        <f ca="1">IFERROR(__xludf.DUMMYFUNCTION("""COMPUTED_VALUE"""),"+79500233955")</f>
        <v>+79500233955</v>
      </c>
      <c r="D980" s="15" t="str">
        <f ca="1">IFERROR(__xludf.DUMMYFUNCTION("""COMPUTED_VALUE"""),"Россия")</f>
        <v>Россия</v>
      </c>
      <c r="E980" s="14"/>
      <c r="F980" s="8" t="str">
        <f ca="1">IFERROR(__xludf.DUMMYFUNCTION("""COMPUTED_VALUE"""),"- Живая ""Практика тишины"" г. Санкт-Петербург (регулярные занятия)")</f>
        <v>- Живая "Практика тишины" г. Санкт-Петербург (регулярные занятия)</v>
      </c>
      <c r="G980" s="1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>
      <c r="A981" s="14" t="str">
        <f ca="1">IFERROR(__xludf.DUMMYFUNCTION("""COMPUTED_VALUE"""),"Екатерина Добай")</f>
        <v>Екатерина Добай</v>
      </c>
      <c r="B981" s="14" t="str">
        <f ca="1">IFERROR(__xludf.DUMMYFUNCTION("""COMPUTED_VALUE"""),"katelyn.dobai24@gmail.com")</f>
        <v>katelyn.dobai24@gmail.com</v>
      </c>
      <c r="C981" s="15" t="str">
        <f ca="1">IFERROR(__xludf.DUMMYFUNCTION("""COMPUTED_VALUE"""),"+972584930656")</f>
        <v>+972584930656</v>
      </c>
      <c r="D981" s="15" t="str">
        <f ca="1">IFERROR(__xludf.DUMMYFUNCTION("""COMPUTED_VALUE"""),"Израиль")</f>
        <v>Израиль</v>
      </c>
      <c r="E981" s="14"/>
      <c r="F981" s="8" t="str">
        <f ca="1">IFERROR(__xludf.DUMMYFUNCTION("""COMPUTED_VALUE"""),"-  Ретрит в Латвии 19-27.03.2022")</f>
        <v>-  Ретрит в Латвии 19-27.03.2022</v>
      </c>
      <c r="G981" s="1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>
      <c r="A982" s="14" t="str">
        <f ca="1">IFERROR(__xludf.DUMMYFUNCTION("""COMPUTED_VALUE"""),"Екатерина Чуфистова")</f>
        <v>Екатерина Чуфистова</v>
      </c>
      <c r="B982" s="14" t="str">
        <f ca="1">IFERROR(__xludf.DUMMYFUNCTION("""COMPUTED_VALUE"""),"Katerina.chu@gmail.com")</f>
        <v>Katerina.chu@gmail.com</v>
      </c>
      <c r="C982" s="15"/>
      <c r="D982" s="15" t="str">
        <f ca="1">IFERROR(__xludf.DUMMYFUNCTION("""COMPUTED_VALUE"""),"Германия")</f>
        <v>Германия</v>
      </c>
      <c r="E982" s="14"/>
      <c r="F982" s="8" t="str">
        <f ca="1">IFERROR(__xludf.DUMMYFUNCTION("""COMPUTED_VALUE"""),"- Тишина Челлендж (бесплатная часть)")</f>
        <v>- Тишина Челлендж (бесплатная часть)</v>
      </c>
      <c r="G982" s="1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>
      <c r="A983" s="14" t="str">
        <f ca="1">IFERROR(__xludf.DUMMYFUNCTION("""COMPUTED_VALUE"""),"Екатерина Скрябина")</f>
        <v>Екатерина Скрябина</v>
      </c>
      <c r="B983" s="14" t="str">
        <f ca="1">IFERROR(__xludf.DUMMYFUNCTION("""COMPUTED_VALUE"""),"kateruna1901@mail.ru")</f>
        <v>kateruna1901@mail.ru</v>
      </c>
      <c r="C983" s="15" t="str">
        <f ca="1">IFERROR(__xludf.DUMMYFUNCTION("""COMPUTED_VALUE"""),"+79507299273")</f>
        <v>+79507299273</v>
      </c>
      <c r="D983" s="15" t="str">
        <f ca="1">IFERROR(__xludf.DUMMYFUNCTION("""COMPUTED_VALUE"""),"Россия")</f>
        <v>Россия</v>
      </c>
      <c r="E983" s="14"/>
      <c r="F983" s="8" t="str">
        <f ca="1">IFERROR(__xludf.DUMMYFUNCTION("""COMPUTED_VALUE"""),"- Вводный вебинар 3.5.22 на Шаг к Пробуждению")</f>
        <v>- Вводный вебинар 3.5.22 на Шаг к Пробуждению</v>
      </c>
      <c r="G983" s="1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>
      <c r="A984" s="14" t="str">
        <f ca="1">IFERROR(__xludf.DUMMYFUNCTION("""COMPUTED_VALUE"""),"katesnowberry,  ")</f>
        <v xml:space="preserve">katesnowberry,  </v>
      </c>
      <c r="B984" s="14" t="str">
        <f ca="1">IFERROR(__xludf.DUMMYFUNCTION("""COMPUTED_VALUE"""),"katesnowberry@gmail.com")</f>
        <v>katesnowberry@gmail.com</v>
      </c>
      <c r="C984" s="15"/>
      <c r="D984" s="15"/>
      <c r="E984" s="14"/>
      <c r="F984" s="8" t="str">
        <f ca="1">IFERROR(__xludf.DUMMYFUNCTION("""COMPUTED_VALUE"""),"- USA Челлендж Тишина")</f>
        <v>- USA Челлендж Тишина</v>
      </c>
      <c r="G984" s="1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>
      <c r="A985" s="14" t="str">
        <f ca="1">IFERROR(__xludf.DUMMYFUNCTION("""COMPUTED_VALUE"""),"Екатерина Таранко")</f>
        <v>Екатерина Таранко</v>
      </c>
      <c r="B985" s="14" t="str">
        <f ca="1">IFERROR(__xludf.DUMMYFUNCTION("""COMPUTED_VALUE"""),"katgrodno@gmail.com")</f>
        <v>katgrodno@gmail.com</v>
      </c>
      <c r="C985" s="15" t="str">
        <f ca="1">IFERROR(__xludf.DUMMYFUNCTION("""COMPUTED_VALUE"""),"+375333760268")</f>
        <v>+375333760268</v>
      </c>
      <c r="D985" s="15"/>
      <c r="E985" s="14"/>
      <c r="F985" s="8" t="str">
        <f ca="1">IFERROR(__xludf.DUMMYFUNCTION("""COMPUTED_VALUE"""),"- Тишина Челлендж (бесплатная часть)")</f>
        <v>- Тишина Челлендж (бесплатная часть)</v>
      </c>
      <c r="G985" s="1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5.5">
      <c r="A986" s="14" t="str">
        <f ca="1">IFERROR(__xludf.DUMMYFUNCTION("""COMPUTED_VALUE"""),"Екатерина Запорожченко")</f>
        <v>Екатерина Запорожченко</v>
      </c>
      <c r="B986" s="14" t="str">
        <f ca="1">IFERROR(__xludf.DUMMYFUNCTION("""COMPUTED_VALUE"""),"katrina_j@mail.ru")</f>
        <v>katrina_j@mail.ru</v>
      </c>
      <c r="C986" s="15" t="str">
        <f ca="1">IFERROR(__xludf.DUMMYFUNCTION("""COMPUTED_VALUE"""),"+79190234593")</f>
        <v>+79190234593</v>
      </c>
      <c r="D986" s="15" t="str">
        <f ca="1">IFERROR(__xludf.DUMMYFUNCTION("""COMPUTED_VALUE"""),"Россия")</f>
        <v>Россия</v>
      </c>
      <c r="E986" s="14"/>
      <c r="F986" s="8" t="str">
        <f ca="1">IFERROR(__xludf.DUMMYFUNCTION("""COMPUTED_VALUE"""),"- Однодневный онлайн ретрит Россия 14 мая 2022
- Однодневный онлайн ретрит Европа 14 мая 2022")</f>
        <v>- Однодневный онлайн ретрит Россия 14 мая 2022
- Однодневный онлайн ретрит Европа 14 мая 2022</v>
      </c>
      <c r="G986" s="1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>
      <c r="A987" s="14" t="str">
        <f ca="1">IFERROR(__xludf.DUMMYFUNCTION("""COMPUTED_VALUE"""),"Надежда Кацер")</f>
        <v>Надежда Кацер</v>
      </c>
      <c r="B987" s="14" t="str">
        <f ca="1">IFERROR(__xludf.DUMMYFUNCTION("""COMPUTED_VALUE"""),"katsar91@mail.ru")</f>
        <v>katsar91@mail.ru</v>
      </c>
      <c r="C987" s="15" t="str">
        <f ca="1">IFERROR(__xludf.DUMMYFUNCTION("""COMPUTED_VALUE"""),"375298631529")</f>
        <v>375298631529</v>
      </c>
      <c r="D987" s="15" t="str">
        <f ca="1">IFERROR(__xludf.DUMMYFUNCTION("""COMPUTED_VALUE"""),"Беларусь")</f>
        <v>Беларусь</v>
      </c>
      <c r="E987" s="14"/>
      <c r="F987" s="8" t="str">
        <f ca="1">IFERROR(__xludf.DUMMYFUNCTION("""COMPUTED_VALUE"""),"- Тишина Челлендж (бесплатная часть)")</f>
        <v>- Тишина Челлендж (бесплатная часть)</v>
      </c>
      <c r="G987" s="1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>
      <c r="A988" s="14" t="str">
        <f ca="1">IFERROR(__xludf.DUMMYFUNCTION("""COMPUTED_VALUE""")," ")</f>
        <v xml:space="preserve"> </v>
      </c>
      <c r="B988" s="14" t="str">
        <f ca="1">IFERROR(__xludf.DUMMYFUNCTION("""COMPUTED_VALUE"""),"katy1art@mail.ru")</f>
        <v>katy1art@mail.ru</v>
      </c>
      <c r="C988" s="15"/>
      <c r="D988" s="15"/>
      <c r="E988" s="14"/>
      <c r="F988" s="8" t="str">
        <f ca="1">IFERROR(__xludf.DUMMYFUNCTION("""COMPUTED_VALUE"""),"Мероприятий не обнаружено")</f>
        <v>Мероприятий не обнаружено</v>
      </c>
      <c r="G988" s="1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>
      <c r="A989" s="14" t="str">
        <f ca="1">IFERROR(__xludf.DUMMYFUNCTION("""COMPUTED_VALUE"""),"kayrina,  ")</f>
        <v xml:space="preserve">kayrina,  </v>
      </c>
      <c r="B989" s="14" t="str">
        <f ca="1">IFERROR(__xludf.DUMMYFUNCTION("""COMPUTED_VALUE"""),"kayrina@mail.ru")</f>
        <v>kayrina@mail.ru</v>
      </c>
      <c r="C989" s="15"/>
      <c r="D989" s="15"/>
      <c r="E989" s="14"/>
      <c r="F989" s="8" t="str">
        <f ca="1">IFERROR(__xludf.DUMMYFUNCTION("""COMPUTED_VALUE"""),"- Челлендж Тишины")</f>
        <v>- Челлендж Тишины</v>
      </c>
      <c r="G989" s="1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>
      <c r="A990" s="14" t="str">
        <f ca="1">IFERROR(__xludf.DUMMYFUNCTION("""COMPUTED_VALUE"""),"kazakd212,  ")</f>
        <v xml:space="preserve">kazakd212,  </v>
      </c>
      <c r="B990" s="14" t="str">
        <f ca="1">IFERROR(__xludf.DUMMYFUNCTION("""COMPUTED_VALUE"""),"kazakd212@gmail.com")</f>
        <v>kazakd212@gmail.com</v>
      </c>
      <c r="C990" s="15"/>
      <c r="D990" s="15"/>
      <c r="E990" s="14"/>
      <c r="F990" s="8" t="str">
        <f ca="1">IFERROR(__xludf.DUMMYFUNCTION("""COMPUTED_VALUE"""),"- USA Челлендж Тишина")</f>
        <v>- USA Челлендж Тишина</v>
      </c>
      <c r="G990" s="1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>
      <c r="A991" s="14" t="str">
        <f ca="1">IFERROR(__xludf.DUMMYFUNCTION("""COMPUTED_VALUE"""),"Ксения Беляева")</f>
        <v>Ксения Беляева</v>
      </c>
      <c r="B991" s="14" t="str">
        <f ca="1">IFERROR(__xludf.DUMMYFUNCTION("""COMPUTED_VALUE"""),"kb145450@gmail.com")</f>
        <v>kb145450@gmail.com</v>
      </c>
      <c r="C991" s="15"/>
      <c r="D991" s="15" t="str">
        <f ca="1">IFERROR(__xludf.DUMMYFUNCTION("""COMPUTED_VALUE"""),"Россия")</f>
        <v>Россия</v>
      </c>
      <c r="E991" s="14"/>
      <c r="F991" s="8" t="str">
        <f ca="1">IFERROR(__xludf.DUMMYFUNCTION("""COMPUTED_VALUE"""),"- Тишина Челлендж (бесплатная часть)")</f>
        <v>- Тишина Челлендж (бесплатная часть)</v>
      </c>
      <c r="G991" s="1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>
      <c r="A992" s="14" t="str">
        <f ca="1">IFERROR(__xludf.DUMMYFUNCTION("""COMPUTED_VALUE"""),"Екатерина Игнатюк")</f>
        <v>Екатерина Игнатюк</v>
      </c>
      <c r="B992" s="14" t="str">
        <f ca="1">IFERROR(__xludf.DUMMYFUNCTION("""COMPUTED_VALUE"""),"keadr81@yandex.ru")</f>
        <v>keadr81@yandex.ru</v>
      </c>
      <c r="C992" s="15"/>
      <c r="D992" s="15" t="str">
        <f ca="1">IFERROR(__xludf.DUMMYFUNCTION("""COMPUTED_VALUE"""),"Беларусь")</f>
        <v>Беларусь</v>
      </c>
      <c r="E992" s="14"/>
      <c r="F992" s="8" t="str">
        <f ca="1">IFERROR(__xludf.DUMMYFUNCTION("""COMPUTED_VALUE"""),"- Тишина Челлендж (бесплатная часть)")</f>
        <v>- Тишина Челлендж (бесплатная часть)</v>
      </c>
      <c r="G992" s="1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>
      <c r="A993" s="14" t="str">
        <f ca="1">IFERROR(__xludf.DUMMYFUNCTION("""COMPUTED_VALUE"""),"Анна Кебец")</f>
        <v>Анна Кебец</v>
      </c>
      <c r="B993" s="14" t="str">
        <f ca="1">IFERROR(__xludf.DUMMYFUNCTION("""COMPUTED_VALUE"""),"kebetsanna2911@gmail.com")</f>
        <v>kebetsanna2911@gmail.com</v>
      </c>
      <c r="C993" s="15" t="str">
        <f ca="1">IFERROR(__xludf.DUMMYFUNCTION("""COMPUTED_VALUE"""),"+375291835167")</f>
        <v>+375291835167</v>
      </c>
      <c r="D993" s="15" t="str">
        <f ca="1">IFERROR(__xludf.DUMMYFUNCTION("""COMPUTED_VALUE"""),"Беларусь")</f>
        <v>Беларусь</v>
      </c>
      <c r="E993" s="14"/>
      <c r="F993" s="8" t="str">
        <f ca="1">IFERROR(__xludf.DUMMYFUNCTION("""COMPUTED_VALUE"""),"- Чайная встреча Разговор по душам Минск 9.04.2022")</f>
        <v>- Чайная встреча Разговор по душам Минск 9.04.2022</v>
      </c>
      <c r="G993" s="1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>
      <c r="A994" s="14" t="str">
        <f ca="1">IFERROR(__xludf.DUMMYFUNCTION("""COMPUTED_VALUE"""),"Бакыт Кемелбеков")</f>
        <v>Бакыт Кемелбеков</v>
      </c>
      <c r="B994" s="14" t="str">
        <f ca="1">IFERROR(__xludf.DUMMYFUNCTION("""COMPUTED_VALUE"""),"kemelbekov-92@mail.ru")</f>
        <v>kemelbekov-92@mail.ru</v>
      </c>
      <c r="C994" s="15" t="str">
        <f ca="1">IFERROR(__xludf.DUMMYFUNCTION("""COMPUTED_VALUE"""),"+996700767574")</f>
        <v>+996700767574</v>
      </c>
      <c r="D994" s="15" t="str">
        <f ca="1">IFERROR(__xludf.DUMMYFUNCTION("""COMPUTED_VALUE"""),"Киргизия")</f>
        <v>Киргизия</v>
      </c>
      <c r="E994" s="14"/>
      <c r="F994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994" s="1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38.25">
      <c r="A995" s="14" t="str">
        <f ca="1">IFERROR(__xludf.DUMMYFUNCTION("""COMPUTED_VALUE"""),"Елена Овсянникова")</f>
        <v>Елена Овсянникова</v>
      </c>
      <c r="B995" s="14" t="str">
        <f ca="1">IFERROR(__xludf.DUMMYFUNCTION("""COMPUTED_VALUE"""),"Kemgka13@mail.ru")</f>
        <v>Kemgka13@mail.ru</v>
      </c>
      <c r="C995" s="15" t="str">
        <f ca="1">IFERROR(__xludf.DUMMYFUNCTION("""COMPUTED_VALUE"""),"+79122533821")</f>
        <v>+79122533821</v>
      </c>
      <c r="D995" s="15" t="str">
        <f ca="1">IFERROR(__xludf.DUMMYFUNCTION("""COMPUTED_VALUE"""),"Россия")</f>
        <v>Россия</v>
      </c>
      <c r="E995" s="14" t="str">
        <f ca="1">IFERROR(__xludf.DUMMYFUNCTION("""COMPUTED_VALUE"""),"@OEG13")</f>
        <v>@OEG13</v>
      </c>
      <c r="F995" s="8" t="str">
        <f ca="1">IFERROR(__xludf.DUMMYFUNCTION("""COMPUTED_VALUE"""),"- Выездной ретрит Тюмень 18-20 марта 2022 (оплата с 23.02 до 10.03)
- Клуб пробуждения Друзья (2 уровень) - 1 месяц")</f>
        <v>- Выездной ретрит Тюмень 18-20 марта 2022 (оплата с 23.02 до 10.03)
- Клуб пробуждения Друзья (2 уровень) - 1 месяц</v>
      </c>
      <c r="G995" s="1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>
      <c r="A996" s="14" t="str">
        <f ca="1">IFERROR(__xludf.DUMMYFUNCTION("""COMPUTED_VALUE"""),"ketbarn,  ")</f>
        <v xml:space="preserve">ketbarn,  </v>
      </c>
      <c r="B996" s="14" t="str">
        <f ca="1">IFERROR(__xludf.DUMMYFUNCTION("""COMPUTED_VALUE"""),"ketbarn@gmail.com")</f>
        <v>ketbarn@gmail.com</v>
      </c>
      <c r="C996" s="15"/>
      <c r="D996" s="15"/>
      <c r="E996" s="14"/>
      <c r="F996" s="8" t="str">
        <f ca="1">IFERROR(__xludf.DUMMYFUNCTION("""COMPUTED_VALUE"""),"- USA Челлендж Тишина")</f>
        <v>- USA Челлендж Тишина</v>
      </c>
      <c r="G996" s="1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>
      <c r="A997" s="14" t="str">
        <f ca="1">IFERROR(__xludf.DUMMYFUNCTION("""COMPUTED_VALUE"""),"Кристина Demir")</f>
        <v>Кристина Demir</v>
      </c>
      <c r="B997" s="14" t="str">
        <f ca="1">IFERROR(__xludf.DUMMYFUNCTION("""COMPUTED_VALUE"""),"Kgamyryak@gmail.com")</f>
        <v>Kgamyryak@gmail.com</v>
      </c>
      <c r="C997" s="15" t="str">
        <f ca="1">IFERROR(__xludf.DUMMYFUNCTION("""COMPUTED_VALUE"""),"+77087027666")</f>
        <v>+77087027666</v>
      </c>
      <c r="D997" s="15" t="str">
        <f ca="1">IFERROR(__xludf.DUMMYFUNCTION("""COMPUTED_VALUE"""),"Казахстан")</f>
        <v>Казахстан</v>
      </c>
      <c r="E997" s="14"/>
      <c r="F997" s="8" t="str">
        <f ca="1">IFERROR(__xludf.DUMMYFUNCTION("""COMPUTED_VALUE"""),"- Тишина Челлендж (бесплатная часть)")</f>
        <v>- Тишина Челлендж (бесплатная часть)</v>
      </c>
      <c r="G997" s="1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63.75">
      <c r="A998" s="14" t="str">
        <f ca="1">IFERROR(__xludf.DUMMYFUNCTION("""COMPUTED_VALUE"""),"ТАТЬЯНА ХИЖНЯК")</f>
        <v>ТАТЬЯНА ХИЖНЯК</v>
      </c>
      <c r="B998" s="14" t="str">
        <f ca="1">IFERROR(__xludf.DUMMYFUNCTION("""COMPUTED_VALUE"""),"khiz-taya@yandex.ru")</f>
        <v>khiz-taya@yandex.ru</v>
      </c>
      <c r="C998" s="15" t="str">
        <f ca="1">IFERROR(__xludf.DUMMYFUNCTION("""COMPUTED_VALUE"""),"79143389472")</f>
        <v>79143389472</v>
      </c>
      <c r="D998" s="15" t="str">
        <f ca="1">IFERROR(__xludf.DUMMYFUNCTION("""COMPUTED_VALUE"""),"Россия")</f>
        <v>Россия</v>
      </c>
      <c r="E998" s="14" t="str">
        <f ca="1">IFERROR(__xludf.DUMMYFUNCTION("""COMPUTED_VALUE"""),"@Tatyana_Hizhnyak")</f>
        <v>@Tatyana_Hizhnyak</v>
      </c>
      <c r="F998" s="8" t="str">
        <f ca="1">IFERROR(__xludf.DUMMYFUNCTION("""COMPUTED_VALUE"""),"- Сообщество ДВ внутренний чат
- Сообщество «Дальний Восток»
- Онлайн Интенсив Дальний Восток 25-27.03.2022 
- Клуб пробуждения Друзья (2 уровень) - 1 месяц
- Ретрит Дальний Восток Хабаровск 30.4-7.5.2022")</f>
        <v>- Сообщество ДВ внутренний чат
- Сообщество «Дальний Восток»
- Онлайн Интенсив Дальний Восток 25-27.03.2022 
- Клуб пробуждения Друзья (2 уровень) - 1 месяц
- Ретрит Дальний Восток Хабаровск 30.4-7.5.2022</v>
      </c>
      <c r="G998" s="1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>
      <c r="A999" s="14" t="str">
        <f ca="1">IFERROR(__xludf.DUMMYFUNCTION("""COMPUTED_VALUE"""),"Наталья Хлопова")</f>
        <v>Наталья Хлопова</v>
      </c>
      <c r="B999" s="14" t="str">
        <f ca="1">IFERROR(__xludf.DUMMYFUNCTION("""COMPUTED_VALUE"""),"khlnata@mail.ru")</f>
        <v>khlnata@mail.ru</v>
      </c>
      <c r="C999" s="15" t="str">
        <f ca="1">IFERROR(__xludf.DUMMYFUNCTION("""COMPUTED_VALUE"""),"79652826372")</f>
        <v>79652826372</v>
      </c>
      <c r="D999" s="15" t="str">
        <f ca="1">IFERROR(__xludf.DUMMYFUNCTION("""COMPUTED_VALUE"""),"Россия")</f>
        <v>Россия</v>
      </c>
      <c r="E999" s="14"/>
      <c r="F999" s="8" t="str">
        <f ca="1">IFERROR(__xludf.DUMMYFUNCTION("""COMPUTED_VALUE"""),"- Ретрит в РЦ Сочи 5-13 марта 2022 (Оплата до 22 февраля)")</f>
        <v>- Ретрит в РЦ Сочи 5-13 марта 2022 (Оплата до 22 февраля)</v>
      </c>
      <c r="G999" s="1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5.5">
      <c r="A1000" s="14" t="str">
        <f ca="1">IFERROR(__xludf.DUMMYFUNCTION("""COMPUTED_VALUE"""),"Хосият Ахмедова")</f>
        <v>Хосият Ахмедова</v>
      </c>
      <c r="B1000" s="14" t="str">
        <f ca="1">IFERROR(__xludf.DUMMYFUNCTION("""COMPUTED_VALUE"""),"khosiyatkhon.akhmedova@bk.ru")</f>
        <v>khosiyatkhon.akhmedova@bk.ru</v>
      </c>
      <c r="C1000" s="15" t="str">
        <f ca="1">IFERROR(__xludf.DUMMYFUNCTION("""COMPUTED_VALUE"""),"+998905022110")</f>
        <v>+998905022110</v>
      </c>
      <c r="D1000" s="15"/>
      <c r="E1000" s="14"/>
      <c r="F100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000" s="1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25.5">
      <c r="A1001" s="14" t="str">
        <f ca="1">IFERROR(__xludf.DUMMYFUNCTION("""COMPUTED_VALUE"""),"Nigora Xusanova")</f>
        <v>Nigora Xusanova</v>
      </c>
      <c r="B1001" s="14" t="str">
        <f ca="1">IFERROR(__xludf.DUMMYFUNCTION("""COMPUTED_VALUE"""),"khusanovanigora32@gmail.com")</f>
        <v>khusanovanigora32@gmail.com</v>
      </c>
      <c r="C1001" s="15" t="str">
        <f ca="1">IFERROR(__xludf.DUMMYFUNCTION("""COMPUTED_VALUE"""),"+998900671552")</f>
        <v>+998900671552</v>
      </c>
      <c r="D1001" s="15"/>
      <c r="E1001" s="14"/>
      <c r="F100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001" s="14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25.5">
      <c r="A1002" s="14" t="str">
        <f ca="1">IFERROR(__xludf.DUMMYFUNCTION("""COMPUTED_VALUE"""),"Анна Кисилева, ")</f>
        <v xml:space="preserve">Анна Кисилева, </v>
      </c>
      <c r="B1002" s="14" t="str">
        <f ca="1">IFERROR(__xludf.DUMMYFUNCTION("""COMPUTED_VALUE"""),"kianna07@mail.ru")</f>
        <v>kianna07@mail.ru</v>
      </c>
      <c r="C1002" s="15" t="str">
        <f ca="1">IFERROR(__xludf.DUMMYFUNCTION("""COMPUTED_VALUE"""),"+998903253241, ")</f>
        <v xml:space="preserve">+998903253241, </v>
      </c>
      <c r="D1002" s="15"/>
      <c r="E1002" s="14"/>
      <c r="F100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002" s="14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4.25">
      <c r="A1003" s="14" t="str">
        <f ca="1">IFERROR(__xludf.DUMMYFUNCTION("""COMPUTED_VALUE"""),"Лера Кибисова")</f>
        <v>Лера Кибисова</v>
      </c>
      <c r="B1003" s="14" t="str">
        <f ca="1">IFERROR(__xludf.DUMMYFUNCTION("""COMPUTED_VALUE"""),"kibisova05@gmail.com")</f>
        <v>kibisova05@gmail.com</v>
      </c>
      <c r="C1003" s="15" t="str">
        <f ca="1">IFERROR(__xludf.DUMMYFUNCTION("""COMPUTED_VALUE"""),"+375336200299")</f>
        <v>+375336200299</v>
      </c>
      <c r="D1003" s="15" t="str">
        <f ca="1">IFERROR(__xludf.DUMMYFUNCTION("""COMPUTED_VALUE"""),"Беларусь")</f>
        <v>Беларусь</v>
      </c>
      <c r="E1003" s="14"/>
      <c r="F1003" s="8" t="str">
        <f ca="1">IFERROR(__xludf.DUMMYFUNCTION("""COMPUTED_VALUE"""),"- Чайная встреча в Минске 8.1.22")</f>
        <v>- Чайная встреча в Минске 8.1.22</v>
      </c>
      <c r="G1003" s="14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4.25">
      <c r="A1004" s="14" t="str">
        <f ca="1">IFERROR(__xludf.DUMMYFUNCTION("""COMPUTED_VALUE"""),"Алия Амренова")</f>
        <v>Алия Амренова</v>
      </c>
      <c r="B1004" s="14" t="str">
        <f ca="1">IFERROR(__xludf.DUMMYFUNCTION("""COMPUTED_VALUE"""),"kiboko08@mail.ru")</f>
        <v>kiboko08@mail.ru</v>
      </c>
      <c r="C1004" s="15"/>
      <c r="D1004" s="15"/>
      <c r="E1004" s="14"/>
      <c r="F1004" s="8" t="str">
        <f ca="1">IFERROR(__xludf.DUMMYFUNCTION("""COMPUTED_VALUE"""),"Мероприятий не обнаружено")</f>
        <v>Мероприятий не обнаружено</v>
      </c>
      <c r="G1004" s="14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4.25">
      <c r="A1005" s="14" t="str">
        <f ca="1">IFERROR(__xludf.DUMMYFUNCTION("""COMPUTED_VALUE"""),"Елена Козлова")</f>
        <v>Елена Козлова</v>
      </c>
      <c r="B1005" s="14" t="str">
        <f ca="1">IFERROR(__xludf.DUMMYFUNCTION("""COMPUTED_VALUE"""),"kim_23@mail.ru")</f>
        <v>kim_23@mail.ru</v>
      </c>
      <c r="C1005" s="15" t="str">
        <f ca="1">IFERROR(__xludf.DUMMYFUNCTION("""COMPUTED_VALUE"""),"79202126196")</f>
        <v>79202126196</v>
      </c>
      <c r="D1005" s="15" t="str">
        <f ca="1">IFERROR(__xludf.DUMMYFUNCTION("""COMPUTED_VALUE"""),"Россия")</f>
        <v>Россия</v>
      </c>
      <c r="E1005" s="14"/>
      <c r="F1005" s="8" t="str">
        <f ca="1">IFERROR(__xludf.DUMMYFUNCTION("""COMPUTED_VALUE"""),"- Тишина Челлендж (бесплатная часть)")</f>
        <v>- Тишина Челлендж (бесплатная часть)</v>
      </c>
      <c r="G1005" s="14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25.5">
      <c r="A1006" s="14" t="str">
        <f ca="1">IFERROR(__xludf.DUMMYFUNCTION("""COMPUTED_VALUE"""),"Евгения Ким")</f>
        <v>Евгения Ким</v>
      </c>
      <c r="B1006" s="14" t="str">
        <f ca="1">IFERROR(__xludf.DUMMYFUNCTION("""COMPUTED_VALUE"""),"Kim.ev84@mail.ru")</f>
        <v>Kim.ev84@mail.ru</v>
      </c>
      <c r="C1006" s="15" t="str">
        <f ca="1">IFERROR(__xludf.DUMMYFUNCTION("""COMPUTED_VALUE"""),"87471159395")</f>
        <v>87471159395</v>
      </c>
      <c r="D1006" s="15"/>
      <c r="E1006" s="14"/>
      <c r="F100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006" s="14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25.5">
      <c r="A1007" s="14" t="str">
        <f ca="1">IFERROR(__xludf.DUMMYFUNCTION("""COMPUTED_VALUE"""),"Айман Минбаева")</f>
        <v>Айман Минбаева</v>
      </c>
      <c r="B1007" s="14" t="str">
        <f ca="1">IFERROR(__xludf.DUMMYFUNCTION("""COMPUTED_VALUE"""),"Kind.ppl87@gmail.com")</f>
        <v>Kind.ppl87@gmail.com</v>
      </c>
      <c r="C1007" s="15" t="str">
        <f ca="1">IFERROR(__xludf.DUMMYFUNCTION("""COMPUTED_VALUE"""),"87072298487")</f>
        <v>87072298487</v>
      </c>
      <c r="D1007" s="15"/>
      <c r="E1007" s="14"/>
      <c r="F100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007" s="14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4.25">
      <c r="A1008" s="14" t="str">
        <f ca="1">IFERROR(__xludf.DUMMYFUNCTION("""COMPUTED_VALUE"""),"Ольга Кушнир")</f>
        <v>Ольга Кушнир</v>
      </c>
      <c r="B1008" s="14" t="str">
        <f ca="1">IFERROR(__xludf.DUMMYFUNCTION("""COMPUTED_VALUE"""),"kingasgs555@gmail.com")</f>
        <v>kingasgs555@gmail.com</v>
      </c>
      <c r="C1008" s="15" t="str">
        <f ca="1">IFERROR(__xludf.DUMMYFUNCTION("""COMPUTED_VALUE"""),"79182424072")</f>
        <v>79182424072</v>
      </c>
      <c r="D1008" s="15" t="str">
        <f ca="1">IFERROR(__xludf.DUMMYFUNCTION("""COMPUTED_VALUE"""),"Россия")</f>
        <v>Россия</v>
      </c>
      <c r="E1008" s="14"/>
      <c r="F1008" s="8" t="str">
        <f ca="1">IFERROR(__xludf.DUMMYFUNCTION("""COMPUTED_VALUE"""),"- Тишина Челлендж (бесплатная часть)")</f>
        <v>- Тишина Челлендж (бесплатная часть)</v>
      </c>
      <c r="G1008" s="14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25.5">
      <c r="A1009" s="14" t="str">
        <f ca="1">IFERROR(__xludf.DUMMYFUNCTION("""COMPUTED_VALUE"""),"Виктория Романова")</f>
        <v>Виктория Романова</v>
      </c>
      <c r="B1009" s="14" t="str">
        <f ca="1">IFERROR(__xludf.DUMMYFUNCTION("""COMPUTED_VALUE"""),"Kingvictory@mail.ru")</f>
        <v>Kingvictory@mail.ru</v>
      </c>
      <c r="C1009" s="15" t="str">
        <f ca="1">IFERROR(__xludf.DUMMYFUNCTION("""COMPUTED_VALUE"""),"903569514")</f>
        <v>903569514</v>
      </c>
      <c r="D1009" s="15"/>
      <c r="E1009" s="14"/>
      <c r="F100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009" s="14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4.25">
      <c r="A1010" s="14" t="str">
        <f ca="1">IFERROR(__xludf.DUMMYFUNCTION("""COMPUTED_VALUE"""),"Кира Лыхман")</f>
        <v>Кира Лыхман</v>
      </c>
      <c r="B1010" s="14" t="str">
        <f ca="1">IFERROR(__xludf.DUMMYFUNCTION("""COMPUTED_VALUE"""),"KiraArch@bk.ru")</f>
        <v>KiraArch@bk.ru</v>
      </c>
      <c r="C1010" s="15" t="str">
        <f ca="1">IFERROR(__xludf.DUMMYFUNCTION("""COMPUTED_VALUE"""),"+79513048171")</f>
        <v>+79513048171</v>
      </c>
      <c r="D1010" s="15" t="str">
        <f ca="1">IFERROR(__xludf.DUMMYFUNCTION("""COMPUTED_VALUE"""),"Россия")</f>
        <v>Россия</v>
      </c>
      <c r="E1010" s="14"/>
      <c r="F1010" s="8" t="str">
        <f ca="1">IFERROR(__xludf.DUMMYFUNCTION("""COMPUTED_VALUE"""),"- Партнерская программа")</f>
        <v>- Партнерская программа</v>
      </c>
      <c r="G1010" s="14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4.25">
      <c r="A1011" s="14" t="str">
        <f ca="1">IFERROR(__xludf.DUMMYFUNCTION("""COMPUTED_VALUE"""),"Кирилл Зейтоа")</f>
        <v>Кирилл Зейтоа</v>
      </c>
      <c r="B1011" s="14" t="str">
        <f ca="1">IFERROR(__xludf.DUMMYFUNCTION("""COMPUTED_VALUE"""),"kirilllesnoj1@gmail.com")</f>
        <v>kirilllesnoj1@gmail.com</v>
      </c>
      <c r="C1011" s="15" t="str">
        <f ca="1">IFERROR(__xludf.DUMMYFUNCTION("""COMPUTED_VALUE"""),"+86211346114")</f>
        <v>+86211346114</v>
      </c>
      <c r="D1011" s="15" t="str">
        <f ca="1">IFERROR(__xludf.DUMMYFUNCTION("""COMPUTED_VALUE"""),"Россия")</f>
        <v>Россия</v>
      </c>
      <c r="E1011" s="14"/>
      <c r="F1011" s="8" t="str">
        <f ca="1">IFERROR(__xludf.DUMMYFUNCTION("""COMPUTED_VALUE"""),"- Тишина Челлендж (бесплатная часть)")</f>
        <v>- Тишина Челлендж (бесплатная часть)</v>
      </c>
      <c r="G1011" s="14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4.25">
      <c r="A1012" s="14" t="str">
        <f ca="1">IFERROR(__xludf.DUMMYFUNCTION("""COMPUTED_VALUE"""),"Даша Мако")</f>
        <v>Даша Мако</v>
      </c>
      <c r="B1012" s="14" t="str">
        <f ca="1">IFERROR(__xludf.DUMMYFUNCTION("""COMPUTED_VALUE"""),"kiss_dasha@bk.ru")</f>
        <v>kiss_dasha@bk.ru</v>
      </c>
      <c r="C1012" s="15"/>
      <c r="D1012" s="15" t="str">
        <f ca="1">IFERROR(__xludf.DUMMYFUNCTION("""COMPUTED_VALUE"""),"Швеция")</f>
        <v>Швеция</v>
      </c>
      <c r="E1012" s="14"/>
      <c r="F1012" s="8" t="str">
        <f ca="1">IFERROR(__xludf.DUMMYFUNCTION("""COMPUTED_VALUE"""),"- Тишина Челлендж (бесплатная часть)")</f>
        <v>- Тишина Челлендж (бесплатная часть)</v>
      </c>
      <c r="G1012" s="14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25.5">
      <c r="A1013" s="14" t="str">
        <f ca="1">IFERROR(__xludf.DUMMYFUNCTION("""COMPUTED_VALUE"""),"Дарья Губаренко")</f>
        <v>Дарья Губаренко</v>
      </c>
      <c r="B1013" s="14" t="str">
        <f ca="1">IFERROR(__xludf.DUMMYFUNCTION("""COMPUTED_VALUE"""),"Kitten89@bk.ru")</f>
        <v>Kitten89@bk.ru</v>
      </c>
      <c r="C1013" s="15" t="str">
        <f ca="1">IFERROR(__xludf.DUMMYFUNCTION("""COMPUTED_VALUE"""),"77051803243")</f>
        <v>77051803243</v>
      </c>
      <c r="D1013" s="15"/>
      <c r="E1013" s="14"/>
      <c r="F101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013" s="14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25.5">
      <c r="A1014" s="14" t="str">
        <f ca="1">IFERROR(__xludf.DUMMYFUNCTION("""COMPUTED_VALUE"""),"Азиза Раджапова")</f>
        <v>Азиза Раджапова</v>
      </c>
      <c r="B1014" s="14" t="str">
        <f ca="1">IFERROR(__xludf.DUMMYFUNCTION("""COMPUTED_VALUE"""),"kitti98@bk.ru")</f>
        <v>kitti98@bk.ru</v>
      </c>
      <c r="C1014" s="15" t="str">
        <f ca="1">IFERROR(__xludf.DUMMYFUNCTION("""COMPUTED_VALUE"""),"+998909387552")</f>
        <v>+998909387552</v>
      </c>
      <c r="D1014" s="15" t="str">
        <f ca="1">IFERROR(__xludf.DUMMYFUNCTION("""COMPUTED_VALUE"""),"Узбекистан")</f>
        <v>Узбекистан</v>
      </c>
      <c r="E1014" s="14"/>
      <c r="F101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014" s="14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4.25">
      <c r="A1015" s="14" t="str">
        <f ca="1">IFERROR(__xludf.DUMMYFUNCTION("""COMPUTED_VALUE"""),"Кристине Оганесян")</f>
        <v>Кристине Оганесян</v>
      </c>
      <c r="B1015" s="14" t="str">
        <f ca="1">IFERROR(__xludf.DUMMYFUNCTION("""COMPUTED_VALUE"""),"Kity-hovhannisian@rambler.ru")</f>
        <v>Kity-hovhannisian@rambler.ru</v>
      </c>
      <c r="C1015" s="15"/>
      <c r="D1015" s="15" t="str">
        <f ca="1">IFERROR(__xludf.DUMMYFUNCTION("""COMPUTED_VALUE"""),"Узбекистан")</f>
        <v>Узбекистан</v>
      </c>
      <c r="E1015" s="14"/>
      <c r="F1015" s="8" t="str">
        <f ca="1">IFERROR(__xludf.DUMMYFUNCTION("""COMPUTED_VALUE"""),"- Тишина Челлендж (бесплатная часть)")</f>
        <v>- Тишина Челлендж (бесплатная часть)</v>
      </c>
      <c r="G1015" s="14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25.5">
      <c r="A1016" s="14" t="str">
        <f ca="1">IFERROR(__xludf.DUMMYFUNCTION("""COMPUTED_VALUE"""),"Евгения Раилко")</f>
        <v>Евгения Раилко</v>
      </c>
      <c r="B1016" s="14" t="str">
        <f ca="1">IFERROR(__xludf.DUMMYFUNCTION("""COMPUTED_VALUE"""),"kjnjc2008@rambler.ru")</f>
        <v>kjnjc2008@rambler.ru</v>
      </c>
      <c r="C1016" s="15" t="str">
        <f ca="1">IFERROR(__xludf.DUMMYFUNCTION("""COMPUTED_VALUE"""),"+998991122250")</f>
        <v>+998991122250</v>
      </c>
      <c r="D1016" s="15"/>
      <c r="E1016" s="14"/>
      <c r="F101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016" s="14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38.25">
      <c r="A1017" s="14" t="str">
        <f ca="1">IFERROR(__xludf.DUMMYFUNCTION("""COMPUTED_VALUE"""),"Ирина Соколова")</f>
        <v>Ирина Соколова</v>
      </c>
      <c r="B1017" s="14" t="str">
        <f ca="1">IFERROR(__xludf.DUMMYFUNCTION("""COMPUTED_VALUE"""),"kkkolod@mail.ru")</f>
        <v>kkkolod@mail.ru</v>
      </c>
      <c r="C1017" s="15" t="str">
        <f ca="1">IFERROR(__xludf.DUMMYFUNCTION("""COMPUTED_VALUE"""),"79051306006")</f>
        <v>79051306006</v>
      </c>
      <c r="D1017" s="15" t="str">
        <f ca="1">IFERROR(__xludf.DUMMYFUNCTION("""COMPUTED_VALUE"""),"Россия")</f>
        <v>Россия</v>
      </c>
      <c r="E1017" s="14"/>
      <c r="F1017" s="8" t="str">
        <f ca="1">IFERROR(__xludf.DUMMYFUNCTION("""COMPUTED_VALUE"""),"- Вебинар с Никитой Бородулиным 11.02.2022 часть1
- Вебинар все о ретрите 12.2.2022
- Тишина Челлендж (бесплатная часть)")</f>
        <v>- Вебинар с Никитой Бородулиным 11.02.2022 часть1
- Вебинар все о ретрите 12.2.2022
- Тишина Челлендж (бесплатная часть)</v>
      </c>
      <c r="G1017" s="14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4.25">
      <c r="A1018" s="14" t="str">
        <f ca="1">IFERROR(__xludf.DUMMYFUNCTION("""COMPUTED_VALUE"""),"Klara Ilyassova")</f>
        <v>Klara Ilyassova</v>
      </c>
      <c r="B1018" s="14" t="str">
        <f ca="1">IFERROR(__xludf.DUMMYFUNCTION("""COMPUTED_VALUE"""),"klarailyasova666@gmail.com")</f>
        <v>klarailyasova666@gmail.com</v>
      </c>
      <c r="C1018" s="15"/>
      <c r="D1018" s="15" t="str">
        <f ca="1">IFERROR(__xludf.DUMMYFUNCTION("""COMPUTED_VALUE"""),"Казахстан")</f>
        <v>Казахстан</v>
      </c>
      <c r="E1018" s="14"/>
      <c r="F1018" s="8" t="str">
        <f ca="1">IFERROR(__xludf.DUMMYFUNCTION("""COMPUTED_VALUE"""),"- Тишина Челлендж (бесплатная часть)")</f>
        <v>- Тишина Челлендж (бесплатная часть)</v>
      </c>
      <c r="G1018" s="14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4.25">
      <c r="A1019" s="14" t="str">
        <f ca="1">IFERROR(__xludf.DUMMYFUNCTION("""COMPUTED_VALUE""")," ")</f>
        <v xml:space="preserve"> </v>
      </c>
      <c r="B1019" s="14" t="str">
        <f ca="1">IFERROR(__xludf.DUMMYFUNCTION("""COMPUTED_VALUE"""),"klavdiahetchinof@gmail.com")</f>
        <v>klavdiahetchinof@gmail.com</v>
      </c>
      <c r="C1019" s="15"/>
      <c r="D1019" s="15"/>
      <c r="E1019" s="14"/>
      <c r="F1019" s="8" t="str">
        <f ca="1">IFERROR(__xludf.DUMMYFUNCTION("""COMPUTED_VALUE"""),"Мероприятий не обнаружено")</f>
        <v>Мероприятий не обнаружено</v>
      </c>
      <c r="G1019" s="14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25.5">
      <c r="A1020" s="14" t="str">
        <f ca="1">IFERROR(__xludf.DUMMYFUNCTION("""COMPUTED_VALUE"""),"Любовь Нурланова")</f>
        <v>Любовь Нурланова</v>
      </c>
      <c r="B1020" s="14" t="str">
        <f ca="1">IFERROR(__xludf.DUMMYFUNCTION("""COMPUTED_VALUE"""),"klb-86@mail.ru")</f>
        <v>klb-86@mail.ru</v>
      </c>
      <c r="C1020" s="15" t="str">
        <f ca="1">IFERROR(__xludf.DUMMYFUNCTION("""COMPUTED_VALUE"""),"87477316180")</f>
        <v>87477316180</v>
      </c>
      <c r="D1020" s="15"/>
      <c r="E1020" s="14"/>
      <c r="F102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020" s="14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4.25">
      <c r="A1021" s="14" t="str">
        <f ca="1">IFERROR(__xludf.DUMMYFUNCTION("""COMPUTED_VALUE"""),"Наталья Старухина")</f>
        <v>Наталья Старухина</v>
      </c>
      <c r="B1021" s="14" t="str">
        <f ca="1">IFERROR(__xludf.DUMMYFUNCTION("""COMPUTED_VALUE"""),"kleopatra030393@mail.ru")</f>
        <v>kleopatra030393@mail.ru</v>
      </c>
      <c r="C1021" s="15" t="str">
        <f ca="1">IFERROR(__xludf.DUMMYFUNCTION("""COMPUTED_VALUE"""),"+79081449122")</f>
        <v>+79081449122</v>
      </c>
      <c r="D1021" s="15" t="str">
        <f ca="1">IFERROR(__xludf.DUMMYFUNCTION("""COMPUTED_VALUE"""),"Россия")</f>
        <v>Россия</v>
      </c>
      <c r="E1021" s="14"/>
      <c r="F1021" s="8" t="str">
        <f ca="1">IFERROR(__xludf.DUMMYFUNCTION("""COMPUTED_VALUE"""),"- Выездной ретрит Воронеж-Липецк 25-27.2.2022")</f>
        <v>- Выездной ретрит Воронеж-Липецк 25-27.2.2022</v>
      </c>
      <c r="G1021" s="14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4.25">
      <c r="A1022" s="14" t="str">
        <f ca="1">IFERROR(__xludf.DUMMYFUNCTION("""COMPUTED_VALUE"""),"Екатерина Летко")</f>
        <v>Екатерина Летко</v>
      </c>
      <c r="B1022" s="14" t="str">
        <f ca="1">IFERROR(__xludf.DUMMYFUNCTION("""COMPUTED_VALUE"""),"kletko92@gmail.com")</f>
        <v>kletko92@gmail.com</v>
      </c>
      <c r="C1022" s="15" t="str">
        <f ca="1">IFERROR(__xludf.DUMMYFUNCTION("""COMPUTED_VALUE"""),"+375255271687")</f>
        <v>+375255271687</v>
      </c>
      <c r="D1022" s="15" t="str">
        <f ca="1">IFERROR(__xludf.DUMMYFUNCTION("""COMPUTED_VALUE"""),"Беларусь")</f>
        <v>Беларусь</v>
      </c>
      <c r="E1022" s="14"/>
      <c r="F1022" s="8" t="str">
        <f ca="1">IFERROR(__xludf.DUMMYFUNCTION("""COMPUTED_VALUE"""),"- Тишина Челлендж (бесплатная часть)")</f>
        <v>- Тишина Челлендж (бесплатная часть)</v>
      </c>
      <c r="G1022" s="14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4.25">
      <c r="A1023" s="14" t="str">
        <f ca="1">IFERROR(__xludf.DUMMYFUNCTION("""COMPUTED_VALUE"""),"Екатерина Копенкина")</f>
        <v>Екатерина Копенкина</v>
      </c>
      <c r="B1023" s="14" t="str">
        <f ca="1">IFERROR(__xludf.DUMMYFUNCTION("""COMPUTED_VALUE"""),"Km291188@gmail.com")</f>
        <v>Km291188@gmail.com</v>
      </c>
      <c r="C1023" s="15" t="str">
        <f ca="1">IFERROR(__xludf.DUMMYFUNCTION("""COMPUTED_VALUE"""),"79655482822")</f>
        <v>79655482822</v>
      </c>
      <c r="D1023" s="15" t="str">
        <f ca="1">IFERROR(__xludf.DUMMYFUNCTION("""COMPUTED_VALUE"""),"США")</f>
        <v>США</v>
      </c>
      <c r="E1023" s="14"/>
      <c r="F1023" s="8" t="str">
        <f ca="1">IFERROR(__xludf.DUMMYFUNCTION("""COMPUTED_VALUE"""),"- Практика тишины Екатеринбург 18.2 2022")</f>
        <v>- Практика тишины Екатеринбург 18.2 2022</v>
      </c>
      <c r="G1023" s="14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4.25">
      <c r="A1024" s="14" t="str">
        <f ca="1">IFERROR(__xludf.DUMMYFUNCTION("""COMPUTED_VALUE"""),"Наталия Кобелева")</f>
        <v>Наталия Кобелева</v>
      </c>
      <c r="B1024" s="14" t="str">
        <f ca="1">IFERROR(__xludf.DUMMYFUNCTION("""COMPUTED_VALUE"""),"Kobeleva7214@gmail.com")</f>
        <v>Kobeleva7214@gmail.com</v>
      </c>
      <c r="C1024" s="15" t="str">
        <f ca="1">IFERROR(__xludf.DUMMYFUNCTION("""COMPUTED_VALUE"""),"79281794882")</f>
        <v>79281794882</v>
      </c>
      <c r="D1024" s="15" t="str">
        <f ca="1">IFERROR(__xludf.DUMMYFUNCTION("""COMPUTED_VALUE"""),"Россия")</f>
        <v>Россия</v>
      </c>
      <c r="E1024" s="14" t="str">
        <f ca="1">IFERROR(__xludf.DUMMYFUNCTION("""COMPUTED_VALUE"""),"@Natashine88")</f>
        <v>@Natashine88</v>
      </c>
      <c r="F1024" s="8" t="str">
        <f ca="1">IFERROR(__xludf.DUMMYFUNCTION("""COMPUTED_VALUE"""),"- Клуб пробуждения Друзья (2 уровень) - 1 месяц")</f>
        <v>- Клуб пробуждения Друзья (2 уровень) - 1 месяц</v>
      </c>
      <c r="G1024" s="14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4.25">
      <c r="A1025" s="14" t="str">
        <f ca="1">IFERROR(__xludf.DUMMYFUNCTION("""COMPUTED_VALUE"""),"Екатерина Кобец")</f>
        <v>Екатерина Кобец</v>
      </c>
      <c r="B1025" s="14" t="str">
        <f ca="1">IFERROR(__xludf.DUMMYFUNCTION("""COMPUTED_VALUE"""),"kobets.katsyaryna@gmail.com")</f>
        <v>kobets.katsyaryna@gmail.com</v>
      </c>
      <c r="C1025" s="15" t="str">
        <f ca="1">IFERROR(__xludf.DUMMYFUNCTION("""COMPUTED_VALUE"""),"+375298128917")</f>
        <v>+375298128917</v>
      </c>
      <c r="D1025" s="15" t="str">
        <f ca="1">IFERROR(__xludf.DUMMYFUNCTION("""COMPUTED_VALUE"""),"Беларусь")</f>
        <v>Беларусь</v>
      </c>
      <c r="E1025" s="14"/>
      <c r="F1025" s="8" t="str">
        <f ca="1">IFERROR(__xludf.DUMMYFUNCTION("""COMPUTED_VALUE"""),"- Практика Тишины общая платная")</f>
        <v>- Практика Тишины общая платная</v>
      </c>
      <c r="G1025" s="14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4.25">
      <c r="A1026" s="14" t="str">
        <f ca="1">IFERROR(__xludf.DUMMYFUNCTION("""COMPUTED_VALUE"""),"Иван Кодин")</f>
        <v>Иван Кодин</v>
      </c>
      <c r="B1026" s="14" t="str">
        <f ca="1">IFERROR(__xludf.DUMMYFUNCTION("""COMPUTED_VALUE"""),"kodich80@mail.ru")</f>
        <v>kodich80@mail.ru</v>
      </c>
      <c r="C1026" s="15" t="str">
        <f ca="1">IFERROR(__xludf.DUMMYFUNCTION("""COMPUTED_VALUE"""),", +79026801588")</f>
        <v>, +79026801588</v>
      </c>
      <c r="D1026" s="15" t="str">
        <f ca="1">IFERROR(__xludf.DUMMYFUNCTION("""COMPUTED_VALUE"""),"Россия")</f>
        <v>Россия</v>
      </c>
      <c r="E1026" s="14"/>
      <c r="F1026" s="8" t="str">
        <f ca="1">IFERROR(__xludf.DUMMYFUNCTION("""COMPUTED_VALUE"""),"Мероприятий не обнаружено")</f>
        <v>Мероприятий не обнаружено</v>
      </c>
      <c r="G1026" s="14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4.25">
      <c r="A1027" s="14" t="str">
        <f ca="1">IFERROR(__xludf.DUMMYFUNCTION("""COMPUTED_VALUE"""),"Александр Кодин")</f>
        <v>Александр Кодин</v>
      </c>
      <c r="B1027" s="14" t="str">
        <f ca="1">IFERROR(__xludf.DUMMYFUNCTION("""COMPUTED_VALUE"""),"kodin5mart@gmail.com")</f>
        <v>kodin5mart@gmail.com</v>
      </c>
      <c r="C1027" s="15" t="str">
        <f ca="1">IFERROR(__xludf.DUMMYFUNCTION("""COMPUTED_VALUE"""),"+79771293523")</f>
        <v>+79771293523</v>
      </c>
      <c r="D1027" s="15" t="str">
        <f ca="1">IFERROR(__xludf.DUMMYFUNCTION("""COMPUTED_VALUE"""),"Россия")</f>
        <v>Россия</v>
      </c>
      <c r="E1027" s="14"/>
      <c r="F1027" s="8" t="str">
        <f ca="1">IFERROR(__xludf.DUMMYFUNCTION("""COMPUTED_VALUE"""),"- Тишина Челлендж (бесплатная часть)")</f>
        <v>- Тишина Челлендж (бесплатная часть)</v>
      </c>
      <c r="G1027" s="14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4.25">
      <c r="A1028" s="14" t="str">
        <f ca="1">IFERROR(__xludf.DUMMYFUNCTION("""COMPUTED_VALUE"""),"Асылбек Кожахметов")</f>
        <v>Асылбек Кожахметов</v>
      </c>
      <c r="B1028" s="14" t="str">
        <f ca="1">IFERROR(__xludf.DUMMYFUNCTION("""COMPUTED_VALUE"""),"Koj11@mail.ru")</f>
        <v>Koj11@mail.ru</v>
      </c>
      <c r="C1028" s="15"/>
      <c r="D1028" s="15" t="str">
        <f ca="1">IFERROR(__xludf.DUMMYFUNCTION("""COMPUTED_VALUE"""),"Россия")</f>
        <v>Россия</v>
      </c>
      <c r="E1028" s="14"/>
      <c r="F1028" s="8" t="str">
        <f ca="1">IFERROR(__xludf.DUMMYFUNCTION("""COMPUTED_VALUE"""),"- Базовая бесплатная часть")</f>
        <v>- Базовая бесплатная часть</v>
      </c>
      <c r="G1028" s="14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4.25">
      <c r="A1029" s="14" t="str">
        <f ca="1">IFERROR(__xludf.DUMMYFUNCTION("""COMPUTED_VALUE"""),"Алёна Кокина")</f>
        <v>Алёна Кокина</v>
      </c>
      <c r="B1029" s="14" t="str">
        <f ca="1">IFERROR(__xludf.DUMMYFUNCTION("""COMPUTED_VALUE"""),"kokina2000@inbox.ru")</f>
        <v>kokina2000@inbox.ru</v>
      </c>
      <c r="C1029" s="15" t="str">
        <f ca="1">IFERROR(__xludf.DUMMYFUNCTION("""COMPUTED_VALUE"""),"+79963540028")</f>
        <v>+79963540028</v>
      </c>
      <c r="D1029" s="15" t="str">
        <f ca="1">IFERROR(__xludf.DUMMYFUNCTION("""COMPUTED_VALUE"""),"Россия")</f>
        <v>Россия</v>
      </c>
      <c r="E1029" s="14"/>
      <c r="F1029" s="8" t="str">
        <f ca="1">IFERROR(__xludf.DUMMYFUNCTION("""COMPUTED_VALUE"""),"- Однодневный ретрит Россия 14 мая 2022")</f>
        <v>- Однодневный ретрит Россия 14 мая 2022</v>
      </c>
      <c r="G1029" s="14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51">
      <c r="A1030" s="14" t="str">
        <f ca="1">IFERROR(__xludf.DUMMYFUNCTION("""COMPUTED_VALUE"""),"Елена Синюкова")</f>
        <v>Елена Синюкова</v>
      </c>
      <c r="B1030" s="14" t="str">
        <f ca="1">IFERROR(__xludf.DUMMYFUNCTION("""COMPUTED_VALUE"""),"kolchina1610@gmail.com")</f>
        <v>kolchina1610@gmail.com</v>
      </c>
      <c r="C1030" s="15" t="str">
        <f ca="1">IFERROR(__xludf.DUMMYFUNCTION("""COMPUTED_VALUE"""),"+351932917988")</f>
        <v>+351932917988</v>
      </c>
      <c r="D1030" s="15" t="str">
        <f ca="1">IFERROR(__xludf.DUMMYFUNCTION("""COMPUTED_VALUE"""),"Португалия")</f>
        <v>Португалия</v>
      </c>
      <c r="E1030" s="14" t="str">
        <f ca="1">IFERROR(__xludf.DUMMYFUNCTION("""COMPUTED_VALUE"""),"@oceanikka")</f>
        <v>@oceanikka</v>
      </c>
      <c r="F1030" s="8" t="str">
        <f ca="1">IFERROR(__xludf.DUMMYFUNCTION("""COMPUTED_VALUE"""),"- Заявка на звонок для курса ""Парадентальная медитация""
- Курс подготовки к Парадентальной медитации
- Курс подготовки к Парадентальной медитации (доступ к 1 уроку)
- Клуб пробуждения Друзья (2 уровень) - 1 месяц")</f>
        <v>- Заявка на звонок для курса "Парадентальная медитация"
- Курс подготовки к Парадентальной медитации
- Курс подготовки к Парадентальной медитации (доступ к 1 уроку)
- Клуб пробуждения Друзья (2 уровень) - 1 месяц</v>
      </c>
      <c r="G1030" s="14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25.5">
      <c r="A1031" s="14" t="str">
        <f ca="1">IFERROR(__xludf.DUMMYFUNCTION("""COMPUTED_VALUE"""),"Kamola Nizamova")</f>
        <v>Kamola Nizamova</v>
      </c>
      <c r="B1031" s="14" t="str">
        <f ca="1">IFERROR(__xludf.DUMMYFUNCTION("""COMPUTED_VALUE"""),"komolanizamova11@gmail.com")</f>
        <v>komolanizamova11@gmail.com</v>
      </c>
      <c r="C1031" s="15" t="str">
        <f ca="1">IFERROR(__xludf.DUMMYFUNCTION("""COMPUTED_VALUE"""),"+998935947666")</f>
        <v>+998935947666</v>
      </c>
      <c r="D1031" s="15"/>
      <c r="E1031" s="14"/>
      <c r="F103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031" s="14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4.25">
      <c r="A1032" s="14" t="str">
        <f ca="1">IFERROR(__xludf.DUMMYFUNCTION("""COMPUTED_VALUE"""),"Ольга Коннова")</f>
        <v>Ольга Коннова</v>
      </c>
      <c r="B1032" s="14" t="str">
        <f ca="1">IFERROR(__xludf.DUMMYFUNCTION("""COMPUTED_VALUE"""),"konnova2020@list.ru")</f>
        <v>konnova2020@list.ru</v>
      </c>
      <c r="C1032" s="15" t="str">
        <f ca="1">IFERROR(__xludf.DUMMYFUNCTION("""COMPUTED_VALUE"""),"79090951347")</f>
        <v>79090951347</v>
      </c>
      <c r="D1032" s="15" t="str">
        <f ca="1">IFERROR(__xludf.DUMMYFUNCTION("""COMPUTED_VALUE"""),"Россия")</f>
        <v>Россия</v>
      </c>
      <c r="E1032" s="14"/>
      <c r="F1032" s="8" t="str">
        <f ca="1">IFERROR(__xludf.DUMMYFUNCTION("""COMPUTED_VALUE"""),"- Практика тишины Магнитогорск 19.02.2022")</f>
        <v>- Практика тишины Магнитогорск 19.02.2022</v>
      </c>
      <c r="G1032" s="14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25.5">
      <c r="A1033" s="14" t="str">
        <f ca="1">IFERROR(__xludf.DUMMYFUNCTION("""COMPUTED_VALUE"""),"Константин Гапеев")</f>
        <v>Константин Гапеев</v>
      </c>
      <c r="B1033" s="14" t="str">
        <f ca="1">IFERROR(__xludf.DUMMYFUNCTION("""COMPUTED_VALUE"""),"konstantingapeev@ukr.net")</f>
        <v>konstantingapeev@ukr.net</v>
      </c>
      <c r="C1033" s="15" t="str">
        <f ca="1">IFERROR(__xludf.DUMMYFUNCTION("""COMPUTED_VALUE"""),"+380931916799")</f>
        <v>+380931916799</v>
      </c>
      <c r="D1033" s="15" t="str">
        <f ca="1">IFERROR(__xludf.DUMMYFUNCTION("""COMPUTED_VALUE"""),"Украина")</f>
        <v>Украина</v>
      </c>
      <c r="E1033" s="14"/>
      <c r="F1033" s="8" t="str">
        <f ca="1">IFERROR(__xludf.DUMMYFUNCTION("""COMPUTED_VALUE"""),"- Клуб пробуждения Друзья (2 уровень) - 1 месяц
- Однодневный ретрит Европа 14 мая 2022 ")</f>
        <v xml:space="preserve">- Клуб пробуждения Друзья (2 уровень) - 1 месяц
- Однодневный ретрит Европа 14 мая 2022 </v>
      </c>
      <c r="G1033" s="14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4.25">
      <c r="A1034" s="14" t="str">
        <f ca="1">IFERROR(__xludf.DUMMYFUNCTION("""COMPUTED_VALUE"""),"Галина Коровина")</f>
        <v>Галина Коровина</v>
      </c>
      <c r="B1034" s="14" t="str">
        <f ca="1">IFERROR(__xludf.DUMMYFUNCTION("""COMPUTED_VALUE"""),"Korgv49@mail.ru")</f>
        <v>Korgv49@mail.ru</v>
      </c>
      <c r="C1034" s="15" t="str">
        <f ca="1">IFERROR(__xludf.DUMMYFUNCTION("""COMPUTED_VALUE"""),"+79049860544")</f>
        <v>+79049860544</v>
      </c>
      <c r="D1034" s="15" t="str">
        <f ca="1">IFERROR(__xludf.DUMMYFUNCTION("""COMPUTED_VALUE"""),"Россия")</f>
        <v>Россия</v>
      </c>
      <c r="E1034" s="14"/>
      <c r="F1034" s="8" t="str">
        <f ca="1">IFERROR(__xludf.DUMMYFUNCTION("""COMPUTED_VALUE"""),"- Практика Тишины в Екатеринбурге 8 занятий")</f>
        <v>- Практика Тишины в Екатеринбурге 8 занятий</v>
      </c>
      <c r="G1034" s="14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25.5">
      <c r="A1035" s="14" t="str">
        <f ca="1">IFERROR(__xludf.DUMMYFUNCTION("""COMPUTED_VALUE"""),"Валентина Валентина Геннадьевна Коржаева")</f>
        <v>Валентина Валентина Геннадьевна Коржаева</v>
      </c>
      <c r="B1035" s="14" t="str">
        <f ca="1">IFERROR(__xludf.DUMMYFUNCTION("""COMPUTED_VALUE"""),"korjaevavalentina@yandex.ru")</f>
        <v>korjaevavalentina@yandex.ru</v>
      </c>
      <c r="C1035" s="15" t="str">
        <f ca="1">IFERROR(__xludf.DUMMYFUNCTION("""COMPUTED_VALUE"""),"+79234534946")</f>
        <v>+79234534946</v>
      </c>
      <c r="D1035" s="15" t="str">
        <f ca="1">IFERROR(__xludf.DUMMYFUNCTION("""COMPUTED_VALUE"""),"Russia")</f>
        <v>Russia</v>
      </c>
      <c r="E1035" s="14"/>
      <c r="F1035" s="8" t="str">
        <f ca="1">IFERROR(__xludf.DUMMYFUNCTION("""COMPUTED_VALUE"""),"- Заявка на звонок для курса ""Парадентальная медитация""
- Вебинар все о ретрите 12.2.2022")</f>
        <v>- Заявка на звонок для курса "Парадентальная медитация"
- Вебинар все о ретрите 12.2.2022</v>
      </c>
      <c r="G1035" s="14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4.25">
      <c r="A1036" s="14" t="str">
        <f ca="1">IFERROR(__xludf.DUMMYFUNCTION("""COMPUTED_VALUE"""),"Софья Корсакова")</f>
        <v>Софья Корсакова</v>
      </c>
      <c r="B1036" s="14" t="str">
        <f ca="1">IFERROR(__xludf.DUMMYFUNCTION("""COMPUTED_VALUE"""),"korsakova.sofya@gmail.com")</f>
        <v>korsakova.sofya@gmail.com</v>
      </c>
      <c r="C1036" s="15" t="str">
        <f ca="1">IFERROR(__xludf.DUMMYFUNCTION("""COMPUTED_VALUE"""),"+79232770478")</f>
        <v>+79232770478</v>
      </c>
      <c r="D1036" s="15" t="str">
        <f ca="1">IFERROR(__xludf.DUMMYFUNCTION("""COMPUTED_VALUE"""),"Россия")</f>
        <v>Россия</v>
      </c>
      <c r="E1036" s="14"/>
      <c r="F1036" s="8" t="str">
        <f ca="1">IFERROR(__xludf.DUMMYFUNCTION("""COMPUTED_VALUE"""),"- Осознанная суббота Сочи регулярное")</f>
        <v>- Осознанная суббота Сочи регулярное</v>
      </c>
      <c r="G1036" s="14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4.25">
      <c r="A1037" s="14" t="str">
        <f ca="1">IFERROR(__xludf.DUMMYFUNCTION("""COMPUTED_VALUE"""),"Татьяна Косачева")</f>
        <v>Татьяна Косачева</v>
      </c>
      <c r="B1037" s="14" t="str">
        <f ca="1">IFERROR(__xludf.DUMMYFUNCTION("""COMPUTED_VALUE"""),"kosacevatatana11@gmail.com")</f>
        <v>kosacevatatana11@gmail.com</v>
      </c>
      <c r="C1037" s="15" t="str">
        <f ca="1">IFERROR(__xludf.DUMMYFUNCTION("""COMPUTED_VALUE"""),"+375447021622")</f>
        <v>+375447021622</v>
      </c>
      <c r="D1037" s="15" t="str">
        <f ca="1">IFERROR(__xludf.DUMMYFUNCTION("""COMPUTED_VALUE"""),"Беларусь")</f>
        <v>Беларусь</v>
      </c>
      <c r="E1037" s="14"/>
      <c r="F1037" s="8" t="str">
        <f ca="1">IFERROR(__xludf.DUMMYFUNCTION("""COMPUTED_VALUE"""),"- Партнерская программа")</f>
        <v>- Партнерская программа</v>
      </c>
      <c r="G1037" s="14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4.25">
      <c r="A1038" s="14" t="str">
        <f ca="1">IFERROR(__xludf.DUMMYFUNCTION("""COMPUTED_VALUE"""),"Кристина Кособуцкая")</f>
        <v>Кристина Кособуцкая</v>
      </c>
      <c r="B1038" s="14" t="str">
        <f ca="1">IFERROR(__xludf.DUMMYFUNCTION("""COMPUTED_VALUE"""),"kosobuckaakristina69@gmail.com")</f>
        <v>kosobuckaakristina69@gmail.com</v>
      </c>
      <c r="C1038" s="15" t="str">
        <f ca="1">IFERROR(__xludf.DUMMYFUNCTION("""COMPUTED_VALUE"""),"447516389")</f>
        <v>447516389</v>
      </c>
      <c r="D1038" s="15" t="str">
        <f ca="1">IFERROR(__xludf.DUMMYFUNCTION("""COMPUTED_VALUE"""),"Беларусь")</f>
        <v>Беларусь</v>
      </c>
      <c r="E1038" s="14"/>
      <c r="F1038" s="8" t="str">
        <f ca="1">IFERROR(__xludf.DUMMYFUNCTION("""COMPUTED_VALUE"""),"- Чайная встреча в Минске 8.1.22")</f>
        <v>- Чайная встреча в Минске 8.1.22</v>
      </c>
      <c r="G1038" s="14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4.25">
      <c r="A1039" s="14" t="str">
        <f ca="1">IFERROR(__xludf.DUMMYFUNCTION("""COMPUTED_VALUE"""),"Константин Степанов")</f>
        <v>Константин Степанов</v>
      </c>
      <c r="B1039" s="14" t="str">
        <f ca="1">IFERROR(__xludf.DUMMYFUNCTION("""COMPUTED_VALUE"""),"Koststep@ya.ru")</f>
        <v>Koststep@ya.ru</v>
      </c>
      <c r="C1039" s="15" t="str">
        <f ca="1">IFERROR(__xludf.DUMMYFUNCTION("""COMPUTED_VALUE"""),"79824674060")</f>
        <v>79824674060</v>
      </c>
      <c r="D1039" s="15"/>
      <c r="E1039" s="14"/>
      <c r="F1039" s="8" t="str">
        <f ca="1">IFERROR(__xludf.DUMMYFUNCTION("""COMPUTED_VALUE"""),"- Тишина Челлендж (бесплатная часть)")</f>
        <v>- Тишина Челлендж (бесплатная часть)</v>
      </c>
      <c r="G1039" s="14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4.25">
      <c r="A1040" s="14" t="str">
        <f ca="1">IFERROR(__xludf.DUMMYFUNCTION("""COMPUTED_VALUE"""),"Дмитрий Костылев")</f>
        <v>Дмитрий Костылев</v>
      </c>
      <c r="B1040" s="14" t="str">
        <f ca="1">IFERROR(__xludf.DUMMYFUNCTION("""COMPUTED_VALUE"""),"kostylev77@mail.ru")</f>
        <v>kostylev77@mail.ru</v>
      </c>
      <c r="C1040" s="15" t="str">
        <f ca="1">IFERROR(__xludf.DUMMYFUNCTION("""COMPUTED_VALUE"""),"79636235152")</f>
        <v>79636235152</v>
      </c>
      <c r="D1040" s="15" t="str">
        <f ca="1">IFERROR(__xludf.DUMMYFUNCTION("""COMPUTED_VALUE"""),"Россия")</f>
        <v>Россия</v>
      </c>
      <c r="E1040" s="14"/>
      <c r="F1040" s="8" t="str">
        <f ca="1">IFERROR(__xludf.DUMMYFUNCTION("""COMPUTED_VALUE"""),"- Ретрит в РЦ Сочи май 2022  (Оплата с 18 до 29 апреля)")</f>
        <v>- Ретрит в РЦ Сочи май 2022  (Оплата с 18 до 29 апреля)</v>
      </c>
      <c r="G1040" s="14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4.25">
      <c r="A1041" s="14" t="str">
        <f ca="1">IFERROR(__xludf.DUMMYFUNCTION("""COMPUTED_VALUE"""),"Юлия К")</f>
        <v>Юлия К</v>
      </c>
      <c r="B1041" s="14" t="str">
        <f ca="1">IFERROR(__xludf.DUMMYFUNCTION("""COMPUTED_VALUE"""),"koudinov1973@gmail.com")</f>
        <v>koudinov1973@gmail.com</v>
      </c>
      <c r="C1041" s="15" t="str">
        <f ca="1">IFERROR(__xludf.DUMMYFUNCTION("""COMPUTED_VALUE"""),"6478082255")</f>
        <v>6478082255</v>
      </c>
      <c r="D1041" s="15" t="str">
        <f ca="1">IFERROR(__xludf.DUMMYFUNCTION("""COMPUTED_VALUE"""),"Канада")</f>
        <v>Канада</v>
      </c>
      <c r="E1041" s="14"/>
      <c r="F1041" s="8" t="str">
        <f ca="1">IFERROR(__xludf.DUMMYFUNCTION("""COMPUTED_VALUE"""),"- USA Челлендж Тишина")</f>
        <v>- USA Челлендж Тишина</v>
      </c>
      <c r="G1041" s="14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4.25">
      <c r="A1042" s="14" t="str">
        <f ca="1">IFERROR(__xludf.DUMMYFUNCTION("""COMPUTED_VALUE"""),"Елена Кузьмина")</f>
        <v>Елена Кузьмина</v>
      </c>
      <c r="B1042" s="14" t="str">
        <f ca="1">IFERROR(__xludf.DUMMYFUNCTION("""COMPUTED_VALUE"""),"Kouzminaev@mail.ru")</f>
        <v>Kouzminaev@mail.ru</v>
      </c>
      <c r="C1042" s="15" t="str">
        <f ca="1">IFERROR(__xludf.DUMMYFUNCTION("""COMPUTED_VALUE"""),"+79874361954")</f>
        <v>+79874361954</v>
      </c>
      <c r="D1042" s="15" t="str">
        <f ca="1">IFERROR(__xludf.DUMMYFUNCTION("""COMPUTED_VALUE"""),"Россия")</f>
        <v>Россия</v>
      </c>
      <c r="E1042" s="14"/>
      <c r="F1042" s="8" t="str">
        <f ca="1">IFERROR(__xludf.DUMMYFUNCTION("""COMPUTED_VALUE"""),"- Вебинар все о ретрите 12.2.2022")</f>
        <v>- Вебинар все о ретрите 12.2.2022</v>
      </c>
      <c r="G1042" s="14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25.5">
      <c r="A1043" s="14" t="str">
        <f ca="1">IFERROR(__xludf.DUMMYFUNCTION("""COMPUTED_VALUE"""),"Ксения Самойлюк")</f>
        <v>Ксения Самойлюк</v>
      </c>
      <c r="B1043" s="14" t="str">
        <f ca="1">IFERROR(__xludf.DUMMYFUNCTION("""COMPUTED_VALUE"""),"Kovalevakp3001@gmail.com")</f>
        <v>Kovalevakp3001@gmail.com</v>
      </c>
      <c r="C1043" s="15" t="str">
        <f ca="1">IFERROR(__xludf.DUMMYFUNCTION("""COMPUTED_VALUE"""),"87077673593")</f>
        <v>87077673593</v>
      </c>
      <c r="D1043" s="15"/>
      <c r="E1043" s="14"/>
      <c r="F104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043" s="14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25.5">
      <c r="A1044" s="14" t="str">
        <f ca="1">IFERROR(__xludf.DUMMYFUNCTION("""COMPUTED_VALUE"""),"Уля Ткаленко")</f>
        <v>Уля Ткаленко</v>
      </c>
      <c r="B1044" s="14" t="str">
        <f ca="1">IFERROR(__xludf.DUMMYFUNCTION("""COMPUTED_VALUE"""),"krasotau.79@mail.ru")</f>
        <v>krasotau.79@mail.ru</v>
      </c>
      <c r="C1044" s="15" t="str">
        <f ca="1">IFERROR(__xludf.DUMMYFUNCTION("""COMPUTED_VALUE"""),"87777959862")</f>
        <v>87777959862</v>
      </c>
      <c r="D1044" s="15"/>
      <c r="E1044" s="14"/>
      <c r="F104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044" s="14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4.25">
      <c r="A1045" s="14" t="str">
        <f ca="1">IFERROR(__xludf.DUMMYFUNCTION("""COMPUTED_VALUE"""),"Мария Кравченко")</f>
        <v>Мария Кравченко</v>
      </c>
      <c r="B1045" s="14" t="str">
        <f ca="1">IFERROR(__xludf.DUMMYFUNCTION("""COMPUTED_VALUE"""),"kravaski1995@gmail.com")</f>
        <v>kravaski1995@gmail.com</v>
      </c>
      <c r="C1045" s="15" t="str">
        <f ca="1">IFERROR(__xludf.DUMMYFUNCTION("""COMPUTED_VALUE"""),"79245671411")</f>
        <v>79245671411</v>
      </c>
      <c r="D1045" s="15" t="str">
        <f ca="1">IFERROR(__xludf.DUMMYFUNCTION("""COMPUTED_VALUE"""),"Россия")</f>
        <v>Россия</v>
      </c>
      <c r="E1045" s="14"/>
      <c r="F1045" s="8" t="str">
        <f ca="1">IFERROR(__xludf.DUMMYFUNCTION("""COMPUTED_VALUE"""),"- Онлайн Интенсив Дальний Восток 25-27.02.2022 ")</f>
        <v xml:space="preserve">- Онлайн Интенсив Дальний Восток 25-27.02.2022 </v>
      </c>
      <c r="G1045" s="14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51">
      <c r="A1046" s="14" t="str">
        <f ca="1">IFERROR(__xludf.DUMMYFUNCTION("""COMPUTED_VALUE"""),"Екатерина Кулдыркаева")</f>
        <v>Екатерина Кулдыркаева</v>
      </c>
      <c r="B1046" s="14" t="str">
        <f ca="1">IFERROR(__xludf.DUMMYFUNCTION("""COMPUTED_VALUE"""),"kriatif@mail.ru")</f>
        <v>kriatif@mail.ru</v>
      </c>
      <c r="C1046" s="15" t="str">
        <f ca="1">IFERROR(__xludf.DUMMYFUNCTION("""COMPUTED_VALUE"""),"79257187951")</f>
        <v>79257187951</v>
      </c>
      <c r="D1046" s="15" t="str">
        <f ca="1">IFERROR(__xludf.DUMMYFUNCTION("""COMPUTED_VALUE"""),"Россия")</f>
        <v>Россия</v>
      </c>
      <c r="E1046" s="14"/>
      <c r="F1046" s="8" t="str">
        <f ca="1">IFERROR(__xludf.DUMMYFUNCTION("""COMPUTED_VALUE"""),"- Регулярная практика тишины в Москве 
- Вебинар все о ретрите 12.2.2022
- Однодневный ретрит Россия 14 мая 2022
- Практика Тишины общая платная")</f>
        <v>- Регулярная практика тишины в Москве 
- Вебинар все о ретрите 12.2.2022
- Однодневный ретрит Россия 14 мая 2022
- Практика Тишины общая платная</v>
      </c>
      <c r="G1046" s="14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4.25">
      <c r="A1047" s="14" t="str">
        <f ca="1">IFERROR(__xludf.DUMMYFUNCTION("""COMPUTED_VALUE"""),"Крис Зарембо")</f>
        <v>Крис Зарембо</v>
      </c>
      <c r="B1047" s="14" t="str">
        <f ca="1">IFERROR(__xludf.DUMMYFUNCTION("""COMPUTED_VALUE"""),"Krissomnambulist@gmail.com")</f>
        <v>Krissomnambulist@gmail.com</v>
      </c>
      <c r="C1047" s="15"/>
      <c r="D1047" s="15" t="str">
        <f ca="1">IFERROR(__xludf.DUMMYFUNCTION("""COMPUTED_VALUE"""),"Филиппины")</f>
        <v>Филиппины</v>
      </c>
      <c r="E1047" s="14"/>
      <c r="F1047" s="8" t="str">
        <f ca="1">IFERROR(__xludf.DUMMYFUNCTION("""COMPUTED_VALUE"""),"- Тишина Челлендж (бесплатная часть)")</f>
        <v>- Тишина Челлендж (бесплатная часть)</v>
      </c>
      <c r="G1047" s="14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4.25">
      <c r="A1048" s="14" t="str">
        <f ca="1">IFERROR(__xludf.DUMMYFUNCTION("""COMPUTED_VALUE"""),"Кристина Камалова")</f>
        <v>Кристина Камалова</v>
      </c>
      <c r="B1048" s="14" t="str">
        <f ca="1">IFERROR(__xludf.DUMMYFUNCTION("""COMPUTED_VALUE"""),"Kristay78@mail.ru")</f>
        <v>Kristay78@mail.ru</v>
      </c>
      <c r="C1048" s="15" t="str">
        <f ca="1">IFERROR(__xludf.DUMMYFUNCTION("""COMPUTED_VALUE"""),"+77017890838")</f>
        <v>+77017890838</v>
      </c>
      <c r="D1048" s="15" t="str">
        <f ca="1">IFERROR(__xludf.DUMMYFUNCTION("""COMPUTED_VALUE"""),"Казахстан")</f>
        <v>Казахстан</v>
      </c>
      <c r="E1048" s="14"/>
      <c r="F1048" s="8" t="str">
        <f ca="1">IFERROR(__xludf.DUMMYFUNCTION("""COMPUTED_VALUE"""),"- Вводный вебинар 3.5.22 на Шаг к Пробуждению")</f>
        <v>- Вводный вебинар 3.5.22 на Шаг к Пробуждению</v>
      </c>
      <c r="G1048" s="14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25.5">
      <c r="A1049" s="14" t="str">
        <f ca="1">IFERROR(__xludf.DUMMYFUNCTION("""COMPUTED_VALUE"""),"Kristiāna Sokova")</f>
        <v>Kristiāna Sokova</v>
      </c>
      <c r="B1049" s="14" t="str">
        <f ca="1">IFERROR(__xludf.DUMMYFUNCTION("""COMPUTED_VALUE"""),"kristiana1sokova@gmail.com")</f>
        <v>kristiana1sokova@gmail.com</v>
      </c>
      <c r="C1049" s="15" t="str">
        <f ca="1">IFERROR(__xludf.DUMMYFUNCTION("""COMPUTED_VALUE"""),"25531969")</f>
        <v>25531969</v>
      </c>
      <c r="D1049" s="15" t="str">
        <f ca="1">IFERROR(__xludf.DUMMYFUNCTION("""COMPUTED_VALUE"""),"Латвия")</f>
        <v>Латвия</v>
      </c>
      <c r="E1049" s="14"/>
      <c r="F1049" s="8" t="str">
        <f ca="1">IFERROR(__xludf.DUMMYFUNCTION("""COMPUTED_VALUE"""),"- Шаг к Пробуждению №5 на латышском Латвия LV 11-18 декабря 2021 года ")</f>
        <v xml:space="preserve">- Шаг к Пробуждению №5 на латышском Латвия LV 11-18 декабря 2021 года </v>
      </c>
      <c r="G1049" s="14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38.25">
      <c r="A1050" s="14" t="str">
        <f ca="1">IFERROR(__xludf.DUMMYFUNCTION("""COMPUTED_VALUE"""),"Кристина Немчинова")</f>
        <v>Кристина Немчинова</v>
      </c>
      <c r="B1050" s="14" t="str">
        <f ca="1">IFERROR(__xludf.DUMMYFUNCTION("""COMPUTED_VALUE"""),"Kristina_nemchinova@mail.ru")</f>
        <v>Kristina_nemchinova@mail.ru</v>
      </c>
      <c r="C1050" s="15" t="str">
        <f ca="1">IFERROR(__xludf.DUMMYFUNCTION("""COMPUTED_VALUE"""),"87477481077")</f>
        <v>87477481077</v>
      </c>
      <c r="D1050" s="15" t="str">
        <f ca="1">IFERROR(__xludf.DUMMYFUNCTION("""COMPUTED_VALUE"""),"Саудовская Аравия")</f>
        <v>Саудовская Аравия</v>
      </c>
      <c r="E1050" s="14"/>
      <c r="F1050" s="8" t="str">
        <f ca="1">IFERROR(__xludf.DUMMYFUNCTION("""COMPUTED_VALUE"""),"- Марафон Тишины - Тишина челлендж: Урал, Казахстан, Узбекистан 25-29.04.2022
- Тишина Челлендж (бесплатная часть)")</f>
        <v>- Марафон Тишины - Тишина челлендж: Урал, Казахстан, Узбекистан 25-29.04.2022
- Тишина Челлендж (бесплатная часть)</v>
      </c>
      <c r="G1050" s="14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4.25">
      <c r="A1051" s="14" t="str">
        <f ca="1">IFERROR(__xludf.DUMMYFUNCTION("""COMPUTED_VALUE"""),"kristina.cherlina,  ")</f>
        <v xml:space="preserve">kristina.cherlina,  </v>
      </c>
      <c r="B1051" s="14" t="str">
        <f ca="1">IFERROR(__xludf.DUMMYFUNCTION("""COMPUTED_VALUE"""),"kristina.cherlina@gmail.com")</f>
        <v>kristina.cherlina@gmail.com</v>
      </c>
      <c r="C1051" s="15"/>
      <c r="D1051" s="15"/>
      <c r="E1051" s="14"/>
      <c r="F1051" s="8" t="str">
        <f ca="1">IFERROR(__xludf.DUMMYFUNCTION("""COMPUTED_VALUE"""),"- USA Челлендж Тишина")</f>
        <v>- USA Челлендж Тишина</v>
      </c>
      <c r="G1051" s="14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25.5">
      <c r="A1052" s="14" t="str">
        <f ca="1">IFERROR(__xludf.DUMMYFUNCTION("""COMPUTED_VALUE"""),"Кристина Сапожникова")</f>
        <v>Кристина Сапожникова</v>
      </c>
      <c r="B1052" s="14" t="str">
        <f ca="1">IFERROR(__xludf.DUMMYFUNCTION("""COMPUTED_VALUE"""),"kristina75557@gmail.com")</f>
        <v>kristina75557@gmail.com</v>
      </c>
      <c r="C1052" s="15" t="str">
        <f ca="1">IFERROR(__xludf.DUMMYFUNCTION("""COMPUTED_VALUE"""),"+998339384991")</f>
        <v>+998339384991</v>
      </c>
      <c r="D1052" s="15"/>
      <c r="E1052" s="14"/>
      <c r="F105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052" s="14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4.25">
      <c r="A1053" s="14" t="str">
        <f ca="1">IFERROR(__xludf.DUMMYFUNCTION("""COMPUTED_VALUE"""),"Виктория Богова")</f>
        <v>Виктория Богова</v>
      </c>
      <c r="B1053" s="14" t="str">
        <f ca="1">IFERROR(__xludf.DUMMYFUNCTION("""COMPUTED_VALUE"""),"Kritoguzova@bk.ru")</f>
        <v>Kritoguzova@bk.ru</v>
      </c>
      <c r="C1053" s="15"/>
      <c r="D1053" s="15" t="str">
        <f ca="1">IFERROR(__xludf.DUMMYFUNCTION("""COMPUTED_VALUE"""),"Россия")</f>
        <v>Россия</v>
      </c>
      <c r="E1053" s="14"/>
      <c r="F1053" s="8" t="str">
        <f ca="1">IFERROR(__xludf.DUMMYFUNCTION("""COMPUTED_VALUE"""),"Мероприятий не обнаружено")</f>
        <v>Мероприятий не обнаружено</v>
      </c>
      <c r="G1053" s="14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25.5">
      <c r="A1054" s="14" t="str">
        <f ca="1">IFERROR(__xludf.DUMMYFUNCTION("""COMPUTED_VALUE"""),"Елена Калинина")</f>
        <v>Елена Калинина</v>
      </c>
      <c r="B1054" s="14" t="str">
        <f ca="1">IFERROR(__xludf.DUMMYFUNCTION("""COMPUTED_VALUE"""),"Krowka_3333@mail.ru")</f>
        <v>Krowka_3333@mail.ru</v>
      </c>
      <c r="C1054" s="15" t="str">
        <f ca="1">IFERROR(__xludf.DUMMYFUNCTION("""COMPUTED_VALUE"""),"+998977665888")</f>
        <v>+998977665888</v>
      </c>
      <c r="D1054" s="15"/>
      <c r="E1054" s="14"/>
      <c r="F105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054" s="14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4.25">
      <c r="A1055" s="14" t="str">
        <f ca="1">IFERROR(__xludf.DUMMYFUNCTION("""COMPUTED_VALUE""")," ")</f>
        <v xml:space="preserve"> </v>
      </c>
      <c r="B1055" s="14" t="str">
        <f ca="1">IFERROR(__xludf.DUMMYFUNCTION("""COMPUTED_VALUE"""),"Krutoguzova@bk.ru")</f>
        <v>Krutoguzova@bk.ru</v>
      </c>
      <c r="C1055" s="15"/>
      <c r="D1055" s="15" t="str">
        <f ca="1">IFERROR(__xludf.DUMMYFUNCTION("""COMPUTED_VALUE"""),"Россия")</f>
        <v>Россия</v>
      </c>
      <c r="E1055" s="14"/>
      <c r="F1055" s="8" t="str">
        <f ca="1">IFERROR(__xludf.DUMMYFUNCTION("""COMPUTED_VALUE"""),"Мероприятий не обнаружено")</f>
        <v>Мероприятий не обнаружено</v>
      </c>
      <c r="G1055" s="14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4.25">
      <c r="A1056" s="14" t="str">
        <f ca="1">IFERROR(__xludf.DUMMYFUNCTION("""COMPUTED_VALUE"""),"kryatova.albina,  ")</f>
        <v xml:space="preserve">kryatova.albina,  </v>
      </c>
      <c r="B1056" s="14" t="str">
        <f ca="1">IFERROR(__xludf.DUMMYFUNCTION("""COMPUTED_VALUE"""),"kryatova.albina@mail.ru")</f>
        <v>kryatova.albina@mail.ru</v>
      </c>
      <c r="C1056" s="15"/>
      <c r="D1056" s="15"/>
      <c r="E1056" s="14"/>
      <c r="F1056" s="8" t="str">
        <f ca="1">IFERROR(__xludf.DUMMYFUNCTION("""COMPUTED_VALUE"""),"- Челлендж Тишины")</f>
        <v>- Челлендж Тишины</v>
      </c>
      <c r="G1056" s="14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4.25">
      <c r="A1057" s="14" t="str">
        <f ca="1">IFERROR(__xludf.DUMMYFUNCTION("""COMPUTED_VALUE"""),"Надежда  Крылова, Надежда Крылова")</f>
        <v>Надежда  Крылова, Надежда Крылова</v>
      </c>
      <c r="B1057" s="14" t="str">
        <f ca="1">IFERROR(__xludf.DUMMYFUNCTION("""COMPUTED_VALUE"""),"krylowa-nadja@yandex.ru")</f>
        <v>krylowa-nadja@yandex.ru</v>
      </c>
      <c r="C1057" s="15" t="str">
        <f ca="1">IFERROR(__xludf.DUMMYFUNCTION("""COMPUTED_VALUE"""),"+79250682056")</f>
        <v>+79250682056</v>
      </c>
      <c r="D1057" s="15" t="str">
        <f ca="1">IFERROR(__xludf.DUMMYFUNCTION("""COMPUTED_VALUE"""),"Россия ")</f>
        <v xml:space="preserve">Россия </v>
      </c>
      <c r="E1057" s="14"/>
      <c r="F1057" s="8" t="str">
        <f ca="1">IFERROR(__xludf.DUMMYFUNCTION("""COMPUTED_VALUE"""),"- Челлендж Тишины")</f>
        <v>- Челлендж Тишины</v>
      </c>
      <c r="G1057" s="14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89.25">
      <c r="A1058" s="14" t="str">
        <f ca="1">IFERROR(__xludf.DUMMYFUNCTION("""COMPUTED_VALUE"""),"test test")</f>
        <v>test test</v>
      </c>
      <c r="B1058" s="14" t="str">
        <f ca="1">IFERROR(__xludf.DUMMYFUNCTION("""COMPUTED_VALUE"""),"kryziaus@gmail.com")</f>
        <v>kryziaus@gmail.com</v>
      </c>
      <c r="C1058" s="15" t="str">
        <f ca="1">IFERROR(__xludf.DUMMYFUNCTION("""COMPUTED_VALUE"""),"+79384940883")</f>
        <v>+79384940883</v>
      </c>
      <c r="D1058" s="15" t="str">
        <f ca="1">IFERROR(__xludf.DUMMYFUNCTION("""COMPUTED_VALUE"""),"Россия")</f>
        <v>Россия</v>
      </c>
      <c r="E1058" s="14"/>
      <c r="F1058" s="8" t="str">
        <f ca="1">IFERROR(__xludf.DUMMYFUNCTION("""COMPUTED_VALUE"""),"- Запись на ""Беседу по душам""
-  Живая ""Практика Тишины"" Киев (регулярные занятия)
- What hides behind anxiety? The quantum leap [EU]
- Городской ретрит в СПб 14-16.01.2022
- Городской интенсив в Минске 26-28.11.2021
- Ретрит в Рогово 28.10-3.11.2021 "&amp;"Друзья
- Онлайн Интенсив Дальний Восток 25-27.03.2022 ")</f>
        <v xml:space="preserve">- Запись на "Беседу по душам"
-  Живая "Практика Тишины" Киев (регулярные занятия)
- What hides behind anxiety? The quantum leap [EU]
- Городской ретрит в СПб 14-16.01.2022
- Городской интенсив в Минске 26-28.11.2021
- Ретрит в Рогово 28.10-3.11.2021 Друзья
- Онлайн Интенсив Дальний Восток 25-27.03.2022 </v>
      </c>
      <c r="G1058" s="14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4.25">
      <c r="A1059" s="14" t="str">
        <f ca="1">IFERROR(__xludf.DUMMYFUNCTION("""COMPUTED_VALUE"""),"Ксеня Ралько")</f>
        <v>Ксеня Ралько</v>
      </c>
      <c r="B1059" s="14" t="str">
        <f ca="1">IFERROR(__xludf.DUMMYFUNCTION("""COMPUTED_VALUE"""),"ksenia-deko@mail.ru")</f>
        <v>ksenia-deko@mail.ru</v>
      </c>
      <c r="C1059" s="15" t="str">
        <f ca="1">IFERROR(__xludf.DUMMYFUNCTION("""COMPUTED_VALUE"""),"79171321882")</f>
        <v>79171321882</v>
      </c>
      <c r="D1059" s="15"/>
      <c r="E1059" s="14"/>
      <c r="F1059" s="8" t="str">
        <f ca="1">IFERROR(__xludf.DUMMYFUNCTION("""COMPUTED_VALUE"""),"- Партнерская программа")</f>
        <v>- Партнерская программа</v>
      </c>
      <c r="G1059" s="14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14.25">
      <c r="A1060" s="14" t="str">
        <f ca="1">IFERROR(__xludf.DUMMYFUNCTION("""COMPUTED_VALUE"""),"Ксения Капцевич")</f>
        <v>Ксения Капцевич</v>
      </c>
      <c r="B1060" s="14" t="str">
        <f ca="1">IFERROR(__xludf.DUMMYFUNCTION("""COMPUTED_VALUE"""),"ksenia.kapcevich@mail.ru")</f>
        <v>ksenia.kapcevich@mail.ru</v>
      </c>
      <c r="C1060" s="15" t="str">
        <f ca="1">IFERROR(__xludf.DUMMYFUNCTION("""COMPUTED_VALUE"""),"+79111032132")</f>
        <v>+79111032132</v>
      </c>
      <c r="D1060" s="15" t="str">
        <f ca="1">IFERROR(__xludf.DUMMYFUNCTION("""COMPUTED_VALUE"""),"Россия")</f>
        <v>Россия</v>
      </c>
      <c r="E1060" s="14"/>
      <c r="F1060" s="8" t="str">
        <f ca="1">IFERROR(__xludf.DUMMYFUNCTION("""COMPUTED_VALUE"""),"- Сатсанг с Валентиной Пулло в Питере 7.5.2022")</f>
        <v>- Сатсанг с Валентиной Пулло в Питере 7.5.2022</v>
      </c>
      <c r="G1060" s="14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38.25">
      <c r="A1061" s="14" t="str">
        <f ca="1">IFERROR(__xludf.DUMMYFUNCTION("""COMPUTED_VALUE"""),"Ксения Масалёва")</f>
        <v>Ксения Масалёва</v>
      </c>
      <c r="B1061" s="14" t="str">
        <f ca="1">IFERROR(__xludf.DUMMYFUNCTION("""COMPUTED_VALUE"""),"ksenia.masaleva@yandex.ru")</f>
        <v>ksenia.masaleva@yandex.ru</v>
      </c>
      <c r="C1061" s="15" t="str">
        <f ca="1">IFERROR(__xludf.DUMMYFUNCTION("""COMPUTED_VALUE"""),"79516412681")</f>
        <v>79516412681</v>
      </c>
      <c r="D1061" s="15" t="str">
        <f ca="1">IFERROR(__xludf.DUMMYFUNCTION("""COMPUTED_VALUE"""),"США")</f>
        <v>США</v>
      </c>
      <c r="E1061" s="14"/>
      <c r="F1061" s="8" t="str">
        <f ca="1">IFERROR(__xludf.DUMMYFUNCTION("""COMPUTED_VALUE"""),"- Челлендж Тишины
- Онлайн курс Шаг к Пробуждению №16 26.2-5.3.22 Пакет стандартный")</f>
        <v>- Челлендж Тишины
- Онлайн курс Шаг к Пробуждению №16 26.2-5.3.22 Пакет стандартный</v>
      </c>
      <c r="G1061" s="14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25.5">
      <c r="A1062" s="14" t="str">
        <f ca="1">IFERROR(__xludf.DUMMYFUNCTION("""COMPUTED_VALUE"""),"Ксения Булдакова")</f>
        <v>Ксения Булдакова</v>
      </c>
      <c r="B1062" s="14" t="str">
        <f ca="1">IFERROR(__xludf.DUMMYFUNCTION("""COMPUTED_VALUE"""),"Ksenka-fomin@yandex.ru")</f>
        <v>Ksenka-fomin@yandex.ru</v>
      </c>
      <c r="C1062" s="15" t="str">
        <f ca="1">IFERROR(__xludf.DUMMYFUNCTION("""COMPUTED_VALUE"""),"+79229255011")</f>
        <v>+79229255011</v>
      </c>
      <c r="D1062" s="15" t="str">
        <f ca="1">IFERROR(__xludf.DUMMYFUNCTION("""COMPUTED_VALUE"""),"Россия")</f>
        <v>Россия</v>
      </c>
      <c r="E1062" s="14"/>
      <c r="F1062" s="8" t="str">
        <f ca="1">IFERROR(__xludf.DUMMYFUNCTION("""COMPUTED_VALUE"""),"- Онлайн-курс ""Антистресс""
- Базовая бесплатная часть")</f>
        <v>- Онлайн-курс "Антистресс"
- Базовая бесплатная часть</v>
      </c>
      <c r="G1062" s="14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14.25">
      <c r="A1063" s="14" t="str">
        <f ca="1">IFERROR(__xludf.DUMMYFUNCTION("""COMPUTED_VALUE"""),"Оксана Олейникова")</f>
        <v>Оксана Олейникова</v>
      </c>
      <c r="B1063" s="14" t="str">
        <f ca="1">IFERROR(__xludf.DUMMYFUNCTION("""COMPUTED_VALUE"""),"kseol0310@gmail.com")</f>
        <v>kseol0310@gmail.com</v>
      </c>
      <c r="C1063" s="15" t="str">
        <f ca="1">IFERROR(__xludf.DUMMYFUNCTION("""COMPUTED_VALUE"""),"+380500537037")</f>
        <v>+380500537037</v>
      </c>
      <c r="D1063" s="15" t="str">
        <f ca="1">IFERROR(__xludf.DUMMYFUNCTION("""COMPUTED_VALUE"""),"Украина")</f>
        <v>Украина</v>
      </c>
      <c r="E1063" s="14"/>
      <c r="F1063" s="8" t="str">
        <f ca="1">IFERROR(__xludf.DUMMYFUNCTION("""COMPUTED_VALUE"""),"- Тишина Челлендж (бесплатная часть)")</f>
        <v>- Тишина Челлендж (бесплатная часть)</v>
      </c>
      <c r="G1063" s="14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14.25">
      <c r="A1064" s="14" t="str">
        <f ca="1">IFERROR(__xludf.DUMMYFUNCTION("""COMPUTED_VALUE"""),"Лидия Константинова")</f>
        <v>Лидия Константинова</v>
      </c>
      <c r="B1064" s="14" t="str">
        <f ca="1">IFERROR(__xludf.DUMMYFUNCTION("""COMPUTED_VALUE"""),"ksp-ss.2017@mail.ru")</f>
        <v>ksp-ss.2017@mail.ru</v>
      </c>
      <c r="C1064" s="15" t="str">
        <f ca="1">IFERROR(__xludf.DUMMYFUNCTION("""COMPUTED_VALUE"""),"+79196362080")</f>
        <v>+79196362080</v>
      </c>
      <c r="D1064" s="15" t="str">
        <f ca="1">IFERROR(__xludf.DUMMYFUNCTION("""COMPUTED_VALUE"""),"Россия")</f>
        <v>Россия</v>
      </c>
      <c r="E1064" s="14"/>
      <c r="F1064" s="8" t="str">
        <f ca="1">IFERROR(__xludf.DUMMYFUNCTION("""COMPUTED_VALUE"""),"- Тишина Челлендж (бесплатная часть)")</f>
        <v>- Тишина Челлендж (бесплатная часть)</v>
      </c>
      <c r="G1064" s="14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ht="25.5">
      <c r="A1065" s="14" t="str">
        <f ca="1">IFERROR(__xludf.DUMMYFUNCTION("""COMPUTED_VALUE"""),"Оксана Копылова")</f>
        <v>Оксана Копылова</v>
      </c>
      <c r="B1065" s="14" t="str">
        <f ca="1">IFERROR(__xludf.DUMMYFUNCTION("""COMPUTED_VALUE"""),"Ksu_kopylova@mail.ru")</f>
        <v>Ksu_kopylova@mail.ru</v>
      </c>
      <c r="C1065" s="15" t="str">
        <f ca="1">IFERROR(__xludf.DUMMYFUNCTION("""COMPUTED_VALUE"""),"77012262240")</f>
        <v>77012262240</v>
      </c>
      <c r="D1065" s="15"/>
      <c r="E1065" s="14"/>
      <c r="F106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065" s="14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ht="25.5">
      <c r="A1066" s="14" t="str">
        <f ca="1">IFERROR(__xludf.DUMMYFUNCTION("""COMPUTED_VALUE"""),"Аксинья Романова")</f>
        <v>Аксинья Романова</v>
      </c>
      <c r="B1066" s="14" t="str">
        <f ca="1">IFERROR(__xludf.DUMMYFUNCTION("""COMPUTED_VALUE"""),"Ksu780@mail.ru")</f>
        <v>Ksu780@mail.ru</v>
      </c>
      <c r="C1066" s="15" t="str">
        <f ca="1">IFERROR(__xludf.DUMMYFUNCTION("""COMPUTED_VALUE"""),"+79816882525")</f>
        <v>+79816882525</v>
      </c>
      <c r="D1066" s="15" t="str">
        <f ca="1">IFERROR(__xludf.DUMMYFUNCTION("""COMPUTED_VALUE"""),"Россия")</f>
        <v>Россия</v>
      </c>
      <c r="E1066" s="14"/>
      <c r="F1066" s="8" t="str">
        <f ca="1">IFERROR(__xludf.DUMMYFUNCTION("""COMPUTED_VALUE"""),"- Однодневный онлайн ретрит Россия 14 мая 2022
- Онлайн курс Шаг к Шаг к Пробуждению №18 7-24 мая 2022")</f>
        <v>- Однодневный онлайн ретрит Россия 14 мая 2022
- Онлайн курс Шаг к Шаг к Пробуждению №18 7-24 мая 2022</v>
      </c>
      <c r="G1066" s="14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 ht="25.5">
      <c r="A1067" s="14" t="str">
        <f ca="1">IFERROR(__xludf.DUMMYFUNCTION("""COMPUTED_VALUE"""),"Ксения Загорец")</f>
        <v>Ксения Загорец</v>
      </c>
      <c r="B1067" s="14" t="str">
        <f ca="1">IFERROR(__xludf.DUMMYFUNCTION("""COMPUTED_VALUE"""),"Ksuta8@mail.ru")</f>
        <v>Ksuta8@mail.ru</v>
      </c>
      <c r="C1067" s="15" t="str">
        <f ca="1">IFERROR(__xludf.DUMMYFUNCTION("""COMPUTED_VALUE"""),"+99890915014")</f>
        <v>+99890915014</v>
      </c>
      <c r="D1067" s="15"/>
      <c r="E1067" s="14"/>
      <c r="F106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067" s="14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 ht="14.25">
      <c r="A1068" s="14" t="str">
        <f ca="1">IFERROR(__xludf.DUMMYFUNCTION("""COMPUTED_VALUE"""),"Лила Жуганова")</f>
        <v>Лила Жуганова</v>
      </c>
      <c r="B1068" s="14" t="str">
        <f ca="1">IFERROR(__xludf.DUMMYFUNCTION("""COMPUTED_VALUE"""),"ksyu_nya90@mail.ru")</f>
        <v>ksyu_nya90@mail.ru</v>
      </c>
      <c r="C1068" s="15" t="str">
        <f ca="1">IFERROR(__xludf.DUMMYFUNCTION("""COMPUTED_VALUE"""),"79134667000")</f>
        <v>79134667000</v>
      </c>
      <c r="D1068" s="15" t="str">
        <f ca="1">IFERROR(__xludf.DUMMYFUNCTION("""COMPUTED_VALUE"""),"Россия")</f>
        <v>Россия</v>
      </c>
      <c r="E1068" s="14"/>
      <c r="F1068" s="8" t="str">
        <f ca="1">IFERROR(__xludf.DUMMYFUNCTION("""COMPUTED_VALUE"""),"-  встреча Космос внутри Сочи 5.3.2022")</f>
        <v>-  встреча Космос внутри Сочи 5.3.2022</v>
      </c>
      <c r="G1068" s="14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 ht="25.5">
      <c r="A1069" s="14" t="str">
        <f ca="1">IFERROR(__xludf.DUMMYFUNCTION("""COMPUTED_VALUE"""),"Sevara Kukanova")</f>
        <v>Sevara Kukanova</v>
      </c>
      <c r="B1069" s="14" t="str">
        <f ca="1">IFERROR(__xludf.DUMMYFUNCTION("""COMPUTED_VALUE"""),"kukanova19@gmail.com")</f>
        <v>kukanova19@gmail.com</v>
      </c>
      <c r="C1069" s="15" t="str">
        <f ca="1">IFERROR(__xludf.DUMMYFUNCTION("""COMPUTED_VALUE"""),"+998935088354")</f>
        <v>+998935088354</v>
      </c>
      <c r="D1069" s="15"/>
      <c r="E1069" s="14"/>
      <c r="F106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069" s="14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 ht="14.25">
      <c r="A1070" s="14" t="str">
        <f ca="1">IFERROR(__xludf.DUMMYFUNCTION("""COMPUTED_VALUE"""),"Лидия Зеленская")</f>
        <v>Лидия Зеленская</v>
      </c>
      <c r="B1070" s="14" t="str">
        <f ca="1">IFERROR(__xludf.DUMMYFUNCTION("""COMPUTED_VALUE"""),"kuleshova_81@mail.ru")</f>
        <v>kuleshova_81@mail.ru</v>
      </c>
      <c r="C1070" s="15" t="str">
        <f ca="1">IFERROR(__xludf.DUMMYFUNCTION("""COMPUTED_VALUE"""),"+380721980080")</f>
        <v>+380721980080</v>
      </c>
      <c r="D1070" s="15" t="str">
        <f ca="1">IFERROR(__xludf.DUMMYFUNCTION("""COMPUTED_VALUE"""),"Украина")</f>
        <v>Украина</v>
      </c>
      <c r="E1070" s="14"/>
      <c r="F1070" s="8" t="str">
        <f ca="1">IFERROR(__xludf.DUMMYFUNCTION("""COMPUTED_VALUE"""),"- Вводный вебинар 3.5.22 на Шаг к Пробуждению")</f>
        <v>- Вводный вебинар 3.5.22 на Шаг к Пробуждению</v>
      </c>
      <c r="G1070" s="14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 ht="25.5">
      <c r="A1071" s="14" t="str">
        <f ca="1">IFERROR(__xludf.DUMMYFUNCTION("""COMPUTED_VALUE"""),"Юлиза Кульманова")</f>
        <v>Юлиза Кульманова</v>
      </c>
      <c r="B1071" s="14" t="str">
        <f ca="1">IFERROR(__xludf.DUMMYFUNCTION("""COMPUTED_VALUE"""),"Kulmanova.1974@mail.ru")</f>
        <v>Kulmanova.1974@mail.ru</v>
      </c>
      <c r="C1071" s="15" t="str">
        <f ca="1">IFERROR(__xludf.DUMMYFUNCTION("""COMPUTED_VALUE"""),"77779982155")</f>
        <v>77779982155</v>
      </c>
      <c r="D1071" s="15"/>
      <c r="E1071" s="14"/>
      <c r="F107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071" s="14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 ht="14.25">
      <c r="A1072" s="14" t="str">
        <f ca="1">IFERROR(__xludf.DUMMYFUNCTION("""COMPUTED_VALUE"""),"Jenis Кулманова")</f>
        <v>Jenis Кулманова</v>
      </c>
      <c r="B1072" s="14" t="str">
        <f ca="1">IFERROR(__xludf.DUMMYFUNCTION("""COMPUTED_VALUE"""),"Kulmanova33@mail.ru")</f>
        <v>Kulmanova33@mail.ru</v>
      </c>
      <c r="C1072" s="15"/>
      <c r="D1072" s="15"/>
      <c r="E1072" s="14"/>
      <c r="F1072" s="8" t="str">
        <f ca="1">IFERROR(__xludf.DUMMYFUNCTION("""COMPUTED_VALUE"""),"Мероприятий не обнаружено")</f>
        <v>Мероприятий не обнаружено</v>
      </c>
      <c r="G1072" s="14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 ht="14.25">
      <c r="A1073" s="14" t="str">
        <f ca="1">IFERROR(__xludf.DUMMYFUNCTION("""COMPUTED_VALUE"""),"Мария Кулясова")</f>
        <v>Мария Кулясова</v>
      </c>
      <c r="B1073" s="14" t="str">
        <f ca="1">IFERROR(__xludf.DUMMYFUNCTION("""COMPUTED_VALUE"""),"kulyasowam@yandex.ru")</f>
        <v>kulyasowam@yandex.ru</v>
      </c>
      <c r="C1073" s="15"/>
      <c r="D1073" s="15" t="str">
        <f ca="1">IFERROR(__xludf.DUMMYFUNCTION("""COMPUTED_VALUE"""),"Россия")</f>
        <v>Россия</v>
      </c>
      <c r="E1073" s="14"/>
      <c r="F1073" s="8" t="str">
        <f ca="1">IFERROR(__xludf.DUMMYFUNCTION("""COMPUTED_VALUE"""),"- Базовая бесплатная часть")</f>
        <v>- Базовая бесплатная часть</v>
      </c>
      <c r="G1073" s="14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:26" ht="25.5">
      <c r="A1074" s="14" t="str">
        <f ca="1">IFERROR(__xludf.DUMMYFUNCTION("""COMPUTED_VALUE"""),"Виктория Виктория")</f>
        <v>Виктория Виктория</v>
      </c>
      <c r="B1074" s="14" t="str">
        <f ca="1">IFERROR(__xludf.DUMMYFUNCTION("""COMPUTED_VALUE"""),"kurbeeva@mail.ru")</f>
        <v>kurbeeva@mail.ru</v>
      </c>
      <c r="C1074" s="15" t="str">
        <f ca="1">IFERROR(__xludf.DUMMYFUNCTION("""COMPUTED_VALUE"""),"87711530780")</f>
        <v>87711530780</v>
      </c>
      <c r="D1074" s="15"/>
      <c r="E1074" s="14"/>
      <c r="F107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074" s="14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:26" ht="14.25">
      <c r="A1075" s="14" t="str">
        <f ca="1">IFERROR(__xludf.DUMMYFUNCTION("""COMPUTED_VALUE"""),"Натали Курочкина")</f>
        <v>Натали Курочкина</v>
      </c>
      <c r="B1075" s="14" t="str">
        <f ca="1">IFERROR(__xludf.DUMMYFUNCTION("""COMPUTED_VALUE"""),"kurockinanatali1@gmail.com")</f>
        <v>kurockinanatali1@gmail.com</v>
      </c>
      <c r="C1075" s="15" t="str">
        <f ca="1">IFERROR(__xludf.DUMMYFUNCTION("""COMPUTED_VALUE"""),"79186028541")</f>
        <v>79186028541</v>
      </c>
      <c r="D1075" s="15" t="str">
        <f ca="1">IFERROR(__xludf.DUMMYFUNCTION("""COMPUTED_VALUE"""),"Россия")</f>
        <v>Россия</v>
      </c>
      <c r="E1075" s="14"/>
      <c r="F1075" s="8" t="str">
        <f ca="1">IFERROR(__xludf.DUMMYFUNCTION("""COMPUTED_VALUE"""),"- Вводный вебинар 3.5.22 на Шаг к Пробуждению")</f>
        <v>- Вводный вебинар 3.5.22 на Шаг к Пробуждению</v>
      </c>
      <c r="G1075" s="14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:26" ht="14.25">
      <c r="A1076" s="14" t="str">
        <f ca="1">IFERROR(__xludf.DUMMYFUNCTION("""COMPUTED_VALUE"""),"Dina Kus")</f>
        <v>Dina Kus</v>
      </c>
      <c r="B1076" s="14" t="str">
        <f ca="1">IFERROR(__xludf.DUMMYFUNCTION("""COMPUTED_VALUE"""),"kusainova_d@inbox.ru")</f>
        <v>kusainova_d@inbox.ru</v>
      </c>
      <c r="C1076" s="15" t="str">
        <f ca="1">IFERROR(__xludf.DUMMYFUNCTION("""COMPUTED_VALUE"""),"77084235200")</f>
        <v>77084235200</v>
      </c>
      <c r="D1076" s="15" t="str">
        <f ca="1">IFERROR(__xludf.DUMMYFUNCTION("""COMPUTED_VALUE"""),"Россия")</f>
        <v>Россия</v>
      </c>
      <c r="E1076" s="14"/>
      <c r="F1076" s="8" t="str">
        <f ca="1">IFERROR(__xludf.DUMMYFUNCTION("""COMPUTED_VALUE"""),"- Тишина Челлендж (бесплатная часть)")</f>
        <v>- Тишина Челлендж (бесплатная часть)</v>
      </c>
      <c r="G1076" s="14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spans="1:26" ht="14.25">
      <c r="A1077" s="14" t="str">
        <f ca="1">IFERROR(__xludf.DUMMYFUNCTION("""COMPUTED_VALUE"""),"Чингис Кушекбаев")</f>
        <v>Чингис Кушекбаев</v>
      </c>
      <c r="B1077" s="14" t="str">
        <f ca="1">IFERROR(__xludf.DUMMYFUNCTION("""COMPUTED_VALUE"""),"kushekbaevcingis@gmail.com")</f>
        <v>kushekbaevcingis@gmail.com</v>
      </c>
      <c r="C1077" s="15"/>
      <c r="D1077" s="15" t="str">
        <f ca="1">IFERROR(__xludf.DUMMYFUNCTION("""COMPUTED_VALUE"""),"Швеция")</f>
        <v>Швеция</v>
      </c>
      <c r="E1077" s="14"/>
      <c r="F1077" s="8" t="str">
        <f ca="1">IFERROR(__xludf.DUMMYFUNCTION("""COMPUTED_VALUE"""),"- Тишина Челлендж (бесплатная часть)")</f>
        <v>- Тишина Челлендж (бесплатная часть)</v>
      </c>
      <c r="G1077" s="14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spans="1:26" ht="25.5">
      <c r="A1078" s="14" t="str">
        <f ca="1">IFERROR(__xludf.DUMMYFUNCTION("""COMPUTED_VALUE"""),"Barno Fayzieva")</f>
        <v>Barno Fayzieva</v>
      </c>
      <c r="B1078" s="14" t="str">
        <f ca="1">IFERROR(__xludf.DUMMYFUNCTION("""COMPUTED_VALUE"""),"Kutbiddinovna094@gmail.com")</f>
        <v>Kutbiddinovna094@gmail.com</v>
      </c>
      <c r="C1078" s="15" t="str">
        <f ca="1">IFERROR(__xludf.DUMMYFUNCTION("""COMPUTED_VALUE"""),"+998999873008")</f>
        <v>+998999873008</v>
      </c>
      <c r="D1078" s="15"/>
      <c r="E1078" s="14"/>
      <c r="F107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078" s="14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spans="1:26" ht="25.5">
      <c r="A1079" s="14" t="str">
        <f ca="1">IFERROR(__xludf.DUMMYFUNCTION("""COMPUTED_VALUE"""),"Айслу Кузенбаева")</f>
        <v>Айслу Кузенбаева</v>
      </c>
      <c r="B1079" s="14" t="str">
        <f ca="1">IFERROR(__xludf.DUMMYFUNCTION("""COMPUTED_VALUE"""),"kuzenbaeva_72@mail.ru")</f>
        <v>kuzenbaeva_72@mail.ru</v>
      </c>
      <c r="C1079" s="15" t="str">
        <f ca="1">IFERROR(__xludf.DUMMYFUNCTION("""COMPUTED_VALUE"""),"87770278118")</f>
        <v>87770278118</v>
      </c>
      <c r="D1079" s="15"/>
      <c r="E1079" s="14"/>
      <c r="F107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079" s="14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spans="1:26" ht="14.25">
      <c r="A1080" s="14" t="str">
        <f ca="1">IFERROR(__xludf.DUMMYFUNCTION("""COMPUTED_VALUE"""),"Татьяна Осипова")</f>
        <v>Татьяна Осипова</v>
      </c>
      <c r="B1080" s="14" t="str">
        <f ca="1">IFERROR(__xludf.DUMMYFUNCTION("""COMPUTED_VALUE"""),"kuztanch2017@yandex.ru")</f>
        <v>kuztanch2017@yandex.ru</v>
      </c>
      <c r="C1080" s="15" t="str">
        <f ca="1">IFERROR(__xludf.DUMMYFUNCTION("""COMPUTED_VALUE"""),"+79899503366")</f>
        <v>+79899503366</v>
      </c>
      <c r="D1080" s="15" t="str">
        <f ca="1">IFERROR(__xludf.DUMMYFUNCTION("""COMPUTED_VALUE"""),"Россия")</f>
        <v>Россия</v>
      </c>
      <c r="E1080" s="14"/>
      <c r="F1080" s="8" t="str">
        <f ca="1">IFERROR(__xludf.DUMMYFUNCTION("""COMPUTED_VALUE"""),"- Онлайн курс Шаг к Шаг к Пробуждению №18 7-24 мая 2022")</f>
        <v>- Онлайн курс Шаг к Шаг к Пробуждению №18 7-24 мая 2022</v>
      </c>
      <c r="G1080" s="14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spans="1:26" ht="14.25">
      <c r="A1081" s="14" t="str">
        <f ca="1">IFERROR(__xludf.DUMMYFUNCTION("""COMPUTED_VALUE"""),"Алексей Колеров")</f>
        <v>Алексей Колеров</v>
      </c>
      <c r="B1081" s="14" t="str">
        <f ca="1">IFERROR(__xludf.DUMMYFUNCTION("""COMPUTED_VALUE"""),"kvalexey@gmail.com")</f>
        <v>kvalexey@gmail.com</v>
      </c>
      <c r="C1081" s="15" t="str">
        <f ca="1">IFERROR(__xludf.DUMMYFUNCTION("""COMPUTED_VALUE"""),"+79226490957")</f>
        <v>+79226490957</v>
      </c>
      <c r="D1081" s="15" t="str">
        <f ca="1">IFERROR(__xludf.DUMMYFUNCTION("""COMPUTED_VALUE"""),"Россия")</f>
        <v>Россия</v>
      </c>
      <c r="E1081" s="14"/>
      <c r="F1081" s="8" t="str">
        <f ca="1">IFERROR(__xludf.DUMMYFUNCTION("""COMPUTED_VALUE"""),"- Чайная встреча Жить сердцем Питер 30.12.2021")</f>
        <v>- Чайная встреча Жить сердцем Питер 30.12.2021</v>
      </c>
      <c r="G1081" s="14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spans="1:26" ht="14.25">
      <c r="A1082" s="14" t="str">
        <f ca="1">IFERROR(__xludf.DUMMYFUNCTION("""COMPUTED_VALUE"""),"Никита Кудрявцев")</f>
        <v>Никита Кудрявцев</v>
      </c>
      <c r="B1082" s="14" t="str">
        <f ca="1">IFERROR(__xludf.DUMMYFUNCTION("""COMPUTED_VALUE"""),"Kydryavthev@mail.ru")</f>
        <v>Kydryavthev@mail.ru</v>
      </c>
      <c r="C1082" s="15" t="str">
        <f ca="1">IFERROR(__xludf.DUMMYFUNCTION("""COMPUTED_VALUE"""),"79514340132")</f>
        <v>79514340132</v>
      </c>
      <c r="D1082" s="15" t="str">
        <f ca="1">IFERROR(__xludf.DUMMYFUNCTION("""COMPUTED_VALUE"""),"Россия")</f>
        <v>Россия</v>
      </c>
      <c r="E1082" s="14"/>
      <c r="F1082" s="8" t="str">
        <f ca="1">IFERROR(__xludf.DUMMYFUNCTION("""COMPUTED_VALUE"""),"- Практика тишины Магнитогорск 19.02.2022")</f>
        <v>- Практика тишины Магнитогорск 19.02.2022</v>
      </c>
      <c r="G1082" s="14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spans="1:26" ht="14.25">
      <c r="A1083" s="14" t="str">
        <f ca="1">IFERROR(__xludf.DUMMYFUNCTION("""COMPUTED_VALUE"""),"kydyralieva092691,  ")</f>
        <v xml:space="preserve">kydyralieva092691,  </v>
      </c>
      <c r="B1083" s="14" t="str">
        <f ca="1">IFERROR(__xludf.DUMMYFUNCTION("""COMPUTED_VALUE"""),"kydyralieva092691@gmail.com")</f>
        <v>kydyralieva092691@gmail.com</v>
      </c>
      <c r="C1083" s="15"/>
      <c r="D1083" s="15"/>
      <c r="E1083" s="14"/>
      <c r="F1083" s="8" t="str">
        <f ca="1">IFERROR(__xludf.DUMMYFUNCTION("""COMPUTED_VALUE"""),"- USA Челлендж Тишина")</f>
        <v>- USA Челлендж Тишина</v>
      </c>
      <c r="G1083" s="14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spans="1:26" ht="25.5">
      <c r="A1084" s="14" t="str">
        <f ca="1">IFERROR(__xludf.DUMMYFUNCTION("""COMPUTED_VALUE"""),"Анастасия Кулик")</f>
        <v>Анастасия Кулик</v>
      </c>
      <c r="B1084" s="14" t="str">
        <f ca="1">IFERROR(__xludf.DUMMYFUNCTION("""COMPUTED_VALUE"""),"kylik_n93@mail.ru")</f>
        <v>kylik_n93@mail.ru</v>
      </c>
      <c r="C1084" s="15" t="str">
        <f ca="1">IFERROR(__xludf.DUMMYFUNCTION("""COMPUTED_VALUE"""),"77073941293")</f>
        <v>77073941293</v>
      </c>
      <c r="D1084" s="15"/>
      <c r="E1084" s="14"/>
      <c r="F108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084" s="14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spans="1:26" ht="25.5">
      <c r="A1085" s="14" t="str">
        <f ca="1">IFERROR(__xludf.DUMMYFUNCTION("""COMPUTED_VALUE"""),"Абай Абдильманов")</f>
        <v>Абай Абдильманов</v>
      </c>
      <c r="B1085" s="14" t="str">
        <f ca="1">IFERROR(__xludf.DUMMYFUNCTION("""COMPUTED_VALUE"""),"kz7777@mail.ru")</f>
        <v>kz7777@mail.ru</v>
      </c>
      <c r="C1085" s="15" t="str">
        <f ca="1">IFERROR(__xludf.DUMMYFUNCTION("""COMPUTED_VALUE"""),"87010480400")</f>
        <v>87010480400</v>
      </c>
      <c r="D1085" s="15"/>
      <c r="E1085" s="14"/>
      <c r="F108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085" s="14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spans="1:26" ht="14.25">
      <c r="A1086" s="14" t="str">
        <f ca="1">IFERROR(__xludf.DUMMYFUNCTION("""COMPUTED_VALUE"""),"Софья Полукеева")</f>
        <v>Софья Полукеева</v>
      </c>
      <c r="B1086" s="14" t="str">
        <f ca="1">IFERROR(__xludf.DUMMYFUNCTION("""COMPUTED_VALUE"""),"Kzadzmzpzadpzhaeaeaea@gmail.com")</f>
        <v>Kzadzmzpzadpzhaeaeaea@gmail.com</v>
      </c>
      <c r="C1086" s="15" t="str">
        <f ca="1">IFERROR(__xludf.DUMMYFUNCTION("""COMPUTED_VALUE"""),"+79996180672")</f>
        <v>+79996180672</v>
      </c>
      <c r="D1086" s="15" t="str">
        <f ca="1">IFERROR(__xludf.DUMMYFUNCTION("""COMPUTED_VALUE"""),"Россия")</f>
        <v>Россия</v>
      </c>
      <c r="E1086" s="14"/>
      <c r="F1086" s="8" t="str">
        <f ca="1">IFERROR(__xludf.DUMMYFUNCTION("""COMPUTED_VALUE"""),"- Онлайн Интенсив Дальний Восток 25-27.03.2022 ")</f>
        <v xml:space="preserve">- Онлайн Интенсив Дальний Восток 25-27.03.2022 </v>
      </c>
      <c r="G1086" s="14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spans="1:26" ht="14.25">
      <c r="A1087" s="14" t="str">
        <f ca="1">IFERROR(__xludf.DUMMYFUNCTION("""COMPUTED_VALUE"""),"Любовь Черемина")</f>
        <v>Любовь Черемина</v>
      </c>
      <c r="B1087" s="14" t="str">
        <f ca="1">IFERROR(__xludf.DUMMYFUNCTION("""COMPUTED_VALUE"""),"l.cheremina@pb10.ru")</f>
        <v>l.cheremina@pb10.ru</v>
      </c>
      <c r="C1087" s="15" t="str">
        <f ca="1">IFERROR(__xludf.DUMMYFUNCTION("""COMPUTED_VALUE"""),", 79036320466")</f>
        <v>, 79036320466</v>
      </c>
      <c r="D1087" s="15" t="str">
        <f ca="1">IFERROR(__xludf.DUMMYFUNCTION("""COMPUTED_VALUE"""),"Россия")</f>
        <v>Россия</v>
      </c>
      <c r="E1087" s="14"/>
      <c r="F1087" s="8" t="str">
        <f ca="1">IFERROR(__xludf.DUMMYFUNCTION("""COMPUTED_VALUE"""),"Мероприятий не обнаружено")</f>
        <v>Мероприятий не обнаружено</v>
      </c>
      <c r="G1087" s="14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spans="1:26" ht="14.25">
      <c r="A1088" s="14" t="str">
        <f ca="1">IFERROR(__xludf.DUMMYFUNCTION("""COMPUTED_VALUE"""),"Екатерина Ляхова")</f>
        <v>Екатерина Ляхова</v>
      </c>
      <c r="B1088" s="14" t="str">
        <f ca="1">IFERROR(__xludf.DUMMYFUNCTION("""COMPUTED_VALUE"""),"l.katerina.27@yandex.ru")</f>
        <v>l.katerina.27@yandex.ru</v>
      </c>
      <c r="C1088" s="15" t="str">
        <f ca="1">IFERROR(__xludf.DUMMYFUNCTION("""COMPUTED_VALUE"""),"+375336167516")</f>
        <v>+375336167516</v>
      </c>
      <c r="D1088" s="15" t="str">
        <f ca="1">IFERROR(__xludf.DUMMYFUNCTION("""COMPUTED_VALUE"""),"Беларусь")</f>
        <v>Беларусь</v>
      </c>
      <c r="E1088" s="14"/>
      <c r="F1088" s="8" t="str">
        <f ca="1">IFERROR(__xludf.DUMMYFUNCTION("""COMPUTED_VALUE"""),"- Йога тишины 28 марта 2022 Минск")</f>
        <v>- Йога тишины 28 марта 2022 Минск</v>
      </c>
      <c r="G1088" s="14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spans="1:26" ht="25.5">
      <c r="A1089" s="14" t="str">
        <f ca="1">IFERROR(__xludf.DUMMYFUNCTION("""COMPUTED_VALUE"""),"Лика Климова")</f>
        <v>Лика Климова</v>
      </c>
      <c r="B1089" s="14" t="str">
        <f ca="1">IFERROR(__xludf.DUMMYFUNCTION("""COMPUTED_VALUE"""),"l.klimova2005@gmail.com")</f>
        <v>l.klimova2005@gmail.com</v>
      </c>
      <c r="C1089" s="15" t="str">
        <f ca="1">IFERROR(__xludf.DUMMYFUNCTION("""COMPUTED_VALUE"""),"+79265162766")</f>
        <v>+79265162766</v>
      </c>
      <c r="D1089" s="15" t="str">
        <f ca="1">IFERROR(__xludf.DUMMYFUNCTION("""COMPUTED_VALUE"""),"Россия")</f>
        <v>Россия</v>
      </c>
      <c r="E1089" s="14"/>
      <c r="F1089" s="8" t="str">
        <f ca="1">IFERROR(__xludf.DUMMYFUNCTION("""COMPUTED_VALUE"""),"- Вебинар с Никитой Бородулиным 11.02.2022 часть1
- Вебинар все о ретрите 12.2.2022")</f>
        <v>- Вебинар с Никитой Бородулиным 11.02.2022 часть1
- Вебинар все о ретрите 12.2.2022</v>
      </c>
      <c r="G1089" s="14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spans="1:26" ht="14.25">
      <c r="A1090" s="14" t="str">
        <f ca="1">IFERROR(__xludf.DUMMYFUNCTION("""COMPUTED_VALUE"""),"Тина, Тина ")</f>
        <v xml:space="preserve">Тина, Тина </v>
      </c>
      <c r="B1090" s="14" t="str">
        <f ca="1">IFERROR(__xludf.DUMMYFUNCTION("""COMPUTED_VALUE"""),"l.obstinee@gmail.com")</f>
        <v>l.obstinee@gmail.com</v>
      </c>
      <c r="C1090" s="15"/>
      <c r="D1090" s="15" t="str">
        <f ca="1">IFERROR(__xludf.DUMMYFUNCTION("""COMPUTED_VALUE"""),"United States")</f>
        <v>United States</v>
      </c>
      <c r="E1090" s="14"/>
      <c r="F1090" s="8" t="str">
        <f ca="1">IFERROR(__xludf.DUMMYFUNCTION("""COMPUTED_VALUE"""),"- USA Челлендж Тишина")</f>
        <v>- USA Челлендж Тишина</v>
      </c>
      <c r="G1090" s="14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spans="1:26" ht="25.5">
      <c r="A1091" s="14" t="str">
        <f ca="1">IFERROR(__xludf.DUMMYFUNCTION("""COMPUTED_VALUE"""),"Лада Хричева")</f>
        <v>Лада Хричева</v>
      </c>
      <c r="B1091" s="14" t="str">
        <f ca="1">IFERROR(__xludf.DUMMYFUNCTION("""COMPUTED_VALUE"""),"Lada2011di@mail.ru")</f>
        <v>Lada2011di@mail.ru</v>
      </c>
      <c r="C1091" s="15" t="str">
        <f ca="1">IFERROR(__xludf.DUMMYFUNCTION("""COMPUTED_VALUE"""),"+79282032602")</f>
        <v>+79282032602</v>
      </c>
      <c r="D1091" s="15" t="str">
        <f ca="1">IFERROR(__xludf.DUMMYFUNCTION("""COMPUTED_VALUE"""),"Россия")</f>
        <v>Россия</v>
      </c>
      <c r="E1091" s="14"/>
      <c r="F1091" s="8" t="str">
        <f ca="1">IFERROR(__xludf.DUMMYFUNCTION("""COMPUTED_VALUE"""),"- Практика Тишины общая платная
- Однодневный ретрит Россия 14 мая 2022")</f>
        <v>- Практика Тишины общая платная
- Однодневный ретрит Россия 14 мая 2022</v>
      </c>
      <c r="G1091" s="14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spans="1:26" ht="14.25">
      <c r="A1092" s="14" t="str">
        <f ca="1">IFERROR(__xludf.DUMMYFUNCTION("""COMPUTED_VALUE"""),"Anna Русановская")</f>
        <v>Anna Русановская</v>
      </c>
      <c r="B1092" s="14" t="str">
        <f ca="1">IFERROR(__xludf.DUMMYFUNCTION("""COMPUTED_VALUE"""),"ladyany@mail.ru")</f>
        <v>ladyany@mail.ru</v>
      </c>
      <c r="C1092" s="15" t="str">
        <f ca="1">IFERROR(__xludf.DUMMYFUNCTION("""COMPUTED_VALUE"""),"79175903472")</f>
        <v>79175903472</v>
      </c>
      <c r="D1092" s="15" t="str">
        <f ca="1">IFERROR(__xludf.DUMMYFUNCTION("""COMPUTED_VALUE"""),"Россия")</f>
        <v>Россия</v>
      </c>
      <c r="E1092" s="14" t="str">
        <f ca="1">IFERROR(__xludf.DUMMYFUNCTION("""COMPUTED_VALUE"""),"@rusanovskaya_anna")</f>
        <v>@rusanovskaya_anna</v>
      </c>
      <c r="F1092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1092" s="14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spans="1:26" ht="14.25">
      <c r="A1093" s="14" t="str">
        <f ca="1">IFERROR(__xludf.DUMMYFUNCTION("""COMPUTED_VALUE"""),"Мария Лукьянова")</f>
        <v>Мария Лукьянова</v>
      </c>
      <c r="B1093" s="14" t="str">
        <f ca="1">IFERROR(__xludf.DUMMYFUNCTION("""COMPUTED_VALUE"""),"Lakshmypala1@gmail.com")</f>
        <v>Lakshmypala1@gmail.com</v>
      </c>
      <c r="C1093" s="15" t="str">
        <f ca="1">IFERROR(__xludf.DUMMYFUNCTION("""COMPUTED_VALUE"""),"+79645349390")</f>
        <v>+79645349390</v>
      </c>
      <c r="D1093" s="15" t="str">
        <f ca="1">IFERROR(__xludf.DUMMYFUNCTION("""COMPUTED_VALUE"""),"Россия")</f>
        <v>Россия</v>
      </c>
      <c r="E1093" s="14" t="str">
        <f ca="1">IFERROR(__xludf.DUMMYFUNCTION("""COMPUTED_VALUE"""),"@MashaLy21")</f>
        <v>@MashaLy21</v>
      </c>
      <c r="F1093" s="8" t="str">
        <f ca="1">IFERROR(__xludf.DUMMYFUNCTION("""COMPUTED_VALUE"""),"- Клуб пробуждения Друзья (2 уровень) - 1 месяц")</f>
        <v>- Клуб пробуждения Друзья (2 уровень) - 1 месяц</v>
      </c>
      <c r="G1093" s="14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spans="1:26" ht="38.25">
      <c r="A1094" s="14" t="str">
        <f ca="1">IFERROR(__xludf.DUMMYFUNCTION("""COMPUTED_VALUE"""),"Неля Неля Камалова")</f>
        <v>Неля Неля Камалова</v>
      </c>
      <c r="B1094" s="14" t="str">
        <f ca="1">IFERROR(__xludf.DUMMYFUNCTION("""COMPUTED_VALUE"""),"lalitalila.74@gmail.com")</f>
        <v>lalitalila.74@gmail.com</v>
      </c>
      <c r="C1094" s="15" t="str">
        <f ca="1">IFERROR(__xludf.DUMMYFUNCTION("""COMPUTED_VALUE"""),"+79191102020")</f>
        <v>+79191102020</v>
      </c>
      <c r="D1094" s="15" t="str">
        <f ca="1">IFERROR(__xludf.DUMMYFUNCTION("""COMPUTED_VALUE"""),"РФ")</f>
        <v>РФ</v>
      </c>
      <c r="E1094" s="14" t="str">
        <f ca="1">IFERROR(__xludf.DUMMYFUNCTION("""COMPUTED_VALUE"""),"Неля Камалова")</f>
        <v>Неля Камалова</v>
      </c>
      <c r="F1094" s="8" t="str">
        <f ca="1">IFERROR(__xludf.DUMMYFUNCTION("""COMPUTED_VALUE"""),"- Заявка на звонок для курса ""Парадентальная медитация""
- АнтиЭго 2.0 ""Пакет Базовый"" 12.02 - 06.03.2022 (поток 1)
- Вебинар все о ретрите 12.2.2022")</f>
        <v>- Заявка на звонок для курса "Парадентальная медитация"
- АнтиЭго 2.0 "Пакет Базовый" 12.02 - 06.03.2022 (поток 1)
- Вебинар все о ретрите 12.2.2022</v>
      </c>
      <c r="G1094" s="14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spans="1:26" ht="14.25">
      <c r="A1095" s="14" t="str">
        <f ca="1">IFERROR(__xludf.DUMMYFUNCTION("""COMPUTED_VALUE"""),"lana_koren,  ")</f>
        <v xml:space="preserve">lana_koren,  </v>
      </c>
      <c r="B1095" s="14" t="str">
        <f ca="1">IFERROR(__xludf.DUMMYFUNCTION("""COMPUTED_VALUE"""),"lana_koren@yahoo.com")</f>
        <v>lana_koren@yahoo.com</v>
      </c>
      <c r="C1095" s="15"/>
      <c r="D1095" s="15"/>
      <c r="E1095" s="14"/>
      <c r="F1095" s="8" t="str">
        <f ca="1">IFERROR(__xludf.DUMMYFUNCTION("""COMPUTED_VALUE"""),"- USA Челлендж Тишина")</f>
        <v>- USA Челлендж Тишина</v>
      </c>
      <c r="G1095" s="14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spans="1:26" ht="25.5">
      <c r="A1096" s="14" t="str">
        <f ca="1">IFERROR(__xludf.DUMMYFUNCTION("""COMPUTED_VALUE"""),"Светлана Музырина")</f>
        <v>Светлана Музырина</v>
      </c>
      <c r="B1096" s="14" t="str">
        <f ca="1">IFERROR(__xludf.DUMMYFUNCTION("""COMPUTED_VALUE"""),"Lana-muzyrina@mail.ru")</f>
        <v>Lana-muzyrina@mail.ru</v>
      </c>
      <c r="C1096" s="15" t="str">
        <f ca="1">IFERROR(__xludf.DUMMYFUNCTION("""COMPUTED_VALUE"""),"87059801717")</f>
        <v>87059801717</v>
      </c>
      <c r="D1096" s="15"/>
      <c r="E1096" s="14"/>
      <c r="F109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096" s="14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spans="1:26" ht="14.25">
      <c r="A1097" s="14" t="str">
        <f ca="1">IFERROR(__xludf.DUMMYFUNCTION("""COMPUTED_VALUE"""),"Снежана Лоскутова")</f>
        <v>Снежана Лоскутова</v>
      </c>
      <c r="B1097" s="14" t="str">
        <f ca="1">IFERROR(__xludf.DUMMYFUNCTION("""COMPUTED_VALUE"""),"Lanadirofeeva@gmail.com")</f>
        <v>Lanadirofeeva@gmail.com</v>
      </c>
      <c r="C1097" s="15" t="str">
        <f ca="1">IFERROR(__xludf.DUMMYFUNCTION("""COMPUTED_VALUE"""),"+79101125283")</f>
        <v>+79101125283</v>
      </c>
      <c r="D1097" s="15"/>
      <c r="E1097" s="14"/>
      <c r="F1097" s="8" t="str">
        <f ca="1">IFERROR(__xludf.DUMMYFUNCTION("""COMPUTED_VALUE"""),"- Тишина Челлендж (бесплатная часть)")</f>
        <v>- Тишина Челлендж (бесплатная часть)</v>
      </c>
      <c r="G1097" s="14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spans="1:26" ht="14.25">
      <c r="A1098" s="14" t="str">
        <f ca="1">IFERROR(__xludf.DUMMYFUNCTION("""COMPUTED_VALUE"""),"Лана Внукова")</f>
        <v>Лана Внукова</v>
      </c>
      <c r="B1098" s="14" t="str">
        <f ca="1">IFERROR(__xludf.DUMMYFUNCTION("""COMPUTED_VALUE"""),"lanastart77777@gmail.com")</f>
        <v>lanastart77777@gmail.com</v>
      </c>
      <c r="C1098" s="15" t="str">
        <f ca="1">IFERROR(__xludf.DUMMYFUNCTION("""COMPUTED_VALUE"""),"+380956870187")</f>
        <v>+380956870187</v>
      </c>
      <c r="D1098" s="15" t="str">
        <f ca="1">IFERROR(__xludf.DUMMYFUNCTION("""COMPUTED_VALUE"""),"Украина")</f>
        <v>Украина</v>
      </c>
      <c r="E1098" s="14"/>
      <c r="F1098" s="8" t="str">
        <f ca="1">IFERROR(__xludf.DUMMYFUNCTION("""COMPUTED_VALUE"""),"- Новогодний Интенсив Алматы-онлайн 17-19.12.2021")</f>
        <v>- Новогодний Интенсив Алматы-онлайн 17-19.12.2021</v>
      </c>
      <c r="G1098" s="14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spans="1:26" ht="25.5">
      <c r="A1099" s="14" t="str">
        <f ca="1">IFERROR(__xludf.DUMMYFUNCTION("""COMPUTED_VALUE"""),"РИММА ЛАПТЕВА, ")</f>
        <v xml:space="preserve">РИММА ЛАПТЕВА, </v>
      </c>
      <c r="B1099" s="14" t="str">
        <f ca="1">IFERROR(__xludf.DUMMYFUNCTION("""COMPUTED_VALUE"""),"lapteva_rs@mail.ru")</f>
        <v>lapteva_rs@mail.ru</v>
      </c>
      <c r="C1099" s="15" t="str">
        <f ca="1">IFERROR(__xludf.DUMMYFUNCTION("""COMPUTED_VALUE"""),"+79259142346, ")</f>
        <v xml:space="preserve">+79259142346, </v>
      </c>
      <c r="D1099" s="15"/>
      <c r="E1099" s="14"/>
      <c r="F1099" s="8" t="str">
        <f ca="1">IFERROR(__xludf.DUMMYFUNCTION("""COMPUTED_VALUE"""),"- Заявка на СЪЕЗД+ФЕСТИВАЛЬ ""Мы вместе"" 3-8.01.22
- Клуб пробуждения Друзья (2 уровень) - 1 месяц")</f>
        <v>- Заявка на СЪЕЗД+ФЕСТИВАЛЬ "Мы вместе" 3-8.01.22
- Клуб пробуждения Друзья (2 уровень) - 1 месяц</v>
      </c>
      <c r="G1099" s="14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spans="1:26" ht="14.25">
      <c r="A1100" s="14" t="str">
        <f ca="1">IFERROR(__xludf.DUMMYFUNCTION("""COMPUTED_VALUE"""),"Анора Абдураззакова")</f>
        <v>Анора Абдураззакова</v>
      </c>
      <c r="B1100" s="14" t="str">
        <f ca="1">IFERROR(__xludf.DUMMYFUNCTION("""COMPUTED_VALUE"""),"Lapulichka_98@mail.ru")</f>
        <v>Lapulichka_98@mail.ru</v>
      </c>
      <c r="C1100" s="15" t="str">
        <f ca="1">IFERROR(__xludf.DUMMYFUNCTION("""COMPUTED_VALUE"""),"+998905997447")</f>
        <v>+998905997447</v>
      </c>
      <c r="D1100" s="15" t="str">
        <f ca="1">IFERROR(__xludf.DUMMYFUNCTION("""COMPUTED_VALUE"""),"Узбекистан")</f>
        <v>Узбекистан</v>
      </c>
      <c r="E1100" s="14"/>
      <c r="F1100" s="8" t="str">
        <f ca="1">IFERROR(__xludf.DUMMYFUNCTION("""COMPUTED_VALUE"""),"- Тишина Челлендж (бесплатная часть)")</f>
        <v>- Тишина Челлендж (бесплатная часть)</v>
      </c>
      <c r="G1100" s="14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spans="1:26" ht="14.25">
      <c r="A1101" s="14" t="str">
        <f ca="1">IFERROR(__xludf.DUMMYFUNCTION("""COMPUTED_VALUE"""),"Лариса Дорогян")</f>
        <v>Лариса Дорогян</v>
      </c>
      <c r="B1101" s="14" t="str">
        <f ca="1">IFERROR(__xludf.DUMMYFUNCTION("""COMPUTED_VALUE"""),"laridoro@rambler.ru")</f>
        <v>laridoro@rambler.ru</v>
      </c>
      <c r="C1101" s="15" t="str">
        <f ca="1">IFERROR(__xludf.DUMMYFUNCTION("""COMPUTED_VALUE"""),"+79109710867")</f>
        <v>+79109710867</v>
      </c>
      <c r="D1101" s="15" t="str">
        <f ca="1">IFERROR(__xludf.DUMMYFUNCTION("""COMPUTED_VALUE"""),"Россия")</f>
        <v>Россия</v>
      </c>
      <c r="E1101" s="14"/>
      <c r="F1101" s="8" t="str">
        <f ca="1">IFERROR(__xludf.DUMMYFUNCTION("""COMPUTED_VALUE"""),"-  Курс Пробуждение. Начало.")</f>
        <v>-  Курс Пробуждение. Начало.</v>
      </c>
      <c r="G1101" s="14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spans="1:26" ht="14.25">
      <c r="A1102" s="14" t="str">
        <f ca="1">IFERROR(__xludf.DUMMYFUNCTION("""COMPUTED_VALUE"""),"larisaedreai,  ")</f>
        <v xml:space="preserve">larisaedreai,  </v>
      </c>
      <c r="B1102" s="14" t="str">
        <f ca="1">IFERROR(__xludf.DUMMYFUNCTION("""COMPUTED_VALUE"""),"larisaedreai@gmail.com")</f>
        <v>larisaedreai@gmail.com</v>
      </c>
      <c r="C1102" s="15"/>
      <c r="D1102" s="15"/>
      <c r="E1102" s="14"/>
      <c r="F1102" s="8" t="str">
        <f ca="1">IFERROR(__xludf.DUMMYFUNCTION("""COMPUTED_VALUE"""),"- Практика Тишины общая платная")</f>
        <v>- Практика Тишины общая платная</v>
      </c>
      <c r="G1102" s="14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spans="1:26" ht="14.25">
      <c r="A1103" s="14" t="str">
        <f ca="1">IFERROR(__xludf.DUMMYFUNCTION("""COMPUTED_VALUE"""),"LaRa Obanina")</f>
        <v>LaRa Obanina</v>
      </c>
      <c r="B1103" s="14" t="str">
        <f ca="1">IFERROR(__xludf.DUMMYFUNCTION("""COMPUTED_VALUE"""),"Larissa-67@mail.ru")</f>
        <v>Larissa-67@mail.ru</v>
      </c>
      <c r="C1103" s="15" t="str">
        <f ca="1">IFERROR(__xludf.DUMMYFUNCTION("""COMPUTED_VALUE"""),"79006427495")</f>
        <v>79006427495</v>
      </c>
      <c r="D1103" s="15" t="str">
        <f ca="1">IFERROR(__xludf.DUMMYFUNCTION("""COMPUTED_VALUE"""),"Россия")</f>
        <v>Россия</v>
      </c>
      <c r="E1103" s="14"/>
      <c r="F1103" s="8" t="str">
        <f ca="1">IFERROR(__xludf.DUMMYFUNCTION("""COMPUTED_VALUE"""),"- Вебинар все о ретрите 12.2.2022")</f>
        <v>- Вебинар все о ретрите 12.2.2022</v>
      </c>
      <c r="G1103" s="14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spans="1:26" ht="25.5">
      <c r="A1104" s="14" t="str">
        <f ca="1">IFERROR(__xludf.DUMMYFUNCTION("""COMPUTED_VALUE"""),"Lāsma Tūtare")</f>
        <v>Lāsma Tūtare</v>
      </c>
      <c r="B1104" s="14" t="str">
        <f ca="1">IFERROR(__xludf.DUMMYFUNCTION("""COMPUTED_VALUE"""),"lasma_b27@inbox.lv")</f>
        <v>lasma_b27@inbox.lv</v>
      </c>
      <c r="C1104" s="15" t="str">
        <f ca="1">IFERROR(__xludf.DUMMYFUNCTION("""COMPUTED_VALUE"""),"26646856")</f>
        <v>26646856</v>
      </c>
      <c r="D1104" s="15" t="str">
        <f ca="1">IFERROR(__xludf.DUMMYFUNCTION("""COMPUTED_VALUE"""),"Латвия")</f>
        <v>Латвия</v>
      </c>
      <c r="E1104" s="14"/>
      <c r="F1104" s="8" t="str">
        <f ca="1">IFERROR(__xludf.DUMMYFUNCTION("""COMPUTED_VALUE"""),"- Шаг к Пробуждению №6 на латышском Латвия LV 19-26 февраля 2022 г.")</f>
        <v>- Шаг к Пробуждению №6 на латышском Латвия LV 19-26 февраля 2022 г.</v>
      </c>
      <c r="G1104" s="14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spans="1:26" ht="14.25">
      <c r="A1105" s="14" t="str">
        <f ca="1">IFERROR(__xludf.DUMMYFUNCTION("""COMPUTED_VALUE"""),"людмила в")</f>
        <v>людмила в</v>
      </c>
      <c r="B1105" s="14" t="str">
        <f ca="1">IFERROR(__xludf.DUMMYFUNCTION("""COMPUTED_VALUE"""),"late-news@yand3x.ru")</f>
        <v>late-news@yand3x.ru</v>
      </c>
      <c r="C1105" s="15" t="str">
        <f ca="1">IFERROR(__xludf.DUMMYFUNCTION("""COMPUTED_VALUE"""),", +79277249325")</f>
        <v>, +79277249325</v>
      </c>
      <c r="D1105" s="15" t="str">
        <f ca="1">IFERROR(__xludf.DUMMYFUNCTION("""COMPUTED_VALUE"""),"Россия")</f>
        <v>Россия</v>
      </c>
      <c r="E1105" s="14"/>
      <c r="F1105" s="8" t="str">
        <f ca="1">IFERROR(__xludf.DUMMYFUNCTION("""COMPUTED_VALUE"""),"Мероприятий не обнаружено")</f>
        <v>Мероприятий не обнаружено</v>
      </c>
      <c r="G1105" s="14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spans="1:26" ht="14.25">
      <c r="A1106" s="14" t="str">
        <f ca="1">IFERROR(__xludf.DUMMYFUNCTION("""COMPUTED_VALUE"""),"Laura Vanagiene")</f>
        <v>Laura Vanagiene</v>
      </c>
      <c r="B1106" s="14" t="str">
        <f ca="1">IFERROR(__xludf.DUMMYFUNCTION("""COMPUTED_VALUE"""),"laurux2002@gmail.com")</f>
        <v>laurux2002@gmail.com</v>
      </c>
      <c r="C1106" s="15" t="str">
        <f ca="1">IFERROR(__xludf.DUMMYFUNCTION("""COMPUTED_VALUE"""),"+37068757641")</f>
        <v>+37068757641</v>
      </c>
      <c r="D1106" s="15" t="str">
        <f ca="1">IFERROR(__xludf.DUMMYFUNCTION("""COMPUTED_VALUE"""),"США")</f>
        <v>США</v>
      </c>
      <c r="E1106" s="14"/>
      <c r="F1106" s="8" t="str">
        <f ca="1">IFERROR(__xludf.DUMMYFUNCTION("""COMPUTED_VALUE"""),"- Ретрит в Германии 30 апреля-7 мая 2022")</f>
        <v>- Ретрит в Германии 30 апреля-7 мая 2022</v>
      </c>
      <c r="G1106" s="14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spans="1:26" ht="14.25">
      <c r="A1107" s="14" t="str">
        <f ca="1">IFERROR(__xludf.DUMMYFUNCTION("""COMPUTED_VALUE"""),"lava_25,  ")</f>
        <v xml:space="preserve">lava_25,  </v>
      </c>
      <c r="B1107" s="14" t="str">
        <f ca="1">IFERROR(__xludf.DUMMYFUNCTION("""COMPUTED_VALUE"""),"lava_25@mail.ru")</f>
        <v>lava_25@mail.ru</v>
      </c>
      <c r="C1107" s="15"/>
      <c r="D1107" s="15"/>
      <c r="E1107" s="14"/>
      <c r="F1107" s="8" t="str">
        <f ca="1">IFERROR(__xludf.DUMMYFUNCTION("""COMPUTED_VALUE"""),"- Челлендж Тишины")</f>
        <v>- Челлендж Тишины</v>
      </c>
      <c r="G1107" s="14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spans="1:26" ht="25.5">
      <c r="A1108" s="14" t="str">
        <f ca="1">IFERROR(__xludf.DUMMYFUNCTION("""COMPUTED_VALUE"""),"Валерия Лазарева")</f>
        <v>Валерия Лазарева</v>
      </c>
      <c r="B1108" s="14" t="str">
        <f ca="1">IFERROR(__xludf.DUMMYFUNCTION("""COMPUTED_VALUE"""),"lavaty99@gmail.com")</f>
        <v>lavaty99@gmail.com</v>
      </c>
      <c r="C1108" s="15" t="str">
        <f ca="1">IFERROR(__xludf.DUMMYFUNCTION("""COMPUTED_VALUE"""),"79081041387")</f>
        <v>79081041387</v>
      </c>
      <c r="D1108" s="15" t="str">
        <f ca="1">IFERROR(__xludf.DUMMYFUNCTION("""COMPUTED_VALUE"""),"Россия")</f>
        <v>Россия</v>
      </c>
      <c r="E1108" s="14"/>
      <c r="F1108" s="8" t="str">
        <f ca="1">IFERROR(__xludf.DUMMYFUNCTION("""COMPUTED_VALUE"""),"- Практика Тишины с Ларисой Гурьяновой в Санкт-Петербурге 24.2.2022")</f>
        <v>- Практика Тишины с Ларисой Гурьяновой в Санкт-Петербурге 24.2.2022</v>
      </c>
      <c r="G1108" s="14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spans="1:26" ht="25.5">
      <c r="A1109" s="14" t="str">
        <f ca="1">IFERROR(__xludf.DUMMYFUNCTION("""COMPUTED_VALUE"""),"Ляззат Кайрбаева")</f>
        <v>Ляззат Кайрбаева</v>
      </c>
      <c r="B1109" s="14" t="str">
        <f ca="1">IFERROR(__xludf.DUMMYFUNCTION("""COMPUTED_VALUE"""),"Lazzat@bk.ru")</f>
        <v>Lazzat@bk.ru</v>
      </c>
      <c r="C1109" s="15" t="str">
        <f ca="1">IFERROR(__xludf.DUMMYFUNCTION("""COMPUTED_VALUE"""),"87020007708")</f>
        <v>87020007708</v>
      </c>
      <c r="D1109" s="15"/>
      <c r="E1109" s="14"/>
      <c r="F110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109" s="14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spans="1:26" ht="14.25">
      <c r="A1110" s="14" t="str">
        <f ca="1">IFERROR(__xludf.DUMMYFUNCTION("""COMPUTED_VALUE"""),"Лидия Базанова")</f>
        <v>Лидия Базанова</v>
      </c>
      <c r="B1110" s="14" t="str">
        <f ca="1">IFERROR(__xludf.DUMMYFUNCTION("""COMPUTED_VALUE"""),"lbazanova@yandex.ru")</f>
        <v>lbazanova@yandex.ru</v>
      </c>
      <c r="C1110" s="15" t="str">
        <f ca="1">IFERROR(__xludf.DUMMYFUNCTION("""COMPUTED_VALUE"""),"+79166077469")</f>
        <v>+79166077469</v>
      </c>
      <c r="D1110" s="15" t="str">
        <f ca="1">IFERROR(__xludf.DUMMYFUNCTION("""COMPUTED_VALUE"""),"Россия")</f>
        <v>Россия</v>
      </c>
      <c r="E1110" s="14"/>
      <c r="F1110" s="8" t="str">
        <f ca="1">IFERROR(__xludf.DUMMYFUNCTION("""COMPUTED_VALUE"""),"- Интенсив онлайн 11-13.03.2022 ")</f>
        <v xml:space="preserve">- Интенсив онлайн 11-13.03.2022 </v>
      </c>
      <c r="G1110" s="14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spans="1:26" ht="14.25">
      <c r="A1111" s="14" t="str">
        <f ca="1">IFERROR(__xludf.DUMMYFUNCTION("""COMPUTED_VALUE"""),"Мария Лебская")</f>
        <v>Мария Лебская</v>
      </c>
      <c r="B1111" s="14" t="str">
        <f ca="1">IFERROR(__xludf.DUMMYFUNCTION("""COMPUTED_VALUE"""),"lebskaya_maria@mail.ru")</f>
        <v>lebskaya_maria@mail.ru</v>
      </c>
      <c r="C1111" s="15" t="str">
        <f ca="1">IFERROR(__xludf.DUMMYFUNCTION("""COMPUTED_VALUE"""),"+79889880337")</f>
        <v>+79889880337</v>
      </c>
      <c r="D1111" s="15" t="str">
        <f ca="1">IFERROR(__xludf.DUMMYFUNCTION("""COMPUTED_VALUE"""),"Россия")</f>
        <v>Россия</v>
      </c>
      <c r="E1111" s="14"/>
      <c r="F1111" s="8" t="str">
        <f ca="1">IFERROR(__xludf.DUMMYFUNCTION("""COMPUTED_VALUE"""),"- Вебинар все о ретрите 12.2.2022")</f>
        <v>- Вебинар все о ретрите 12.2.2022</v>
      </c>
      <c r="G1111" s="14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spans="1:26" ht="14.25">
      <c r="A1112" s="14" t="str">
        <f ca="1">IFERROR(__xludf.DUMMYFUNCTION("""COMPUTED_VALUE"""),"Андрей Сопов")</f>
        <v>Андрей Сопов</v>
      </c>
      <c r="B1112" s="14" t="str">
        <f ca="1">IFERROR(__xludf.DUMMYFUNCTION("""COMPUTED_VALUE"""),"lechuk@yandex.ru")</f>
        <v>lechuk@yandex.ru</v>
      </c>
      <c r="C1112" s="15" t="str">
        <f ca="1">IFERROR(__xludf.DUMMYFUNCTION("""COMPUTED_VALUE"""),"+79629499009")</f>
        <v>+79629499009</v>
      </c>
      <c r="D1112" s="15" t="str">
        <f ca="1">IFERROR(__xludf.DUMMYFUNCTION("""COMPUTED_VALUE"""),"Россия")</f>
        <v>Россия</v>
      </c>
      <c r="E1112" s="14"/>
      <c r="F1112" s="8" t="str">
        <f ca="1">IFERROR(__xludf.DUMMYFUNCTION("""COMPUTED_VALUE"""),"- Однодневный ретрит Россия 14 мая 2022")</f>
        <v>- Однодневный ретрит Россия 14 мая 2022</v>
      </c>
      <c r="G1112" s="14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spans="1:26" ht="14.25">
      <c r="A1113" s="14" t="str">
        <f ca="1">IFERROR(__xludf.DUMMYFUNCTION("""COMPUTED_VALUE"""),"Асем С")</f>
        <v>Асем С</v>
      </c>
      <c r="B1113" s="14" t="str">
        <f ca="1">IFERROR(__xludf.DUMMYFUNCTION("""COMPUTED_VALUE"""),"Led.asema@mail.ru")</f>
        <v>Led.asema@mail.ru</v>
      </c>
      <c r="C1113" s="15" t="str">
        <f ca="1">IFERROR(__xludf.DUMMYFUNCTION("""COMPUTED_VALUE"""),", 87716938885")</f>
        <v>, 87716938885</v>
      </c>
      <c r="D1113" s="15"/>
      <c r="E1113" s="14"/>
      <c r="F1113" s="8" t="str">
        <f ca="1">IFERROR(__xludf.DUMMYFUNCTION("""COMPUTED_VALUE"""),"Мероприятий не обнаружено")</f>
        <v>Мероприятий не обнаружено</v>
      </c>
      <c r="G1113" s="14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spans="1:26" ht="14.25">
      <c r="A1114" s="14" t="str">
        <f ca="1">IFERROR(__xludf.DUMMYFUNCTION("""COMPUTED_VALUE"""),"Оксана Войцех")</f>
        <v>Оксана Войцех</v>
      </c>
      <c r="B1114" s="14" t="str">
        <f ca="1">IFERROR(__xludf.DUMMYFUNCTION("""COMPUTED_VALUE"""),"ledislava1984@gmail.com")</f>
        <v>ledislava1984@gmail.com</v>
      </c>
      <c r="C1114" s="15" t="str">
        <f ca="1">IFERROR(__xludf.DUMMYFUNCTION("""COMPUTED_VALUE"""),"+79897213533")</f>
        <v>+79897213533</v>
      </c>
      <c r="D1114" s="15" t="str">
        <f ca="1">IFERROR(__xludf.DUMMYFUNCTION("""COMPUTED_VALUE"""),"Россия")</f>
        <v>Россия</v>
      </c>
      <c r="E1114" s="14"/>
      <c r="F1114" s="8" t="str">
        <f ca="1">IFERROR(__xludf.DUMMYFUNCTION("""COMPUTED_VALUE"""),"- Однодневный ретрит Россия 14 мая 2022")</f>
        <v>- Однодневный ретрит Россия 14 мая 2022</v>
      </c>
      <c r="G1114" s="14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spans="1:26" ht="25.5">
      <c r="A1115" s="14" t="str">
        <f ca="1">IFERROR(__xludf.DUMMYFUNCTION("""COMPUTED_VALUE"""),"Эдвард Ли")</f>
        <v>Эдвард Ли</v>
      </c>
      <c r="B1115" s="14" t="str">
        <f ca="1">IFERROR(__xludf.DUMMYFUNCTION("""COMPUTED_VALUE"""),"Lee.edvard.86@bk.ru")</f>
        <v>Lee.edvard.86@bk.ru</v>
      </c>
      <c r="C1115" s="15" t="str">
        <f ca="1">IFERROR(__xludf.DUMMYFUNCTION("""COMPUTED_VALUE"""),"+998909409890")</f>
        <v>+998909409890</v>
      </c>
      <c r="D1115" s="15"/>
      <c r="E1115" s="14"/>
      <c r="F111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115" s="14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spans="1:26" ht="25.5">
      <c r="A1116" s="14" t="str">
        <f ca="1">IFERROR(__xludf.DUMMYFUNCTION("""COMPUTED_VALUE"""),"Янис Легздиншь")</f>
        <v>Янис Легздиншь</v>
      </c>
      <c r="B1116" s="14" t="str">
        <f ca="1">IFERROR(__xludf.DUMMYFUNCTION("""COMPUTED_VALUE"""),"legzdins.janis@inbox.lv")</f>
        <v>legzdins.janis@inbox.lv</v>
      </c>
      <c r="C1116" s="15" t="str">
        <f ca="1">IFERROR(__xludf.DUMMYFUNCTION("""COMPUTED_VALUE"""),"+37126569795")</f>
        <v>+37126569795</v>
      </c>
      <c r="D1116" s="15" t="str">
        <f ca="1">IFERROR(__xludf.DUMMYFUNCTION("""COMPUTED_VALUE"""),"Латвия")</f>
        <v>Латвия</v>
      </c>
      <c r="E1116" s="14"/>
      <c r="F1116" s="8" t="str">
        <f ca="1">IFERROR(__xludf.DUMMYFUNCTION("""COMPUTED_VALUE"""),"- Онлайн курс Шаг к Пробуждению №15 29.1-8.02.22 Пакет стандартный")</f>
        <v>- Онлайн курс Шаг к Пробуждению №15 29.1-8.02.22 Пакет стандартный</v>
      </c>
      <c r="G1116" s="14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spans="1:26" ht="14.25">
      <c r="A1117" s="14" t="str">
        <f ca="1">IFERROR(__xludf.DUMMYFUNCTION("""COMPUTED_VALUE"""),"Лейла Исмаилова")</f>
        <v>Лейла Исмаилова</v>
      </c>
      <c r="B1117" s="14" t="str">
        <f ca="1">IFERROR(__xludf.DUMMYFUNCTION("""COMPUTED_VALUE"""),"leilaism69@gmail.com")</f>
        <v>leilaism69@gmail.com</v>
      </c>
      <c r="C1117" s="15"/>
      <c r="D1117" s="15" t="str">
        <f ca="1">IFERROR(__xludf.DUMMYFUNCTION("""COMPUTED_VALUE"""),"Швеция")</f>
        <v>Швеция</v>
      </c>
      <c r="E1117" s="14"/>
      <c r="F1117" s="8" t="str">
        <f ca="1">IFERROR(__xludf.DUMMYFUNCTION("""COMPUTED_VALUE"""),"- Тишина Челлендж (бесплатная часть)")</f>
        <v>- Тишина Челлендж (бесплатная часть)</v>
      </c>
      <c r="G1117" s="14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spans="1:26" ht="14.25">
      <c r="A1118" s="14" t="str">
        <f ca="1">IFERROR(__xludf.DUMMYFUNCTION("""COMPUTED_VALUE"""),"Елена Медных")</f>
        <v>Елена Медных</v>
      </c>
      <c r="B1118" s="14" t="str">
        <f ca="1">IFERROR(__xludf.DUMMYFUNCTION("""COMPUTED_VALUE"""),"Leka155@yandex.ru")</f>
        <v>Leka155@yandex.ru</v>
      </c>
      <c r="C1118" s="15" t="str">
        <f ca="1">IFERROR(__xludf.DUMMYFUNCTION("""COMPUTED_VALUE"""),"+79222682728")</f>
        <v>+79222682728</v>
      </c>
      <c r="D1118" s="15" t="str">
        <f ca="1">IFERROR(__xludf.DUMMYFUNCTION("""COMPUTED_VALUE"""),"Россия")</f>
        <v>Россия</v>
      </c>
      <c r="E1118" s="14"/>
      <c r="F1118" s="8" t="str">
        <f ca="1">IFERROR(__xludf.DUMMYFUNCTION("""COMPUTED_VALUE"""),"- Вебинар-батл Я уже все знаю! Мне не нужна Школа 9.01.2022")</f>
        <v>- Вебинар-батл Я уже все знаю! Мне не нужна Школа 9.01.2022</v>
      </c>
      <c r="G1118" s="14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spans="1:26" ht="25.5">
      <c r="A1119" s="14" t="str">
        <f ca="1">IFERROR(__xludf.DUMMYFUNCTION("""COMPUTED_VALUE"""),"Ольга Ким")</f>
        <v>Ольга Ким</v>
      </c>
      <c r="B1119" s="14" t="str">
        <f ca="1">IFERROR(__xludf.DUMMYFUNCTION("""COMPUTED_VALUE"""),"lelya_kim_1989@list.ru")</f>
        <v>lelya_kim_1989@list.ru</v>
      </c>
      <c r="C1119" s="15" t="str">
        <f ca="1">IFERROR(__xludf.DUMMYFUNCTION("""COMPUTED_VALUE"""),"+998914358588")</f>
        <v>+998914358588</v>
      </c>
      <c r="D1119" s="15"/>
      <c r="E1119" s="14"/>
      <c r="F111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119" s="14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spans="1:26" ht="14.25">
      <c r="A1120" s="14" t="str">
        <f ca="1">IFERROR(__xludf.DUMMYFUNCTION("""COMPUTED_VALUE"""),"Елена Гусарова")</f>
        <v>Елена Гусарова</v>
      </c>
      <c r="B1120" s="14" t="str">
        <f ca="1">IFERROR(__xludf.DUMMYFUNCTION("""COMPUTED_VALUE"""),"len.gusarowa2011@yandex.ru")</f>
        <v>len.gusarowa2011@yandex.ru</v>
      </c>
      <c r="C1120" s="15" t="str">
        <f ca="1">IFERROR(__xludf.DUMMYFUNCTION("""COMPUTED_VALUE"""),"+79995242893")</f>
        <v>+79995242893</v>
      </c>
      <c r="D1120" s="15" t="str">
        <f ca="1">IFERROR(__xludf.DUMMYFUNCTION("""COMPUTED_VALUE"""),"Россия")</f>
        <v>Россия</v>
      </c>
      <c r="E1120" s="14"/>
      <c r="F1120" s="8" t="str">
        <f ca="1">IFERROR(__xludf.DUMMYFUNCTION("""COMPUTED_VALUE"""),"- Погружение 2.0 ""Пакет Базовый"" 15.01 - 06.02.2022 (поток 3)")</f>
        <v>- Погружение 2.0 "Пакет Базовый" 15.01 - 06.02.2022 (поток 3)</v>
      </c>
      <c r="G1120" s="14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spans="1:26" ht="25.5">
      <c r="A1121" s="14" t="str">
        <f ca="1">IFERROR(__xludf.DUMMYFUNCTION("""COMPUTED_VALUE"""),"Елена Бельфер")</f>
        <v>Елена Бельфер</v>
      </c>
      <c r="B1121" s="14" t="str">
        <f ca="1">IFERROR(__xludf.DUMMYFUNCTION("""COMPUTED_VALUE"""),"lena_0408@mail.ru")</f>
        <v>lena_0408@mail.ru</v>
      </c>
      <c r="C1121" s="15" t="str">
        <f ca="1">IFERROR(__xludf.DUMMYFUNCTION("""COMPUTED_VALUE"""),"+77776906704")</f>
        <v>+77776906704</v>
      </c>
      <c r="D1121" s="15" t="str">
        <f ca="1">IFERROR(__xludf.DUMMYFUNCTION("""COMPUTED_VALUE"""),"казахстан")</f>
        <v>казахстан</v>
      </c>
      <c r="E1121" s="14"/>
      <c r="F112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121" s="14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spans="1:26" ht="38.25">
      <c r="A1122" s="14" t="str">
        <f ca="1">IFERROR(__xludf.DUMMYFUNCTION("""COMPUTED_VALUE"""),"Елена Малюгина")</f>
        <v>Елена Малюгина</v>
      </c>
      <c r="B1122" s="14" t="str">
        <f ca="1">IFERROR(__xludf.DUMMYFUNCTION("""COMPUTED_VALUE"""),"Lena_frank@bk.ru")</f>
        <v>Lena_frank@bk.ru</v>
      </c>
      <c r="C1122" s="15" t="str">
        <f ca="1">IFERROR(__xludf.DUMMYFUNCTION("""COMPUTED_VALUE"""),"+77772868913")</f>
        <v>+77772868913</v>
      </c>
      <c r="D1122" s="15" t="str">
        <f ca="1">IFERROR(__xludf.DUMMYFUNCTION("""COMPUTED_VALUE"""),"Казахстан")</f>
        <v>Казахстан</v>
      </c>
      <c r="E1122" s="14"/>
      <c r="F1122" s="8" t="str">
        <f ca="1">IFERROR(__xludf.DUMMYFUNCTION("""COMPUTED_VALUE"""),"- Марафон Тишины - Тишина челлендж: Урал, Казахстан, Узбекистан 25-29.04.2022
- Тишина Челлендж (бесплатная часть)")</f>
        <v>- Марафон Тишины - Тишина челлендж: Урал, Казахстан, Узбекистан 25-29.04.2022
- Тишина Челлендж (бесплатная часть)</v>
      </c>
      <c r="G1122" s="14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spans="1:26" ht="14.25">
      <c r="A1123" s="14" t="str">
        <f ca="1">IFERROR(__xludf.DUMMYFUNCTION("""COMPUTED_VALUE"""),"lena121169,  ")</f>
        <v xml:space="preserve">lena121169,  </v>
      </c>
      <c r="B1123" s="14" t="str">
        <f ca="1">IFERROR(__xludf.DUMMYFUNCTION("""COMPUTED_VALUE"""),"lena121169@gmail.com")</f>
        <v>lena121169@gmail.com</v>
      </c>
      <c r="C1123" s="15"/>
      <c r="D1123" s="15"/>
      <c r="E1123" s="14"/>
      <c r="F1123" s="8" t="str">
        <f ca="1">IFERROR(__xludf.DUMMYFUNCTION("""COMPUTED_VALUE"""),"- USA Челлендж Тишина")</f>
        <v>- USA Челлендж Тишина</v>
      </c>
      <c r="G1123" s="14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spans="1:26" ht="14.25">
      <c r="A1124" s="14" t="str">
        <f ca="1">IFERROR(__xludf.DUMMYFUNCTION("""COMPUTED_VALUE"""),"Elena Harke")</f>
        <v>Elena Harke</v>
      </c>
      <c r="B1124" s="14" t="str">
        <f ca="1">IFERROR(__xludf.DUMMYFUNCTION("""COMPUTED_VALUE"""),"lenaharke@gmx.de")</f>
        <v>lenaharke@gmx.de</v>
      </c>
      <c r="C1124" s="15" t="str">
        <f ca="1">IFERROR(__xludf.DUMMYFUNCTION("""COMPUTED_VALUE"""),"017621041945")</f>
        <v>017621041945</v>
      </c>
      <c r="D1124" s="15" t="str">
        <f ca="1">IFERROR(__xludf.DUMMYFUNCTION("""COMPUTED_VALUE"""),"Германия")</f>
        <v>Германия</v>
      </c>
      <c r="E1124" s="14"/>
      <c r="F1124" s="8" t="str">
        <f ca="1">IFERROR(__xludf.DUMMYFUNCTION("""COMPUTED_VALUE"""),"- Новогодний фестиваль 29.12.2021-1.01.2022 Бад Майнберг")</f>
        <v>- Новогодний фестиваль 29.12.2021-1.01.2022 Бад Майнберг</v>
      </c>
      <c r="G1124" s="14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spans="1:26" ht="14.25">
      <c r="A1125" s="14" t="str">
        <f ca="1">IFERROR(__xludf.DUMMYFUNCTION("""COMPUTED_VALUE"""),"Elena Cobb")</f>
        <v>Elena Cobb</v>
      </c>
      <c r="B1125" s="14" t="str">
        <f ca="1">IFERROR(__xludf.DUMMYFUNCTION("""COMPUTED_VALUE"""),"lenaress75@gmail.com")</f>
        <v>lenaress75@gmail.com</v>
      </c>
      <c r="C1125" s="15" t="str">
        <f ca="1">IFERROR(__xludf.DUMMYFUNCTION("""COMPUTED_VALUE"""),"2147299890")</f>
        <v>2147299890</v>
      </c>
      <c r="D1125" s="15" t="str">
        <f ca="1">IFERROR(__xludf.DUMMYFUNCTION("""COMPUTED_VALUE"""),"United States")</f>
        <v>United States</v>
      </c>
      <c r="E1125" s="14"/>
      <c r="F1125" s="8" t="str">
        <f ca="1">IFERROR(__xludf.DUMMYFUNCTION("""COMPUTED_VALUE"""),"- USA Челлендж Тишина")</f>
        <v>- USA Челлендж Тишина</v>
      </c>
      <c r="G1125" s="14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spans="1:26" ht="14.25">
      <c r="A1126" s="14" t="str">
        <f ca="1">IFERROR(__xludf.DUMMYFUNCTION("""COMPUTED_VALUE"""),"Елена Сафина")</f>
        <v>Елена Сафина</v>
      </c>
      <c r="B1126" s="14" t="str">
        <f ca="1">IFERROR(__xludf.DUMMYFUNCTION("""COMPUTED_VALUE"""),"lenasafina8101@gmail.com")</f>
        <v>lenasafina8101@gmail.com</v>
      </c>
      <c r="C1126" s="15" t="str">
        <f ca="1">IFERROR(__xludf.DUMMYFUNCTION("""COMPUTED_VALUE"""),"+79128180470")</f>
        <v>+79128180470</v>
      </c>
      <c r="D1126" s="15" t="str">
        <f ca="1">IFERROR(__xludf.DUMMYFUNCTION("""COMPUTED_VALUE"""),"Россия")</f>
        <v>Россия</v>
      </c>
      <c r="E1126" s="14"/>
      <c r="F1126" s="8" t="str">
        <f ca="1">IFERROR(__xludf.DUMMYFUNCTION("""COMPUTED_VALUE"""),"- Тишина Челлендж (бесплатная часть)")</f>
        <v>- Тишина Челлендж (бесплатная часть)</v>
      </c>
      <c r="G1126" s="14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spans="1:26" ht="14.25">
      <c r="A1127" s="14" t="str">
        <f ca="1">IFERROR(__xludf.DUMMYFUNCTION("""COMPUTED_VALUE"""),"lenchick72,  ")</f>
        <v xml:space="preserve">lenchick72,  </v>
      </c>
      <c r="B1127" s="14" t="str">
        <f ca="1">IFERROR(__xludf.DUMMYFUNCTION("""COMPUTED_VALUE"""),"lenchick72@gmail.com")</f>
        <v>lenchick72@gmail.com</v>
      </c>
      <c r="C1127" s="15"/>
      <c r="D1127" s="15"/>
      <c r="E1127" s="14"/>
      <c r="F1127" s="8" t="str">
        <f ca="1">IFERROR(__xludf.DUMMYFUNCTION("""COMPUTED_VALUE"""),"- USA Челлендж Тишина")</f>
        <v>- USA Челлендж Тишина</v>
      </c>
      <c r="G1127" s="14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spans="1:26" ht="14.25">
      <c r="A1128" s="14" t="str">
        <f ca="1">IFERROR(__xludf.DUMMYFUNCTION("""COMPUTED_VALUE"""),"Алена Зайцева")</f>
        <v>Алена Зайцева</v>
      </c>
      <c r="B1128" s="14" t="str">
        <f ca="1">IFERROR(__xludf.DUMMYFUNCTION("""COMPUTED_VALUE"""),"lenel.kis@yandex.ru")</f>
        <v>lenel.kis@yandex.ru</v>
      </c>
      <c r="C1128" s="15"/>
      <c r="D1128" s="15" t="str">
        <f ca="1">IFERROR(__xludf.DUMMYFUNCTION("""COMPUTED_VALUE"""),"Россия")</f>
        <v>Россия</v>
      </c>
      <c r="E1128" s="14"/>
      <c r="F1128" s="8" t="str">
        <f ca="1">IFERROR(__xludf.DUMMYFUNCTION("""COMPUTED_VALUE"""),"- Тишина Челлендж (бесплатная часть)")</f>
        <v>- Тишина Челлендж (бесплатная часть)</v>
      </c>
      <c r="G1128" s="14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spans="1:26" ht="14.25">
      <c r="A1129" s="14" t="str">
        <f ca="1">IFERROR(__xludf.DUMMYFUNCTION("""COMPUTED_VALUE"""),"Елена Королькова")</f>
        <v>Елена Королькова</v>
      </c>
      <c r="B1129" s="14" t="str">
        <f ca="1">IFERROR(__xludf.DUMMYFUNCTION("""COMPUTED_VALUE"""),"lenochka-2740@mail.ru")</f>
        <v>lenochka-2740@mail.ru</v>
      </c>
      <c r="C1129" s="15"/>
      <c r="D1129" s="15" t="str">
        <f ca="1">IFERROR(__xludf.DUMMYFUNCTION("""COMPUTED_VALUE"""),"Россия")</f>
        <v>Россия</v>
      </c>
      <c r="E1129" s="14"/>
      <c r="F1129" s="8" t="str">
        <f ca="1">IFERROR(__xludf.DUMMYFUNCTION("""COMPUTED_VALUE"""),"- Тишина Челлендж (бесплатная часть)")</f>
        <v>- Тишина Челлендж (бесплатная часть)</v>
      </c>
      <c r="G1129" s="14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spans="1:26" ht="14.25">
      <c r="A1130" s="14" t="str">
        <f ca="1">IFERROR(__xludf.DUMMYFUNCTION("""COMPUTED_VALUE"""),"Елена Ткач")</f>
        <v>Елена Ткач</v>
      </c>
      <c r="B1130" s="14" t="str">
        <f ca="1">IFERROR(__xludf.DUMMYFUNCTION("""COMPUTED_VALUE"""),"lenochka.tkach2285@gmail.com")</f>
        <v>lenochka.tkach2285@gmail.com</v>
      </c>
      <c r="C1130" s="15" t="str">
        <f ca="1">IFERROR(__xludf.DUMMYFUNCTION("""COMPUTED_VALUE"""),"+380983247077")</f>
        <v>+380983247077</v>
      </c>
      <c r="D1130" s="15" t="str">
        <f ca="1">IFERROR(__xludf.DUMMYFUNCTION("""COMPUTED_VALUE"""),"Сингапур")</f>
        <v>Сингапур</v>
      </c>
      <c r="E1130" s="14"/>
      <c r="F1130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1130" s="14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spans="1:26" ht="25.5">
      <c r="A1131" s="14" t="str">
        <f ca="1">IFERROR(__xludf.DUMMYFUNCTION("""COMPUTED_VALUE"""),"Елена Каширская")</f>
        <v>Елена Каширская</v>
      </c>
      <c r="B1131" s="14" t="str">
        <f ca="1">IFERROR(__xludf.DUMMYFUNCTION("""COMPUTED_VALUE"""),"lenochkalovd71@gmail.com")</f>
        <v>lenochkalovd71@gmail.com</v>
      </c>
      <c r="C1131" s="15" t="str">
        <f ca="1">IFERROR(__xludf.DUMMYFUNCTION("""COMPUTED_VALUE"""),"+79531197742")</f>
        <v>+79531197742</v>
      </c>
      <c r="D1131" s="15" t="str">
        <f ca="1">IFERROR(__xludf.DUMMYFUNCTION("""COMPUTED_VALUE"""),"Россия")</f>
        <v>Россия</v>
      </c>
      <c r="E1131" s="14"/>
      <c r="F1131" s="8" t="str">
        <f ca="1">IFERROR(__xludf.DUMMYFUNCTION("""COMPUTED_VALUE"""),"- Вебинар с Никитой Бородулиным 11.02.2022 часть1
- Вебинар все о ретрите 12.2.2022")</f>
        <v>- Вебинар с Никитой Бородулиным 11.02.2022 часть1
- Вебинар все о ретрите 12.2.2022</v>
      </c>
      <c r="G1131" s="14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spans="1:26" ht="14.25">
      <c r="A1132" s="14" t="str">
        <f ca="1">IFERROR(__xludf.DUMMYFUNCTION("""COMPUTED_VALUE"""),"leracoursera,  ")</f>
        <v xml:space="preserve">leracoursera,  </v>
      </c>
      <c r="B1132" s="14" t="str">
        <f ca="1">IFERROR(__xludf.DUMMYFUNCTION("""COMPUTED_VALUE"""),"leracoursera@gmail.com")</f>
        <v>leracoursera@gmail.com</v>
      </c>
      <c r="C1132" s="15"/>
      <c r="D1132" s="15" t="str">
        <f ca="1">IFERROR(__xludf.DUMMYFUNCTION("""COMPUTED_VALUE"""),"США")</f>
        <v>США</v>
      </c>
      <c r="E1132" s="14"/>
      <c r="F1132" s="8" t="str">
        <f ca="1">IFERROR(__xludf.DUMMYFUNCTION("""COMPUTED_VALUE"""),"- USA Челлендж Тишина")</f>
        <v>- USA Челлендж Тишина</v>
      </c>
      <c r="G1132" s="14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spans="1:26" ht="14.25">
      <c r="A1133" s="14" t="str">
        <f ca="1">IFERROR(__xludf.DUMMYFUNCTION("""COMPUTED_VALUE"""),"Валерон Кусь")</f>
        <v>Валерон Кусь</v>
      </c>
      <c r="B1133" s="14" t="str">
        <f ca="1">IFERROR(__xludf.DUMMYFUNCTION("""COMPUTED_VALUE"""),"leros.gus@bk.ru")</f>
        <v>leros.gus@bk.ru</v>
      </c>
      <c r="C1133" s="15" t="str">
        <f ca="1">IFERROR(__xludf.DUMMYFUNCTION("""COMPUTED_VALUE"""),"6463631846")</f>
        <v>6463631846</v>
      </c>
      <c r="D1133" s="15" t="str">
        <f ca="1">IFERROR(__xludf.DUMMYFUNCTION("""COMPUTED_VALUE"""),"United States")</f>
        <v>United States</v>
      </c>
      <c r="E1133" s="14"/>
      <c r="F1133" s="8" t="str">
        <f ca="1">IFERROR(__xludf.DUMMYFUNCTION("""COMPUTED_VALUE"""),"- USA Челлендж Тишина")</f>
        <v>- USA Челлендж Тишина</v>
      </c>
      <c r="G1133" s="14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spans="1:26" ht="14.25">
      <c r="A1134" s="14" t="str">
        <f ca="1">IFERROR(__xludf.DUMMYFUNCTION("""COMPUTED_VALUE"""),"Жанна Астана")</f>
        <v>Жанна Астана</v>
      </c>
      <c r="B1134" s="14" t="str">
        <f ca="1">IFERROR(__xludf.DUMMYFUNCTION("""COMPUTED_VALUE"""),"lesnaya.reklama.13@mail.ru")</f>
        <v>lesnaya.reklama.13@mail.ru</v>
      </c>
      <c r="C1134" s="15" t="str">
        <f ca="1">IFERROR(__xludf.DUMMYFUNCTION("""COMPUTED_VALUE"""),", 87028218223")</f>
        <v>, 87028218223</v>
      </c>
      <c r="D1134" s="15"/>
      <c r="E1134" s="14"/>
      <c r="F1134" s="8" t="str">
        <f ca="1">IFERROR(__xludf.DUMMYFUNCTION("""COMPUTED_VALUE"""),"Мероприятий не обнаружено")</f>
        <v>Мероприятий не обнаружено</v>
      </c>
      <c r="G1134" s="14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spans="1:26" ht="14.25">
      <c r="A1135" s="14" t="str">
        <f ca="1">IFERROR(__xludf.DUMMYFUNCTION("""COMPUTED_VALUE"""),"Leila Letin")</f>
        <v>Leila Letin</v>
      </c>
      <c r="B1135" s="14" t="str">
        <f ca="1">IFERROR(__xludf.DUMMYFUNCTION("""COMPUTED_VALUE"""),"Letinleila@gmail.com")</f>
        <v>Letinleila@gmail.com</v>
      </c>
      <c r="C1135" s="15" t="str">
        <f ca="1">IFERROR(__xludf.DUMMYFUNCTION("""COMPUTED_VALUE"""),"+4915788281999")</f>
        <v>+4915788281999</v>
      </c>
      <c r="D1135" s="15" t="str">
        <f ca="1">IFERROR(__xludf.DUMMYFUNCTION("""COMPUTED_VALUE"""),"Германия")</f>
        <v>Германия</v>
      </c>
      <c r="E1135" s="14"/>
      <c r="F1135" s="8" t="str">
        <f ca="1">IFERROR(__xludf.DUMMYFUNCTION("""COMPUTED_VALUE"""),"- Ретрит в Германии 30 апреля-7 мая 2022")</f>
        <v>- Ретрит в Германии 30 апреля-7 мая 2022</v>
      </c>
      <c r="G1135" s="14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spans="1:26" ht="14.25">
      <c r="A1136" s="14" t="str">
        <f ca="1">IFERROR(__xludf.DUMMYFUNCTION("""COMPUTED_VALUE"""),"Лев Соколов")</f>
        <v>Лев Соколов</v>
      </c>
      <c r="B1136" s="14" t="str">
        <f ca="1">IFERROR(__xludf.DUMMYFUNCTION("""COMPUTED_VALUE"""),"lev1t@yandex.ru")</f>
        <v>lev1t@yandex.ru</v>
      </c>
      <c r="C1136" s="15" t="str">
        <f ca="1">IFERROR(__xludf.DUMMYFUNCTION("""COMPUTED_VALUE"""),"+79090060846")</f>
        <v>+79090060846</v>
      </c>
      <c r="D1136" s="15" t="str">
        <f ca="1">IFERROR(__xludf.DUMMYFUNCTION("""COMPUTED_VALUE"""),"Россия")</f>
        <v>Россия</v>
      </c>
      <c r="E1136" s="14"/>
      <c r="F1136" s="8" t="str">
        <f ca="1">IFERROR(__xludf.DUMMYFUNCTION("""COMPUTED_VALUE"""),"- Ретрит в РЦ Сочи май 2022  (Оплата с 18 до 29 апреля)")</f>
        <v>- Ретрит в РЦ Сочи май 2022  (Оплата с 18 до 29 апреля)</v>
      </c>
      <c r="G1136" s="14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spans="1:26" ht="25.5">
      <c r="A1137" s="14" t="str">
        <f ca="1">IFERROR(__xludf.DUMMYFUNCTION("""COMPUTED_VALUE"""),"Sunnatulla Ganiyev")</f>
        <v>Sunnatulla Ganiyev</v>
      </c>
      <c r="B1137" s="14" t="str">
        <f ca="1">IFERROR(__xludf.DUMMYFUNCTION("""COMPUTED_VALUE"""),"levangaga69@gmail.com")</f>
        <v>levangaga69@gmail.com</v>
      </c>
      <c r="C1137" s="15" t="str">
        <f ca="1">IFERROR(__xludf.DUMMYFUNCTION("""COMPUTED_VALUE"""),"+998935437545")</f>
        <v>+998935437545</v>
      </c>
      <c r="D1137" s="15"/>
      <c r="E1137" s="14"/>
      <c r="F113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137" s="14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spans="1:26" ht="38.25">
      <c r="A1138" s="14" t="str">
        <f ca="1">IFERROR(__xludf.DUMMYFUNCTION("""COMPUTED_VALUE"""),"Levan Arsenishvili")</f>
        <v>Levan Arsenishvili</v>
      </c>
      <c r="B1138" s="14" t="str">
        <f ca="1">IFERROR(__xludf.DUMMYFUNCTION("""COMPUTED_VALUE"""),"Levani.arsenishvili@gmail.com")</f>
        <v>Levani.arsenishvili@gmail.com</v>
      </c>
      <c r="C1138" s="15" t="str">
        <f ca="1">IFERROR(__xludf.DUMMYFUNCTION("""COMPUTED_VALUE"""),"+995571230032")</f>
        <v>+995571230032</v>
      </c>
      <c r="D1138" s="15" t="str">
        <f ca="1">IFERROR(__xludf.DUMMYFUNCTION("""COMPUTED_VALUE"""),"Georgia")</f>
        <v>Georgia</v>
      </c>
      <c r="E1138" s="14"/>
      <c r="F1138" s="8" t="str">
        <f ca="1">IFERROR(__xludf.DUMMYFUNCTION("""COMPUTED_VALUE"""),"- Онлайн курс Шаг к Пробуждению №15 29.1-8.02.22 Пакет стандартный
- Вебинар все о ретрите 12.2.2022")</f>
        <v>- Онлайн курс Шаг к Пробуждению №15 29.1-8.02.22 Пакет стандартный
- Вебинар все о ретрите 12.2.2022</v>
      </c>
      <c r="G1138" s="14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spans="1:26" ht="14.25">
      <c r="A1139" s="14" t="str">
        <f ca="1">IFERROR(__xludf.DUMMYFUNCTION("""COMPUTED_VALUE"""),"levina.test.olga.sg,  ")</f>
        <v xml:space="preserve">levina.test.olga.sg,  </v>
      </c>
      <c r="B1139" s="14" t="str">
        <f ca="1">IFERROR(__xludf.DUMMYFUNCTION("""COMPUTED_VALUE"""),"levina.test.olga.sg@mail.ru")</f>
        <v>levina.test.olga.sg@mail.ru</v>
      </c>
      <c r="C1139" s="15"/>
      <c r="D1139" s="15"/>
      <c r="E1139" s="14"/>
      <c r="F1139" s="8" t="str">
        <f ca="1">IFERROR(__xludf.DUMMYFUNCTION("""COMPUTED_VALUE"""),"- USA Челлендж Тишина")</f>
        <v>- USA Челлендж Тишина</v>
      </c>
      <c r="G1139" s="14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spans="1:26" ht="14.25">
      <c r="A1140" s="14" t="str">
        <f ca="1">IFERROR(__xludf.DUMMYFUNCTION("""COMPUTED_VALUE"""),"Лейла Аслан")</f>
        <v>Лейла Аслан</v>
      </c>
      <c r="B1140" s="14" t="str">
        <f ca="1">IFERROR(__xludf.DUMMYFUNCTION("""COMPUTED_VALUE"""),"Leylaaslanova78@yandeh.ru")</f>
        <v>Leylaaslanova78@yandeh.ru</v>
      </c>
      <c r="C1140" s="15" t="str">
        <f ca="1">IFERROR(__xludf.DUMMYFUNCTION("""COMPUTED_VALUE"""),", 998330543717")</f>
        <v>, 998330543717</v>
      </c>
      <c r="D1140" s="15"/>
      <c r="E1140" s="14"/>
      <c r="F1140" s="8" t="str">
        <f ca="1">IFERROR(__xludf.DUMMYFUNCTION("""COMPUTED_VALUE"""),"Мероприятий не обнаружено")</f>
        <v>Мероприятий не обнаружено</v>
      </c>
      <c r="G1140" s="14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spans="1:26" ht="25.5">
      <c r="A1141" s="14" t="str">
        <f ca="1">IFERROR(__xludf.DUMMYFUNCTION("""COMPUTED_VALUE"""),"Дарья Тен")</f>
        <v>Дарья Тен</v>
      </c>
      <c r="B1141" s="14" t="str">
        <f ca="1">IFERROR(__xludf.DUMMYFUNCTION("""COMPUTED_VALUE"""),"Lfif_nty@mail.ru")</f>
        <v>Lfif_nty@mail.ru</v>
      </c>
      <c r="C1141" s="15" t="str">
        <f ca="1">IFERROR(__xludf.DUMMYFUNCTION("""COMPUTED_VALUE"""),"87784091163")</f>
        <v>87784091163</v>
      </c>
      <c r="D1141" s="15" t="str">
        <f ca="1">IFERROR(__xludf.DUMMYFUNCTION("""COMPUTED_VALUE"""),"Казахстан ")</f>
        <v xml:space="preserve">Казахстан </v>
      </c>
      <c r="E1141" s="14"/>
      <c r="F114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141" s="14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spans="1:26" ht="25.5">
      <c r="A1142" s="14" t="str">
        <f ca="1">IFERROR(__xludf.DUMMYFUNCTION("""COMPUTED_VALUE"""),"Olga Trigubovich")</f>
        <v>Olga Trigubovich</v>
      </c>
      <c r="B1142" s="14" t="str">
        <f ca="1">IFERROR(__xludf.DUMMYFUNCTION("""COMPUTED_VALUE"""),"lia.trioll@gmail.com")</f>
        <v>lia.trioll@gmail.com</v>
      </c>
      <c r="C1142" s="15" t="str">
        <f ca="1">IFERROR(__xludf.DUMMYFUNCTION("""COMPUTED_VALUE"""),"+375445835179")</f>
        <v>+375445835179</v>
      </c>
      <c r="D1142" s="15" t="str">
        <f ca="1">IFERROR(__xludf.DUMMYFUNCTION("""COMPUTED_VALUE"""),"Беларусь")</f>
        <v>Беларусь</v>
      </c>
      <c r="E1142" s="14"/>
      <c r="F1142" s="8" t="str">
        <f ca="1">IFERROR(__xludf.DUMMYFUNCTION("""COMPUTED_VALUE"""),"- Чайная встреча в Минске 8.1.22
- Чайная встреча в Минске")</f>
        <v>- Чайная встреча в Минске 8.1.22
- Чайная встреча в Минске</v>
      </c>
      <c r="G1142" s="14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spans="1:26" ht="25.5">
      <c r="A1143" s="14" t="str">
        <f ca="1">IFERROR(__xludf.DUMMYFUNCTION("""COMPUTED_VALUE"""),"Лаззат Набиева")</f>
        <v>Лаззат Набиева</v>
      </c>
      <c r="B1143" s="14" t="str">
        <f ca="1">IFERROR(__xludf.DUMMYFUNCTION("""COMPUTED_VALUE"""),"Liazzat525@mail.ru")</f>
        <v>Liazzat525@mail.ru</v>
      </c>
      <c r="C1143" s="15" t="str">
        <f ca="1">IFERROR(__xludf.DUMMYFUNCTION("""COMPUTED_VALUE"""),"87779208901")</f>
        <v>87779208901</v>
      </c>
      <c r="D1143" s="15"/>
      <c r="E1143" s="14"/>
      <c r="F114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143" s="14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spans="1:26" ht="14.25">
      <c r="A1144" s="14" t="str">
        <f ca="1">IFERROR(__xludf.DUMMYFUNCTION("""COMPUTED_VALUE"""),"Юлия Литвиненко")</f>
        <v>Юлия Литвиненко</v>
      </c>
      <c r="B1144" s="14" t="str">
        <f ca="1">IFERROR(__xludf.DUMMYFUNCTION("""COMPUTED_VALUE"""),"Lici4ka90@mail.ru")</f>
        <v>Lici4ka90@mail.ru</v>
      </c>
      <c r="C1144" s="15" t="str">
        <f ca="1">IFERROR(__xludf.DUMMYFUNCTION("""COMPUTED_VALUE"""),"79031736699")</f>
        <v>79031736699</v>
      </c>
      <c r="D1144" s="15" t="str">
        <f ca="1">IFERROR(__xludf.DUMMYFUNCTION("""COMPUTED_VALUE"""),"Россия")</f>
        <v>Россия</v>
      </c>
      <c r="E1144" s="14"/>
      <c r="F1144" s="8" t="str">
        <f ca="1">IFERROR(__xludf.DUMMYFUNCTION("""COMPUTED_VALUE"""),"- Ретрит в РЦ Сочи 19-27 марта 2022 (Оплата до 6 марта)")</f>
        <v>- Ретрит в РЦ Сочи 19-27 марта 2022 (Оплата до 6 марта)</v>
      </c>
      <c r="G1144" s="14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spans="1:26" ht="14.25">
      <c r="A1145" s="14" t="str">
        <f ca="1">IFERROR(__xludf.DUMMYFUNCTION("""COMPUTED_VALUE"""),"Валентина Валентина Пулло, ")</f>
        <v xml:space="preserve">Валентина Валентина Пулло, </v>
      </c>
      <c r="B1145" s="14" t="str">
        <f ca="1">IFERROR(__xludf.DUMMYFUNCTION("""COMPUTED_VALUE"""),"lifeinreal.ru@gmail.com")</f>
        <v>lifeinreal.ru@gmail.com</v>
      </c>
      <c r="C1145" s="15" t="str">
        <f ca="1">IFERROR(__xludf.DUMMYFUNCTION("""COMPUTED_VALUE"""),"+79265599910, ")</f>
        <v xml:space="preserve">+79265599910, </v>
      </c>
      <c r="D1145" s="15"/>
      <c r="E1145" s="14"/>
      <c r="F1145" s="8" t="str">
        <f ca="1">IFERROR(__xludf.DUMMYFUNCTION("""COMPUTED_VALUE"""),"- Заявка на звонок для курса ""Парадентальная медитация""")</f>
        <v>- Заявка на звонок для курса "Парадентальная медитация"</v>
      </c>
      <c r="G1145" s="14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spans="1:26" ht="25.5">
      <c r="A1146" s="14" t="str">
        <f ca="1">IFERROR(__xludf.DUMMYFUNCTION("""COMPUTED_VALUE"""),"Liga Krastina-Damianaki")</f>
        <v>Liga Krastina-Damianaki</v>
      </c>
      <c r="B1146" s="14" t="str">
        <f ca="1">IFERROR(__xludf.DUMMYFUNCTION("""COMPUTED_VALUE"""),"ligakrasti@hotmail.com")</f>
        <v>ligakrasti@hotmail.com</v>
      </c>
      <c r="C1146" s="15" t="str">
        <f ca="1">IFERROR(__xludf.DUMMYFUNCTION("""COMPUTED_VALUE"""),"00352691230674")</f>
        <v>00352691230674</v>
      </c>
      <c r="D1146" s="15" t="str">
        <f ca="1">IFERROR(__xludf.DUMMYFUNCTION("""COMPUTED_VALUE"""),"Германия")</f>
        <v>Германия</v>
      </c>
      <c r="E1146" s="14"/>
      <c r="F1146" s="8" t="str">
        <f ca="1">IFERROR(__xludf.DUMMYFUNCTION("""COMPUTED_VALUE"""),"- Шаг к Пробуждению №5 на латышском Латвия LV 11-18 декабря 2021 года ")</f>
        <v xml:space="preserve">- Шаг к Пробуждению №5 на латышском Латвия LV 11-18 декабря 2021 года </v>
      </c>
      <c r="G1146" s="14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spans="1:26" ht="14.25">
      <c r="A1147" s="14" t="str">
        <f ca="1">IFERROR(__xludf.DUMMYFUNCTION("""COMPUTED_VALUE"""),"likenbome,  ")</f>
        <v xml:space="preserve">likenbome,  </v>
      </c>
      <c r="B1147" s="14" t="str">
        <f ca="1">IFERROR(__xludf.DUMMYFUNCTION("""COMPUTED_VALUE"""),"likenbome@gmail.com")</f>
        <v>likenbome@gmail.com</v>
      </c>
      <c r="C1147" s="15"/>
      <c r="D1147" s="15" t="str">
        <f ca="1">IFERROR(__xludf.DUMMYFUNCTION("""COMPUTED_VALUE"""),"Россия")</f>
        <v>Россия</v>
      </c>
      <c r="E1147" s="14"/>
      <c r="F1147" s="8" t="str">
        <f ca="1">IFERROR(__xludf.DUMMYFUNCTION("""COMPUTED_VALUE"""),"- Базовая бесплатная часть")</f>
        <v>- Базовая бесплатная часть</v>
      </c>
      <c r="G1147" s="14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spans="1:26" ht="14.25">
      <c r="A1148" s="14" t="str">
        <f ca="1">IFERROR(__xludf.DUMMYFUNCTION("""COMPUTED_VALUE"""),"Лилия Сабирова")</f>
        <v>Лилия Сабирова</v>
      </c>
      <c r="B1148" s="14" t="str">
        <f ca="1">IFERROR(__xludf.DUMMYFUNCTION("""COMPUTED_VALUE"""),"liliya_sabirova_76@mail.ru")</f>
        <v>liliya_sabirova_76@mail.ru</v>
      </c>
      <c r="C1148" s="15" t="str">
        <f ca="1">IFERROR(__xludf.DUMMYFUNCTION("""COMPUTED_VALUE"""),"79393392480")</f>
        <v>79393392480</v>
      </c>
      <c r="D1148" s="15" t="str">
        <f ca="1">IFERROR(__xludf.DUMMYFUNCTION("""COMPUTED_VALUE"""),"Россия")</f>
        <v>Россия</v>
      </c>
      <c r="E1148" s="14"/>
      <c r="F1148" s="8" t="str">
        <f ca="1">IFERROR(__xludf.DUMMYFUNCTION("""COMPUTED_VALUE"""),"- Вебинар все о ретрите 12.2.2022")</f>
        <v>- Вебинар все о ретрите 12.2.2022</v>
      </c>
      <c r="G1148" s="14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spans="1:26" ht="25.5">
      <c r="A1149" s="14" t="str">
        <f ca="1">IFERROR(__xludf.DUMMYFUNCTION("""COMPUTED_VALUE"""),"Лилия Хамзина")</f>
        <v>Лилия Хамзина</v>
      </c>
      <c r="B1149" s="14" t="str">
        <f ca="1">IFERROR(__xludf.DUMMYFUNCTION("""COMPUTED_VALUE"""),"Liliya-khamzina@yandex.ru")</f>
        <v>Liliya-khamzina@yandex.ru</v>
      </c>
      <c r="C1149" s="15" t="str">
        <f ca="1">IFERROR(__xludf.DUMMYFUNCTION("""COMPUTED_VALUE"""),"79068487878")</f>
        <v>79068487878</v>
      </c>
      <c r="D1149" s="15" t="str">
        <f ca="1">IFERROR(__xludf.DUMMYFUNCTION("""COMPUTED_VALUE"""),"Россия")</f>
        <v>Россия</v>
      </c>
      <c r="E1149" s="14"/>
      <c r="F114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149" s="14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spans="1:26" ht="14.25">
      <c r="A1150" s="14" t="str">
        <f ca="1">IFERROR(__xludf.DUMMYFUNCTION("""COMPUTED_VALUE"""),"Лилия Гринь")</f>
        <v>Лилия Гринь</v>
      </c>
      <c r="B1150" s="14" t="str">
        <f ca="1">IFERROR(__xludf.DUMMYFUNCTION("""COMPUTED_VALUE"""),"Liliya.hryn@gmail.com")</f>
        <v>Liliya.hryn@gmail.com</v>
      </c>
      <c r="C1150" s="15" t="str">
        <f ca="1">IFERROR(__xludf.DUMMYFUNCTION("""COMPUTED_VALUE"""),"+375293297726")</f>
        <v>+375293297726</v>
      </c>
      <c r="D1150" s="15" t="str">
        <f ca="1">IFERROR(__xludf.DUMMYFUNCTION("""COMPUTED_VALUE"""),"Беларусь")</f>
        <v>Беларусь</v>
      </c>
      <c r="E1150" s="14"/>
      <c r="F1150" s="8" t="str">
        <f ca="1">IFERROR(__xludf.DUMMYFUNCTION("""COMPUTED_VALUE"""),"- Чайная встреча Разговор по душам Минск 9.04.2022")</f>
        <v>- Чайная встреча Разговор по душам Минск 9.04.2022</v>
      </c>
      <c r="G1150" s="14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spans="1:26" ht="14.25">
      <c r="A1151" s="14" t="str">
        <f ca="1">IFERROR(__xludf.DUMMYFUNCTION("""COMPUTED_VALUE"""),"Liliya Rebkavets")</f>
        <v>Liliya Rebkavets</v>
      </c>
      <c r="B1151" s="14" t="str">
        <f ca="1">IFERROR(__xludf.DUMMYFUNCTION("""COMPUTED_VALUE"""),"liliya66@totmail.com")</f>
        <v>liliya66@totmail.com</v>
      </c>
      <c r="C1151" s="15" t="str">
        <f ca="1">IFERROR(__xludf.DUMMYFUNCTION("""COMPUTED_VALUE"""),", +32460951534")</f>
        <v>, +32460951534</v>
      </c>
      <c r="D1151" s="15" t="str">
        <f ca="1">IFERROR(__xludf.DUMMYFUNCTION("""COMPUTED_VALUE"""),"Бельгия")</f>
        <v>Бельгия</v>
      </c>
      <c r="E1151" s="14" t="str">
        <f ca="1">IFERROR(__xludf.DUMMYFUNCTION("""COMPUTED_VALUE"""),"@liliyarebkavets2")</f>
        <v>@liliyarebkavets2</v>
      </c>
      <c r="F1151" s="8" t="str">
        <f ca="1">IFERROR(__xludf.DUMMYFUNCTION("""COMPUTED_VALUE"""),"Мероприятий не обнаружено")</f>
        <v>Мероприятий не обнаружено</v>
      </c>
      <c r="G1151" s="14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spans="1:26" ht="14.25">
      <c r="A1152" s="14" t="str">
        <f ca="1">IFERROR(__xludf.DUMMYFUNCTION("""COMPUTED_VALUE"""),"lina06052001,  ")</f>
        <v xml:space="preserve">lina06052001,  </v>
      </c>
      <c r="B1152" s="14" t="str">
        <f ca="1">IFERROR(__xludf.DUMMYFUNCTION("""COMPUTED_VALUE"""),"lina06052001@inbox.ru")</f>
        <v>lina06052001@inbox.ru</v>
      </c>
      <c r="C1152" s="15"/>
      <c r="D1152" s="15" t="str">
        <f ca="1">IFERROR(__xludf.DUMMYFUNCTION("""COMPUTED_VALUE"""),"Украина")</f>
        <v>Украина</v>
      </c>
      <c r="E1152" s="14"/>
      <c r="F1152" s="8" t="str">
        <f ca="1">IFERROR(__xludf.DUMMYFUNCTION("""COMPUTED_VALUE"""),"- Базовая бесплатная часть")</f>
        <v>- Базовая бесплатная часть</v>
      </c>
      <c r="G1152" s="14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spans="1:26" ht="14.25">
      <c r="A1153" s="14" t="str">
        <f ca="1">IFERROR(__xludf.DUMMYFUNCTION("""COMPUTED_VALUE"""),"Ангелина Врублевская")</f>
        <v>Ангелина Врублевская</v>
      </c>
      <c r="B1153" s="14" t="str">
        <f ca="1">IFERROR(__xludf.DUMMYFUNCTION("""COMPUTED_VALUE"""),"lina19982010@mail.ru")</f>
        <v>lina19982010@mail.ru</v>
      </c>
      <c r="C1153" s="15" t="str">
        <f ca="1">IFERROR(__xludf.DUMMYFUNCTION("""COMPUTED_VALUE"""),"+375257380611")</f>
        <v>+375257380611</v>
      </c>
      <c r="D1153" s="15" t="str">
        <f ca="1">IFERROR(__xludf.DUMMYFUNCTION("""COMPUTED_VALUE"""),"Беларусь")</f>
        <v>Беларусь</v>
      </c>
      <c r="E1153" s="14"/>
      <c r="F1153" s="8" t="str">
        <f ca="1">IFERROR(__xludf.DUMMYFUNCTION("""COMPUTED_VALUE"""),"- Чайная встреча Разговор по душам Минск 12.03.2022")</f>
        <v>- Чайная встреча Разговор по душам Минск 12.03.2022</v>
      </c>
      <c r="G1153" s="14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spans="1:26" ht="14.25">
      <c r="A1154" s="14" t="str">
        <f ca="1">IFERROR(__xludf.DUMMYFUNCTION("""COMPUTED_VALUE"""),"Лина Науменко")</f>
        <v>Лина Науменко</v>
      </c>
      <c r="B1154" s="14" t="str">
        <f ca="1">IFERROR(__xludf.DUMMYFUNCTION("""COMPUTED_VALUE"""),"linahohlina@icloud.com")</f>
        <v>linahohlina@icloud.com</v>
      </c>
      <c r="C1154" s="15" t="str">
        <f ca="1">IFERROR(__xludf.DUMMYFUNCTION("""COMPUTED_VALUE"""),"+375336258590")</f>
        <v>+375336258590</v>
      </c>
      <c r="D1154" s="15" t="str">
        <f ca="1">IFERROR(__xludf.DUMMYFUNCTION("""COMPUTED_VALUE"""),"Грузия")</f>
        <v>Грузия</v>
      </c>
      <c r="E1154" s="14"/>
      <c r="F1154" s="8" t="str">
        <f ca="1">IFERROR(__xludf.DUMMYFUNCTION("""COMPUTED_VALUE"""),"- Живая ""Практика Тишины"" Минск (регулярные занятия)")</f>
        <v>- Живая "Практика Тишины" Минск (регулярные занятия)</v>
      </c>
      <c r="G1154" s="14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spans="1:26" ht="25.5">
      <c r="A1155" s="14" t="str">
        <f ca="1">IFERROR(__xludf.DUMMYFUNCTION("""COMPUTED_VALUE"""),"Лина Ибрагимова")</f>
        <v>Лина Ибрагимова</v>
      </c>
      <c r="B1155" s="14" t="str">
        <f ca="1">IFERROR(__xludf.DUMMYFUNCTION("""COMPUTED_VALUE"""),"linayu1221@gmail.com")</f>
        <v>linayu1221@gmail.com</v>
      </c>
      <c r="C1155" s="15" t="str">
        <f ca="1">IFERROR(__xludf.DUMMYFUNCTION("""COMPUTED_VALUE"""),"8909703280")</f>
        <v>8909703280</v>
      </c>
      <c r="D1155" s="15" t="str">
        <f ca="1">IFERROR(__xludf.DUMMYFUNCTION("""COMPUTED_VALUE"""),"Узбекистан")</f>
        <v>Узбекистан</v>
      </c>
      <c r="E1155" s="14"/>
      <c r="F115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155" s="14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spans="1:26" ht="14.25">
      <c r="A1156" s="14" t="str">
        <f ca="1">IFERROR(__xludf.DUMMYFUNCTION("""COMPUTED_VALUE"""),"Анна Миронова")</f>
        <v>Анна Миронова</v>
      </c>
      <c r="B1156" s="14" t="str">
        <f ca="1">IFERROR(__xludf.DUMMYFUNCTION("""COMPUTED_VALUE"""),"Linelive92@mail.ru")</f>
        <v>Linelive92@mail.ru</v>
      </c>
      <c r="C1156" s="15"/>
      <c r="D1156" s="15" t="str">
        <f ca="1">IFERROR(__xludf.DUMMYFUNCTION("""COMPUTED_VALUE"""),"Финляндия")</f>
        <v>Финляндия</v>
      </c>
      <c r="E1156" s="14"/>
      <c r="F1156" s="8" t="str">
        <f ca="1">IFERROR(__xludf.DUMMYFUNCTION("""COMPUTED_VALUE"""),"- Тишина Челлендж (бесплатная часть)")</f>
        <v>- Тишина Челлендж (бесплатная часть)</v>
      </c>
      <c r="G1156" s="14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spans="1:26" ht="25.5">
      <c r="A1157" s="14" t="str">
        <f ca="1">IFERROR(__xludf.DUMMYFUNCTION("""COMPUTED_VALUE"""),"Line Toft, Line Toft ")</f>
        <v xml:space="preserve">Line Toft, Line Toft </v>
      </c>
      <c r="B1157" s="14" t="str">
        <f ca="1">IFERROR(__xludf.DUMMYFUNCTION("""COMPUTED_VALUE"""),"Linetj18@gmail.com")</f>
        <v>Linetj18@gmail.com</v>
      </c>
      <c r="C1157" s="15"/>
      <c r="D1157" s="15"/>
      <c r="E1157" s="14"/>
      <c r="F1157" s="8" t="str">
        <f ca="1">IFERROR(__xludf.DUMMYFUNCTION("""COMPUTED_VALUE"""),"- КОНСПЕКТИРОВАНИЕ лекций ГЕНАДИЯ - December ""21
- КОНСПЕКТИРОВАНИЕ лекций ГЕНАДИЯ - January""22")</f>
        <v>- КОНСПЕКТИРОВАНИЕ лекций ГЕНАДИЯ - December "21
- КОНСПЕКТИРОВАНИЕ лекций ГЕНАДИЯ - January"22</v>
      </c>
      <c r="G1157" s="14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spans="1:26" ht="14.25">
      <c r="A1158" s="14" t="str">
        <f ca="1">IFERROR(__xludf.DUMMYFUNCTION("""COMPUTED_VALUE"""),"lino4ka33,  ")</f>
        <v xml:space="preserve">lino4ka33,  </v>
      </c>
      <c r="B1158" s="14" t="str">
        <f ca="1">IFERROR(__xludf.DUMMYFUNCTION("""COMPUTED_VALUE"""),"lino4ka33@yahoo.com")</f>
        <v>lino4ka33@yahoo.com</v>
      </c>
      <c r="C1158" s="15"/>
      <c r="D1158" s="15"/>
      <c r="E1158" s="14"/>
      <c r="F1158" s="8" t="str">
        <f ca="1">IFERROR(__xludf.DUMMYFUNCTION("""COMPUTED_VALUE"""),"- USA Челлендж Тишина")</f>
        <v>- USA Челлендж Тишина</v>
      </c>
      <c r="G1158" s="14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spans="1:26" ht="14.25">
      <c r="A1159" s="14" t="str">
        <f ca="1">IFERROR(__xludf.DUMMYFUNCTION("""COMPUTED_VALUE"""),"Татьяна Лисенкова")</f>
        <v>Татьяна Лисенкова</v>
      </c>
      <c r="B1159" s="14" t="str">
        <f ca="1">IFERROR(__xludf.DUMMYFUNCTION("""COMPUTED_VALUE"""),"lisenkovatatyana@mail.ru")</f>
        <v>lisenkovatatyana@mail.ru</v>
      </c>
      <c r="C1159" s="15" t="str">
        <f ca="1">IFERROR(__xludf.DUMMYFUNCTION("""COMPUTED_VALUE"""),", 79137406304")</f>
        <v>, 79137406304</v>
      </c>
      <c r="D1159" s="15" t="str">
        <f ca="1">IFERROR(__xludf.DUMMYFUNCTION("""COMPUTED_VALUE"""),"США")</f>
        <v>США</v>
      </c>
      <c r="E1159" s="14"/>
      <c r="F1159" s="8" t="str">
        <f ca="1">IFERROR(__xludf.DUMMYFUNCTION("""COMPUTED_VALUE"""),"Мероприятий не обнаружено")</f>
        <v>Мероприятий не обнаружено</v>
      </c>
      <c r="G1159" s="14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spans="1:26" ht="14.25">
      <c r="A1160" s="14" t="str">
        <f ca="1">IFERROR(__xludf.DUMMYFUNCTION("""COMPUTED_VALUE"""),"Грошева,  Грошева")</f>
        <v>Грошева,  Грошева</v>
      </c>
      <c r="B1160" s="14" t="str">
        <f ca="1">IFERROR(__xludf.DUMMYFUNCTION("""COMPUTED_VALUE"""),"lisenok.1982@mail.ru")</f>
        <v>lisenok.1982@mail.ru</v>
      </c>
      <c r="C1160" s="15" t="str">
        <f ca="1">IFERROR(__xludf.DUMMYFUNCTION("""COMPUTED_VALUE"""),"+79054563468")</f>
        <v>+79054563468</v>
      </c>
      <c r="D1160" s="15"/>
      <c r="E1160" s="14"/>
      <c r="F1160" s="8" t="str">
        <f ca="1">IFERROR(__xludf.DUMMYFUNCTION("""COMPUTED_VALUE"""),"- Женский круг")</f>
        <v>- Женский круг</v>
      </c>
      <c r="G1160" s="14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spans="1:26" ht="14.25">
      <c r="A1161" s="14" t="str">
        <f ca="1">IFERROR(__xludf.DUMMYFUNCTION("""COMPUTED_VALUE"""),"Даша Литко")</f>
        <v>Даша Литко</v>
      </c>
      <c r="B1161" s="14" t="str">
        <f ca="1">IFERROR(__xludf.DUMMYFUNCTION("""COMPUTED_VALUE"""),"litkomania@icloud.com")</f>
        <v>litkomania@icloud.com</v>
      </c>
      <c r="C1161" s="15"/>
      <c r="D1161" s="15" t="str">
        <f ca="1">IFERROR(__xludf.DUMMYFUNCTION("""COMPUTED_VALUE"""),"Россия")</f>
        <v>Россия</v>
      </c>
      <c r="E1161" s="14"/>
      <c r="F1161" s="8" t="str">
        <f ca="1">IFERROR(__xludf.DUMMYFUNCTION("""COMPUTED_VALUE"""),"Мероприятий не обнаружено")</f>
        <v>Мероприятий не обнаружено</v>
      </c>
      <c r="G1161" s="14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spans="1:26" ht="38.25">
      <c r="A1162" s="14" t="str">
        <f ca="1">IFERROR(__xludf.DUMMYFUNCTION("""COMPUTED_VALUE"""),"Владимир Литвиненко")</f>
        <v>Владимир Литвиненко</v>
      </c>
      <c r="B1162" s="14" t="str">
        <f ca="1">IFERROR(__xludf.DUMMYFUNCTION("""COMPUTED_VALUE"""),"litv777@yandex.ru")</f>
        <v>litv777@yandex.ru</v>
      </c>
      <c r="C1162" s="15" t="str">
        <f ca="1">IFERROR(__xludf.DUMMYFUNCTION("""COMPUTED_VALUE"""),"79166725212")</f>
        <v>79166725212</v>
      </c>
      <c r="D1162" s="15" t="str">
        <f ca="1">IFERROR(__xludf.DUMMYFUNCTION("""COMPUTED_VALUE"""),"Россия")</f>
        <v>Россия</v>
      </c>
      <c r="E1162" s="14"/>
      <c r="F1162" s="8" t="str">
        <f ca="1">IFERROR(__xludf.DUMMYFUNCTION("""COMPUTED_VALUE"""),"- Вебинар-батл Я уже все знаю! Мне не нужна Школа 9.01.2022
- Вебинар с Никитой Бородулиным 11.02.2022 часть1
- Вебинар все о ретрите 12.2.2022")</f>
        <v>- Вебинар-батл Я уже все знаю! Мне не нужна Школа 9.01.2022
- Вебинар с Никитой Бородулиным 11.02.2022 часть1
- Вебинар все о ретрите 12.2.2022</v>
      </c>
      <c r="G1162" s="14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spans="1:26" ht="14.25">
      <c r="A1163" s="14" t="str">
        <f ca="1">IFERROR(__xludf.DUMMYFUNCTION("""COMPUTED_VALUE"""),"Liudmylaholosok,  ")</f>
        <v xml:space="preserve">Liudmylaholosok,  </v>
      </c>
      <c r="B1163" s="14" t="str">
        <f ca="1">IFERROR(__xludf.DUMMYFUNCTION("""COMPUTED_VALUE"""),"Liudmylaholosok@gmail.com")</f>
        <v>Liudmylaholosok@gmail.com</v>
      </c>
      <c r="C1163" s="15"/>
      <c r="D1163" s="15" t="str">
        <f ca="1">IFERROR(__xludf.DUMMYFUNCTION("""COMPUTED_VALUE"""),"Швейцария")</f>
        <v>Швейцария</v>
      </c>
      <c r="E1163" s="14"/>
      <c r="F1163" s="8" t="str">
        <f ca="1">IFERROR(__xludf.DUMMYFUNCTION("""COMPUTED_VALUE"""),"- Базовая бесплатная часть")</f>
        <v>- Базовая бесплатная часть</v>
      </c>
      <c r="G1163" s="14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 spans="1:26" ht="14.25">
      <c r="A1164" s="14" t="str">
        <f ca="1">IFERROR(__xludf.DUMMYFUNCTION("""COMPUTED_VALUE"""),"Terner Lizabet")</f>
        <v>Terner Lizabet</v>
      </c>
      <c r="B1164" s="14" t="str">
        <f ca="1">IFERROR(__xludf.DUMMYFUNCTION("""COMPUTED_VALUE"""),"Lizabetterner@yandex.ru")</f>
        <v>Lizabetterner@yandex.ru</v>
      </c>
      <c r="C1164" s="15"/>
      <c r="D1164" s="15" t="str">
        <f ca="1">IFERROR(__xludf.DUMMYFUNCTION("""COMPUTED_VALUE"""),"Швеция")</f>
        <v>Швеция</v>
      </c>
      <c r="E1164" s="14"/>
      <c r="F1164" s="8" t="str">
        <f ca="1">IFERROR(__xludf.DUMMYFUNCTION("""COMPUTED_VALUE"""),"- Тишина Челлендж (бесплатная часть)")</f>
        <v>- Тишина Челлендж (бесплатная часть)</v>
      </c>
      <c r="G1164" s="14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 spans="1:26" ht="14.25">
      <c r="A1165" s="14" t="str">
        <f ca="1">IFERROR(__xludf.DUMMYFUNCTION("""COMPUTED_VALUE"""),"Лиза Голенок")</f>
        <v>Лиза Голенок</v>
      </c>
      <c r="B1165" s="14" t="str">
        <f ca="1">IFERROR(__xludf.DUMMYFUNCTION("""COMPUTED_VALUE"""),"lizkin96@gmail.com")</f>
        <v>lizkin96@gmail.com</v>
      </c>
      <c r="C1165" s="15" t="str">
        <f ca="1">IFERROR(__xludf.DUMMYFUNCTION("""COMPUTED_VALUE"""),"292706562")</f>
        <v>292706562</v>
      </c>
      <c r="D1165" s="15" t="str">
        <f ca="1">IFERROR(__xludf.DUMMYFUNCTION("""COMPUTED_VALUE"""),"США")</f>
        <v>США</v>
      </c>
      <c r="E1165" s="14"/>
      <c r="F1165" s="8" t="str">
        <f ca="1">IFERROR(__xludf.DUMMYFUNCTION("""COMPUTED_VALUE"""),"- Чайная встреча Разговор по душам Минск 11.12.2021")</f>
        <v>- Чайная встреча Разговор по душам Минск 11.12.2021</v>
      </c>
      <c r="G1165" s="14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 spans="1:26" ht="14.25">
      <c r="A1166" s="14" t="str">
        <f ca="1">IFERROR(__xludf.DUMMYFUNCTION("""COMPUTED_VALUE"""),"Светлана Глухова")</f>
        <v>Светлана Глухова</v>
      </c>
      <c r="B1166" s="14" t="str">
        <f ca="1">IFERROR(__xludf.DUMMYFUNCTION("""COMPUTED_VALUE"""),"Llama-g77@yandex.ru")</f>
        <v>Llama-g77@yandex.ru</v>
      </c>
      <c r="C1166" s="15" t="str">
        <f ca="1">IFERROR(__xludf.DUMMYFUNCTION("""COMPUTED_VALUE"""),", +79145569087")</f>
        <v>, +79145569087</v>
      </c>
      <c r="D1166" s="15" t="str">
        <f ca="1">IFERROR(__xludf.DUMMYFUNCTION("""COMPUTED_VALUE"""),"Россия")</f>
        <v>Россия</v>
      </c>
      <c r="E1166" s="14"/>
      <c r="F1166" s="8" t="str">
        <f ca="1">IFERROR(__xludf.DUMMYFUNCTION("""COMPUTED_VALUE"""),"Мероприятий не обнаружено")</f>
        <v>Мероприятий не обнаружено</v>
      </c>
      <c r="G1166" s="14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 spans="1:26" ht="14.25">
      <c r="A1167" s="14" t="str">
        <f ca="1">IFERROR(__xludf.DUMMYFUNCTION("""COMPUTED_VALUE"""),"lmswtutor,  ")</f>
        <v xml:space="preserve">lmswtutor,  </v>
      </c>
      <c r="B1167" s="14" t="str">
        <f ca="1">IFERROR(__xludf.DUMMYFUNCTION("""COMPUTED_VALUE"""),"lmswtutor@aol.com")</f>
        <v>lmswtutor@aol.com</v>
      </c>
      <c r="C1167" s="15"/>
      <c r="D1167" s="15"/>
      <c r="E1167" s="14"/>
      <c r="F1167" s="8" t="str">
        <f ca="1">IFERROR(__xludf.DUMMYFUNCTION("""COMPUTED_VALUE"""),"- USA Челлендж Тишина")</f>
        <v>- USA Челлендж Тишина</v>
      </c>
      <c r="G1167" s="14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 spans="1:26" ht="14.25">
      <c r="A1168" s="14" t="str">
        <f ca="1">IFERROR(__xludf.DUMMYFUNCTION("""COMPUTED_VALUE"""),"Елена Смыкова")</f>
        <v>Елена Смыкова</v>
      </c>
      <c r="B1168" s="14" t="str">
        <f ca="1">IFERROR(__xludf.DUMMYFUNCTION("""COMPUTED_VALUE"""),"Ln_smk@mail.ru")</f>
        <v>Ln_smk@mail.ru</v>
      </c>
      <c r="C1168" s="15" t="str">
        <f ca="1">IFERROR(__xludf.DUMMYFUNCTION("""COMPUTED_VALUE"""),"+79774292634")</f>
        <v>+79774292634</v>
      </c>
      <c r="D1168" s="15" t="str">
        <f ca="1">IFERROR(__xludf.DUMMYFUNCTION("""COMPUTED_VALUE"""),"Россия")</f>
        <v>Россия</v>
      </c>
      <c r="E1168" s="14"/>
      <c r="F1168" s="8" t="str">
        <f ca="1">IFERROR(__xludf.DUMMYFUNCTION("""COMPUTED_VALUE"""),"- Тишина Челлендж (бесплатная часть)")</f>
        <v>- Тишина Челлендж (бесплатная часть)</v>
      </c>
      <c r="G1168" s="14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 spans="1:26" ht="25.5">
      <c r="A1169" s="14" t="str">
        <f ca="1">IFERROR(__xludf.DUMMYFUNCTION("""COMPUTED_VALUE"""),"Юлия Аппарбекова")</f>
        <v>Юлия Аппарбекова</v>
      </c>
      <c r="B1169" s="14" t="str">
        <f ca="1">IFERROR(__xludf.DUMMYFUNCTION("""COMPUTED_VALUE"""),"Lobachka@mail.ru")</f>
        <v>Lobachka@mail.ru</v>
      </c>
      <c r="C1169" s="15" t="str">
        <f ca="1">IFERROR(__xludf.DUMMYFUNCTION("""COMPUTED_VALUE"""),"+77051406613")</f>
        <v>+77051406613</v>
      </c>
      <c r="D1169" s="15" t="str">
        <f ca="1">IFERROR(__xludf.DUMMYFUNCTION("""COMPUTED_VALUE"""),"Казахстан")</f>
        <v>Казахстан</v>
      </c>
      <c r="E1169" s="14"/>
      <c r="F1169" s="8" t="str">
        <f ca="1">IFERROR(__xludf.DUMMYFUNCTION("""COMPUTED_VALUE"""),"- Беседа - сатсанг с Екатериной Сосниной: Счастье внутри нас 15.1.22")</f>
        <v>- Беседа - сатсанг с Екатериной Сосниной: Счастье внутри нас 15.1.22</v>
      </c>
      <c r="G1169" s="14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 spans="1:26" ht="25.5">
      <c r="A1170" s="14" t="str">
        <f ca="1">IFERROR(__xludf.DUMMYFUNCTION("""COMPUTED_VALUE"""),"Лола Курбанова")</f>
        <v>Лола Курбанова</v>
      </c>
      <c r="B1170" s="14" t="str">
        <f ca="1">IFERROR(__xludf.DUMMYFUNCTION("""COMPUTED_VALUE"""),"lola.kurbanova94@gmail.com")</f>
        <v>lola.kurbanova94@gmail.com</v>
      </c>
      <c r="C1170" s="15" t="str">
        <f ca="1">IFERROR(__xludf.DUMMYFUNCTION("""COMPUTED_VALUE"""),"+998900943077")</f>
        <v>+998900943077</v>
      </c>
      <c r="D1170" s="15"/>
      <c r="E1170" s="14"/>
      <c r="F117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170" s="14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spans="1:26" ht="25.5">
      <c r="A1171" s="14" t="str">
        <f ca="1">IFERROR(__xludf.DUMMYFUNCTION("""COMPUTED_VALUE"""),"Лолетта Султанова")</f>
        <v>Лолетта Султанова</v>
      </c>
      <c r="B1171" s="14" t="str">
        <f ca="1">IFERROR(__xludf.DUMMYFUNCTION("""COMPUTED_VALUE"""),"Lolettarsd@mail.ru")</f>
        <v>Lolettarsd@mail.ru</v>
      </c>
      <c r="C1171" s="15" t="str">
        <f ca="1">IFERROR(__xludf.DUMMYFUNCTION("""COMPUTED_VALUE"""),"972360605")</f>
        <v>972360605</v>
      </c>
      <c r="D1171" s="15"/>
      <c r="E1171" s="14"/>
      <c r="F117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171" s="14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 spans="1:26" ht="14.25">
      <c r="A1172" s="14" t="str">
        <f ca="1">IFERROR(__xludf.DUMMYFUNCTION("""COMPUTED_VALUE"""),"Lolita Liepa")</f>
        <v>Lolita Liepa</v>
      </c>
      <c r="B1172" s="14" t="str">
        <f ca="1">IFERROR(__xludf.DUMMYFUNCTION("""COMPUTED_VALUE"""),"lolitaliepa@inbox.lv")</f>
        <v>lolitaliepa@inbox.lv</v>
      </c>
      <c r="C1172" s="15" t="str">
        <f ca="1">IFERROR(__xludf.DUMMYFUNCTION("""COMPUTED_VALUE"""),"+37122148805")</f>
        <v>+37122148805</v>
      </c>
      <c r="D1172" s="15" t="str">
        <f ca="1">IFERROR(__xludf.DUMMYFUNCTION("""COMPUTED_VALUE"""),"Латвия")</f>
        <v>Латвия</v>
      </c>
      <c r="E1172" s="14"/>
      <c r="F1172" s="8" t="str">
        <f ca="1">IFERROR(__xludf.DUMMYFUNCTION("""COMPUTED_VALUE"""),"- Онлайн Интенсив 29-30 января 2022 Европа")</f>
        <v>- Онлайн Интенсив 29-30 января 2022 Европа</v>
      </c>
      <c r="G1172" s="14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 spans="1:26" ht="25.5">
      <c r="A1173" s="14" t="str">
        <f ca="1">IFERROR(__xludf.DUMMYFUNCTION("""COMPUTED_VALUE"""),"Лола Юлдашева")</f>
        <v>Лола Юлдашева</v>
      </c>
      <c r="B1173" s="14" t="str">
        <f ca="1">IFERROR(__xludf.DUMMYFUNCTION("""COMPUTED_VALUE"""),"Lolitka664@gmail.com")</f>
        <v>Lolitka664@gmail.com</v>
      </c>
      <c r="C1173" s="15" t="str">
        <f ca="1">IFERROR(__xludf.DUMMYFUNCTION("""COMPUTED_VALUE"""),"87053733370")</f>
        <v>87053733370</v>
      </c>
      <c r="D1173" s="15"/>
      <c r="E1173" s="14"/>
      <c r="F117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173" s="14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 spans="1:26" ht="38.25">
      <c r="A1174" s="14" t="str">
        <f ca="1">IFERROR(__xludf.DUMMYFUNCTION("""COMPUTED_VALUE"""),"Юлиана Кемичиджиева")</f>
        <v>Юлиана Кемичиджиева</v>
      </c>
      <c r="B1174" s="14" t="str">
        <f ca="1">IFERROR(__xludf.DUMMYFUNCTION("""COMPUTED_VALUE"""),"london-151@yandex.ru")</f>
        <v>london-151@yandex.ru</v>
      </c>
      <c r="C1174" s="15" t="str">
        <f ca="1">IFERROR(__xludf.DUMMYFUNCTION("""COMPUTED_VALUE"""),"79885387055")</f>
        <v>79885387055</v>
      </c>
      <c r="D1174" s="15" t="str">
        <f ca="1">IFERROR(__xludf.DUMMYFUNCTION("""COMPUTED_VALUE"""),"Россия")</f>
        <v>Россия</v>
      </c>
      <c r="E1174" s="14"/>
      <c r="F1174" s="8" t="str">
        <f ca="1">IFERROR(__xludf.DUMMYFUNCTION("""COMPUTED_VALUE"""),"- Марафон Тишины - Тишина челлендж: Урал, Казахстан, Узбекистан 25-29.04.2022
- Тишина Челлендж (бесплатная часть)")</f>
        <v>- Марафон Тишины - Тишина челлендж: Урал, Казахстан, Узбекистан 25-29.04.2022
- Тишина Челлендж (бесплатная часть)</v>
      </c>
      <c r="G1174" s="14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 spans="1:26" ht="14.25">
      <c r="A1175" s="14" t="str">
        <f ca="1">IFERROR(__xludf.DUMMYFUNCTION("""COMPUTED_VALUE"""),"Лариса Ковалева")</f>
        <v>Лариса Ковалева</v>
      </c>
      <c r="B1175" s="14" t="str">
        <f ca="1">IFERROR(__xludf.DUMMYFUNCTION("""COMPUTED_VALUE"""),"lora_kovaleva@inbox.ru")</f>
        <v>lora_kovaleva@inbox.ru</v>
      </c>
      <c r="C1175" s="15"/>
      <c r="D1175" s="15" t="str">
        <f ca="1">IFERROR(__xludf.DUMMYFUNCTION("""COMPUTED_VALUE"""),"Израиль")</f>
        <v>Израиль</v>
      </c>
      <c r="E1175" s="14"/>
      <c r="F1175" s="8" t="str">
        <f ca="1">IFERROR(__xludf.DUMMYFUNCTION("""COMPUTED_VALUE"""),"- Тишина Челлендж (бесплатная часть)")</f>
        <v>- Тишина Челлендж (бесплатная часть)</v>
      </c>
      <c r="G1175" s="14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 spans="1:26" ht="25.5">
      <c r="A1176" s="14" t="str">
        <f ca="1">IFERROR(__xludf.DUMMYFUNCTION("""COMPUTED_VALUE"""),"Лариса Апанович")</f>
        <v>Лариса Апанович</v>
      </c>
      <c r="B1176" s="14" t="str">
        <f ca="1">IFERROR(__xludf.DUMMYFUNCTION("""COMPUTED_VALUE"""),"lora_vas2@mail.ru")</f>
        <v>lora_vas2@mail.ru</v>
      </c>
      <c r="C1176" s="15" t="str">
        <f ca="1">IFERROR(__xludf.DUMMYFUNCTION("""COMPUTED_VALUE"""),"+77078625677")</f>
        <v>+77078625677</v>
      </c>
      <c r="D1176" s="15" t="str">
        <f ca="1">IFERROR(__xludf.DUMMYFUNCTION("""COMPUTED_VALUE"""),"Казахстан")</f>
        <v>Казахстан</v>
      </c>
      <c r="E1176" s="14"/>
      <c r="F117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176" s="14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 spans="1:26" ht="14.25">
      <c r="A1177" s="14" t="str">
        <f ca="1">IFERROR(__xludf.DUMMYFUNCTION("""COMPUTED_VALUE"""),"Лариса Новова")</f>
        <v>Лариса Новова</v>
      </c>
      <c r="B1177" s="14" t="str">
        <f ca="1">IFERROR(__xludf.DUMMYFUNCTION("""COMPUTED_VALUE"""),"lora.beerstream@gmail.com")</f>
        <v>lora.beerstream@gmail.com</v>
      </c>
      <c r="C1177" s="15" t="str">
        <f ca="1">IFERROR(__xludf.DUMMYFUNCTION("""COMPUTED_VALUE"""),"+13059657036")</f>
        <v>+13059657036</v>
      </c>
      <c r="D1177" s="15" t="str">
        <f ca="1">IFERROR(__xludf.DUMMYFUNCTION("""COMPUTED_VALUE"""),"Америка")</f>
        <v>Америка</v>
      </c>
      <c r="E1177" s="14"/>
      <c r="F1177" s="8" t="str">
        <f ca="1">IFERROR(__xludf.DUMMYFUNCTION("""COMPUTED_VALUE"""),"- USA Челлендж Тишина")</f>
        <v>- USA Челлендж Тишина</v>
      </c>
      <c r="G1177" s="14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 spans="1:26" ht="14.25">
      <c r="A1178" s="14" t="str">
        <f ca="1">IFERROR(__xludf.DUMMYFUNCTION("""COMPUTED_VALUE"""),"lora.dozen,  ")</f>
        <v xml:space="preserve">lora.dozen,  </v>
      </c>
      <c r="B1178" s="14" t="str">
        <f ca="1">IFERROR(__xludf.DUMMYFUNCTION("""COMPUTED_VALUE"""),"lora.dozen@gmail.com")</f>
        <v>lora.dozen@gmail.com</v>
      </c>
      <c r="C1178" s="15"/>
      <c r="D1178" s="15"/>
      <c r="E1178" s="14"/>
      <c r="F1178" s="8" t="str">
        <f ca="1">IFERROR(__xludf.DUMMYFUNCTION("""COMPUTED_VALUE"""),"- USA Челлендж Тишина")</f>
        <v>- USA Челлендж Тишина</v>
      </c>
      <c r="G1178" s="14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 spans="1:26" ht="14.25">
      <c r="A1179" s="14" t="str">
        <f ca="1">IFERROR(__xludf.DUMMYFUNCTION("""COMPUTED_VALUE"""),"lorca-x72,  ")</f>
        <v xml:space="preserve">lorca-x72,  </v>
      </c>
      <c r="B1179" s="14" t="str">
        <f ca="1">IFERROR(__xludf.DUMMYFUNCTION("""COMPUTED_VALUE"""),"lorca-x72@yandex.ru")</f>
        <v>lorca-x72@yandex.ru</v>
      </c>
      <c r="C1179" s="15" t="str">
        <f ca="1">IFERROR(__xludf.DUMMYFUNCTION("""COMPUTED_VALUE"""),"+375297115917")</f>
        <v>+375297115917</v>
      </c>
      <c r="D1179" s="15" t="str">
        <f ca="1">IFERROR(__xludf.DUMMYFUNCTION("""COMPUTED_VALUE"""),"Беларусь")</f>
        <v>Беларусь</v>
      </c>
      <c r="E1179" s="14"/>
      <c r="F1179" s="8" t="str">
        <f ca="1">IFERROR(__xludf.DUMMYFUNCTION("""COMPUTED_VALUE"""),"- Тишина Челлендж (бесплатная часть)")</f>
        <v>- Тишина Челлендж (бесплатная часть)</v>
      </c>
      <c r="G1179" s="14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 spans="1:26" ht="14.25">
      <c r="A1180" s="14" t="str">
        <f ca="1">IFERROR(__xludf.DUMMYFUNCTION("""COMPUTED_VALUE"""),"Лариса Иванова")</f>
        <v>Лариса Иванова</v>
      </c>
      <c r="B1180" s="14" t="str">
        <f ca="1">IFERROR(__xludf.DUMMYFUNCTION("""COMPUTED_VALUE"""),"lorik176@yandex.ru")</f>
        <v>lorik176@yandex.ru</v>
      </c>
      <c r="C1180" s="15" t="str">
        <f ca="1">IFERROR(__xludf.DUMMYFUNCTION("""COMPUTED_VALUE"""),"+393668966816")</f>
        <v>+393668966816</v>
      </c>
      <c r="D1180" s="15" t="str">
        <f ca="1">IFERROR(__xludf.DUMMYFUNCTION("""COMPUTED_VALUE"""),"Италия")</f>
        <v>Италия</v>
      </c>
      <c r="E1180" s="14"/>
      <c r="F1180" s="8" t="str">
        <f ca="1">IFERROR(__xludf.DUMMYFUNCTION("""COMPUTED_VALUE"""),"- Тишина Челлендж (бесплатная часть)")</f>
        <v>- Тишина Челлендж (бесплатная часть)</v>
      </c>
      <c r="G1180" s="14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 spans="1:26" ht="14.25">
      <c r="A1181" s="14" t="str">
        <f ca="1">IFERROR(__xludf.DUMMYFUNCTION("""COMPUTED_VALUE"""),"louchiadance,  ")</f>
        <v xml:space="preserve">louchiadance,  </v>
      </c>
      <c r="B1181" s="14" t="str">
        <f ca="1">IFERROR(__xludf.DUMMYFUNCTION("""COMPUTED_VALUE"""),"louchiadance@yahoo.com")</f>
        <v>louchiadance@yahoo.com</v>
      </c>
      <c r="C1181" s="15"/>
      <c r="D1181" s="15"/>
      <c r="E1181" s="14"/>
      <c r="F1181" s="8" t="str">
        <f ca="1">IFERROR(__xludf.DUMMYFUNCTION("""COMPUTED_VALUE"""),"- USA Челлендж Тишина")</f>
        <v>- USA Челлендж Тишина</v>
      </c>
      <c r="G1181" s="14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 spans="1:26" ht="25.5">
      <c r="A1182" s="14" t="str">
        <f ca="1">IFERROR(__xludf.DUMMYFUNCTION("""COMPUTED_VALUE"""),"Луиза Мамадалиева")</f>
        <v>Луиза Мамадалиева</v>
      </c>
      <c r="B1182" s="14" t="str">
        <f ca="1">IFERROR(__xludf.DUMMYFUNCTION("""COMPUTED_VALUE"""),"louisa689@hotmail.com")</f>
        <v>louisa689@hotmail.com</v>
      </c>
      <c r="C1182" s="15" t="str">
        <f ca="1">IFERROR(__xludf.DUMMYFUNCTION("""COMPUTED_VALUE"""),"+998909006883")</f>
        <v>+998909006883</v>
      </c>
      <c r="D1182" s="15"/>
      <c r="E1182" s="14"/>
      <c r="F118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182" s="14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 spans="1:26" ht="14.25">
      <c r="A1183" s="14" t="str">
        <f ca="1">IFERROR(__xludf.DUMMYFUNCTION("""COMPUTED_VALUE"""),"Елена Авдеева")</f>
        <v>Елена Авдеева</v>
      </c>
      <c r="B1183" s="14" t="str">
        <f ca="1">IFERROR(__xludf.DUMMYFUNCTION("""COMPUTED_VALUE"""),"Lozavinoo@mail.ru")</f>
        <v>Lozavinoo@mail.ru</v>
      </c>
      <c r="C1183" s="15" t="str">
        <f ca="1">IFERROR(__xludf.DUMMYFUNCTION("""COMPUTED_VALUE"""),"79276030535")</f>
        <v>79276030535</v>
      </c>
      <c r="D1183" s="15"/>
      <c r="E1183" s="14"/>
      <c r="F1183" s="8" t="str">
        <f ca="1">IFERROR(__xludf.DUMMYFUNCTION("""COMPUTED_VALUE"""),"- Тишина Челлендж (бесплатная часть)")</f>
        <v>- Тишина Челлендж (бесплатная часть)</v>
      </c>
      <c r="G1183" s="14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 spans="1:26" ht="25.5">
      <c r="A1184" s="14" t="str">
        <f ca="1">IFERROR(__xludf.DUMMYFUNCTION("""COMPUTED_VALUE"""),"Любовь Лихачева")</f>
        <v>Любовь Лихачева</v>
      </c>
      <c r="B1184" s="14" t="str">
        <f ca="1">IFERROR(__xludf.DUMMYFUNCTION("""COMPUTED_VALUE"""),"Luba87_87@mail.ru")</f>
        <v>Luba87_87@mail.ru</v>
      </c>
      <c r="C1184" s="15" t="str">
        <f ca="1">IFERROR(__xludf.DUMMYFUNCTION("""COMPUTED_VALUE"""),"+77758246080")</f>
        <v>+77758246080</v>
      </c>
      <c r="D1184" s="15"/>
      <c r="E1184" s="14"/>
      <c r="F118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184" s="14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 spans="1:26" ht="14.25">
      <c r="A1185" s="14" t="str">
        <f ca="1">IFERROR(__xludf.DUMMYFUNCTION("""COMPUTED_VALUE"""),"lubasik_love,  ")</f>
        <v xml:space="preserve">lubasik_love,  </v>
      </c>
      <c r="B1185" s="14" t="str">
        <f ca="1">IFERROR(__xludf.DUMMYFUNCTION("""COMPUTED_VALUE"""),"lubasik_love@yahoo.com")</f>
        <v>lubasik_love@yahoo.com</v>
      </c>
      <c r="C1185" s="15"/>
      <c r="D1185" s="15"/>
      <c r="E1185" s="14"/>
      <c r="F1185" s="8" t="str">
        <f ca="1">IFERROR(__xludf.DUMMYFUNCTION("""COMPUTED_VALUE"""),"- USA Челлендж Тишина")</f>
        <v>- USA Челлендж Тишина</v>
      </c>
      <c r="G1185" s="14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 spans="1:26" ht="14.25">
      <c r="A1186" s="14" t="str">
        <f ca="1">IFERROR(__xludf.DUMMYFUNCTION("""COMPUTED_VALUE"""),"ЛЮБчИк ЖИВчИк")</f>
        <v>ЛЮБчИк ЖИВчИк</v>
      </c>
      <c r="B1186" s="14" t="str">
        <f ca="1">IFERROR(__xludf.DUMMYFUNCTION("""COMPUTED_VALUE"""),"lubcikbhagavan@gmail.com")</f>
        <v>lubcikbhagavan@gmail.com</v>
      </c>
      <c r="C1186" s="15" t="str">
        <f ca="1">IFERROR(__xludf.DUMMYFUNCTION("""COMPUTED_VALUE"""),"0932148218")</f>
        <v>0932148218</v>
      </c>
      <c r="D1186" s="15"/>
      <c r="E1186" s="14"/>
      <c r="F1186" s="8" t="str">
        <f ca="1">IFERROR(__xludf.DUMMYFUNCTION("""COMPUTED_VALUE"""),"- Вебинар все о ретрите 12.2.2022")</f>
        <v>- Вебинар все о ретрите 12.2.2022</v>
      </c>
      <c r="G1186" s="14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 spans="1:26" ht="14.25">
      <c r="A1187" s="14" t="str">
        <f ca="1">IFERROR(__xludf.DUMMYFUNCTION("""COMPUTED_VALUE"""),"Айнура Абсалямова")</f>
        <v>Айнура Абсалямова</v>
      </c>
      <c r="B1187" s="14" t="str">
        <f ca="1">IFERROR(__xludf.DUMMYFUNCTION("""COMPUTED_VALUE"""),"luchik6891@mail.ru")</f>
        <v>luchik6891@mail.ru</v>
      </c>
      <c r="C1187" s="15"/>
      <c r="D1187" s="15" t="str">
        <f ca="1">IFERROR(__xludf.DUMMYFUNCTION("""COMPUTED_VALUE"""),"Россия")</f>
        <v>Россия</v>
      </c>
      <c r="E1187" s="14"/>
      <c r="F1187" s="8" t="str">
        <f ca="1">IFERROR(__xludf.DUMMYFUNCTION("""COMPUTED_VALUE"""),"- Тишина Челлендж (бесплатная часть)")</f>
        <v>- Тишина Челлендж (бесплатная часть)</v>
      </c>
      <c r="G1187" s="14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spans="1:26" ht="25.5">
      <c r="A1188" s="14" t="str">
        <f ca="1">IFERROR(__xludf.DUMMYFUNCTION("""COMPUTED_VALUE"""),"Людмила Горбунова")</f>
        <v>Людмила Горбунова</v>
      </c>
      <c r="B1188" s="14" t="str">
        <f ca="1">IFERROR(__xludf.DUMMYFUNCTION("""COMPUTED_VALUE"""),"Luda.gorbunova1980@mail.ru")</f>
        <v>Luda.gorbunova1980@mail.ru</v>
      </c>
      <c r="C1188" s="15" t="str">
        <f ca="1">IFERROR(__xludf.DUMMYFUNCTION("""COMPUTED_VALUE"""),"+79058983366")</f>
        <v>+79058983366</v>
      </c>
      <c r="D1188" s="15" t="str">
        <f ca="1">IFERROR(__xludf.DUMMYFUNCTION("""COMPUTED_VALUE"""),"Россия")</f>
        <v>Россия</v>
      </c>
      <c r="E1188" s="14"/>
      <c r="F1188" s="8" t="str">
        <f ca="1">IFERROR(__xludf.DUMMYFUNCTION("""COMPUTED_VALUE"""),"- Вебинар все о ретрите 12.2.2022
- Вебинар с Никитой Бородулиным 11.02.2022 часть1")</f>
        <v>- Вебинар все о ретрите 12.2.2022
- Вебинар с Никитой Бородулиным 11.02.2022 часть1</v>
      </c>
      <c r="G1188" s="14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 spans="1:26" ht="14.25">
      <c r="A1189" s="14" t="str">
        <f ca="1">IFERROR(__xludf.DUMMYFUNCTION("""COMPUTED_VALUE"""),"Людмила Аксенова")</f>
        <v>Людмила Аксенова</v>
      </c>
      <c r="B1189" s="14" t="str">
        <f ca="1">IFERROR(__xludf.DUMMYFUNCTION("""COMPUTED_VALUE"""),"Ludaaksenova14@mail.ru")</f>
        <v>Ludaaksenova14@mail.ru</v>
      </c>
      <c r="C1189" s="15" t="str">
        <f ca="1">IFERROR(__xludf.DUMMYFUNCTION("""COMPUTED_VALUE"""),", +79227860965")</f>
        <v>, +79227860965</v>
      </c>
      <c r="D1189" s="15" t="str">
        <f ca="1">IFERROR(__xludf.DUMMYFUNCTION("""COMPUTED_VALUE"""),"Россия")</f>
        <v>Россия</v>
      </c>
      <c r="E1189" s="14"/>
      <c r="F1189" s="8" t="str">
        <f ca="1">IFERROR(__xludf.DUMMYFUNCTION("""COMPUTED_VALUE"""),"Мероприятий не обнаружено")</f>
        <v>Мероприятий не обнаружено</v>
      </c>
      <c r="G1189" s="14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spans="1:26" ht="14.25">
      <c r="A1190" s="14" t="str">
        <f ca="1">IFERROR(__xludf.DUMMYFUNCTION("""COMPUTED_VALUE"""),"Мила Прилепина")</f>
        <v>Мила Прилепина</v>
      </c>
      <c r="B1190" s="14" t="str">
        <f ca="1">IFERROR(__xludf.DUMMYFUNCTION("""COMPUTED_VALUE"""),"Ludadaluda@mail.ru")</f>
        <v>Ludadaluda@mail.ru</v>
      </c>
      <c r="C1190" s="15" t="str">
        <f ca="1">IFERROR(__xludf.DUMMYFUNCTION("""COMPUTED_VALUE"""),"+7968203292")</f>
        <v>+7968203292</v>
      </c>
      <c r="D1190" s="15"/>
      <c r="E1190" s="14"/>
      <c r="F1190" s="8" t="str">
        <f ca="1">IFERROR(__xludf.DUMMYFUNCTION("""COMPUTED_VALUE"""),"- Тишина Челлендж (бесплатная часть)")</f>
        <v>- Тишина Челлендж (бесплатная часть)</v>
      </c>
      <c r="G1190" s="14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 spans="1:26" ht="114.75">
      <c r="A1191" s="14" t="str">
        <f ca="1">IFERROR(__xludf.DUMMYFUNCTION("""COMPUTED_VALUE"""),"Луиза Камалова")</f>
        <v>Луиза Камалова</v>
      </c>
      <c r="B1191" s="14" t="str">
        <f ca="1">IFERROR(__xludf.DUMMYFUNCTION("""COMPUTED_VALUE"""),"Luizz55@yandex.ru")</f>
        <v>Luizz55@yandex.ru</v>
      </c>
      <c r="C1191" s="15" t="str">
        <f ca="1">IFERROR(__xludf.DUMMYFUNCTION("""COMPUTED_VALUE"""),"+79501962256")</f>
        <v>+79501962256</v>
      </c>
      <c r="D1191" s="15" t="str">
        <f ca="1">IFERROR(__xludf.DUMMYFUNCTION("""COMPUTED_VALUE"""),"Россия")</f>
        <v>Россия</v>
      </c>
      <c r="E1191" s="14"/>
      <c r="F1191" s="8" t="str">
        <f ca="1">IFERROR(__xludf.DUMMYFUNCTION("""COMPUTED_VALUE"""),"- Практика Тишины в Екатеринбурге одно занятие
- Выездной ретрит Тюмень 11-13 марта 2022 (оплата до 28 февраля)
- Вебинар все о ретрите 12.2.2022
- Сатсанг и чайная встреча Екатеринбург 17.2 2022
- Практика тишины Екатеринбург 18.2 2022
- Практика тишины "&amp;"онлайн 3.03.2022
- Практика Тишины общая регулярная
- Тишина Челлендж (бесплатная часть)")</f>
        <v>- Практика Тишины в Екатеринбурге одно занятие
- Выездной ретрит Тюмень 11-13 марта 2022 (оплата до 28 февраля)
- Вебинар все о ретрите 12.2.2022
- Сатсанг и чайная встреча Екатеринбург 17.2 2022
- Практика тишины Екатеринбург 18.2 2022
- Практика тишины онлайн 3.03.2022
- Практика Тишины общая регулярная
- Тишина Челлендж (бесплатная часть)</v>
      </c>
      <c r="G1191" s="14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 spans="1:26" ht="25.5">
      <c r="A1192" s="14" t="str">
        <f ca="1">IFERROR(__xludf.DUMMYFUNCTION("""COMPUTED_VALUE"""),"Гульнара Ибрагим")</f>
        <v>Гульнара Ибрагим</v>
      </c>
      <c r="B1192" s="14" t="str">
        <f ca="1">IFERROR(__xludf.DUMMYFUNCTION("""COMPUTED_VALUE"""),"lunabela105@gmail.com")</f>
        <v>lunabela105@gmail.com</v>
      </c>
      <c r="C1192" s="15" t="str">
        <f ca="1">IFERROR(__xludf.DUMMYFUNCTION("""COMPUTED_VALUE"""),"+998998593593")</f>
        <v>+998998593593</v>
      </c>
      <c r="D1192" s="15" t="str">
        <f ca="1">IFERROR(__xludf.DUMMYFUNCTION("""COMPUTED_VALUE"""),"Россия")</f>
        <v>Россия</v>
      </c>
      <c r="E1192" s="14"/>
      <c r="F119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192" s="14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 spans="1:26" ht="14.25">
      <c r="A1193" s="14" t="str">
        <f ca="1">IFERROR(__xludf.DUMMYFUNCTION("""COMPUTED_VALUE"""),"Людмила Трофимова")</f>
        <v>Людмила Трофимова</v>
      </c>
      <c r="B1193" s="14" t="str">
        <f ca="1">IFERROR(__xludf.DUMMYFUNCTION("""COMPUTED_VALUE"""),"lusik15@mail.ru")</f>
        <v>lusik15@mail.ru</v>
      </c>
      <c r="C1193" s="15" t="str">
        <f ca="1">IFERROR(__xludf.DUMMYFUNCTION("""COMPUTED_VALUE"""),"+33650949381")</f>
        <v>+33650949381</v>
      </c>
      <c r="D1193" s="15" t="str">
        <f ca="1">IFERROR(__xludf.DUMMYFUNCTION("""COMPUTED_VALUE"""),"Франция")</f>
        <v>Франция</v>
      </c>
      <c r="E1193" s="14"/>
      <c r="F1193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1193" s="14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 spans="1:26" ht="51">
      <c r="A1194" s="14" t="str">
        <f ca="1">IFERROR(__xludf.DUMMYFUNCTION("""COMPUTED_VALUE"""),"Алексей Лузганов")</f>
        <v>Алексей Лузганов</v>
      </c>
      <c r="B1194" s="14" t="str">
        <f ca="1">IFERROR(__xludf.DUMMYFUNCTION("""COMPUTED_VALUE"""),"luzganoff@mail.ru")</f>
        <v>luzganoff@mail.ru</v>
      </c>
      <c r="C1194" s="15" t="str">
        <f ca="1">IFERROR(__xludf.DUMMYFUNCTION("""COMPUTED_VALUE"""),"79156392705")</f>
        <v>79156392705</v>
      </c>
      <c r="D1194" s="15" t="str">
        <f ca="1">IFERROR(__xludf.DUMMYFUNCTION("""COMPUTED_VALUE"""),"Россия")</f>
        <v>Россия</v>
      </c>
      <c r="E1194" s="14"/>
      <c r="F1194" s="8" t="str">
        <f ca="1">IFERROR(__xludf.DUMMYFUNCTION("""COMPUTED_VALUE"""),"- КОНСПЕКТИРОВАНИЕ лекций ГЕНАДИЯ - Декабрь ""21
- КОНСПЕКТИРОВАНИЕ лекций ГЕНАДИЯ - Январь""22
- КОНСПЕКТИРОВАНИЕ лекций ГЕНАДИЯ - Февраль ""22
- КОНСПЕКТИРОВАНИЕ лекций ГЕНАДИЯ - Март ""22")</f>
        <v>- КОНСПЕКТИРОВАНИЕ лекций ГЕНАДИЯ - Декабрь "21
- КОНСПЕКТИРОВАНИЕ лекций ГЕНАДИЯ - Январь"22
- КОНСПЕКТИРОВАНИЕ лекций ГЕНАДИЯ - Февраль "22
- КОНСПЕКТИРОВАНИЕ лекций ГЕНАДИЯ - Март "22</v>
      </c>
      <c r="G1194" s="14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 spans="1:26" ht="14.25">
      <c r="A1195" s="14" t="str">
        <f ca="1">IFERROR(__xludf.DUMMYFUNCTION("""COMPUTED_VALUE"""),"Лариса Яковлева")</f>
        <v>Лариса Яковлева</v>
      </c>
      <c r="B1195" s="14" t="str">
        <f ca="1">IFERROR(__xludf.DUMMYFUNCTION("""COMPUTED_VALUE"""),"lya@rodek.ru")</f>
        <v>lya@rodek.ru</v>
      </c>
      <c r="C1195" s="15" t="str">
        <f ca="1">IFERROR(__xludf.DUMMYFUNCTION("""COMPUTED_VALUE"""),"+79262725749")</f>
        <v>+79262725749</v>
      </c>
      <c r="D1195" s="15" t="str">
        <f ca="1">IFERROR(__xludf.DUMMYFUNCTION("""COMPUTED_VALUE"""),"Россия")</f>
        <v>Россия</v>
      </c>
      <c r="E1195" s="14"/>
      <c r="F1195" s="8" t="str">
        <f ca="1">IFERROR(__xludf.DUMMYFUNCTION("""COMPUTED_VALUE"""),"- Однодневный онлайн ретрит Россия 14 мая 2022")</f>
        <v>- Однодневный онлайн ретрит Россия 14 мая 2022</v>
      </c>
      <c r="G1195" s="14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 spans="1:26" ht="14.25">
      <c r="A1196" s="14" t="str">
        <f ca="1">IFERROR(__xludf.DUMMYFUNCTION("""COMPUTED_VALUE"""),"Lyailya Kairkanova")</f>
        <v>Lyailya Kairkanova</v>
      </c>
      <c r="B1196" s="14" t="str">
        <f ca="1">IFERROR(__xludf.DUMMYFUNCTION("""COMPUTED_VALUE"""),"lyailya.kairkanova@gmail.com")</f>
        <v>lyailya.kairkanova@gmail.com</v>
      </c>
      <c r="C1196" s="15" t="str">
        <f ca="1">IFERROR(__xludf.DUMMYFUNCTION("""COMPUTED_VALUE"""),"6469042849")</f>
        <v>6469042849</v>
      </c>
      <c r="D1196" s="15" t="str">
        <f ca="1">IFERROR(__xludf.DUMMYFUNCTION("""COMPUTED_VALUE"""),"United States")</f>
        <v>United States</v>
      </c>
      <c r="E1196" s="14"/>
      <c r="F1196" s="8" t="str">
        <f ca="1">IFERROR(__xludf.DUMMYFUNCTION("""COMPUTED_VALUE"""),"- USA Челлендж Тишина")</f>
        <v>- USA Челлендж Тишина</v>
      </c>
      <c r="G1196" s="14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 spans="1:26" ht="14.25">
      <c r="A1197" s="14" t="str">
        <f ca="1">IFERROR(__xludf.DUMMYFUNCTION("""COMPUTED_VALUE"""),"Efimenko Mila")</f>
        <v>Efimenko Mila</v>
      </c>
      <c r="B1197" s="14" t="str">
        <f ca="1">IFERROR(__xludf.DUMMYFUNCTION("""COMPUTED_VALUE"""),"lydaefim81@mail.ru")</f>
        <v>lydaefim81@mail.ru</v>
      </c>
      <c r="C1197" s="15" t="str">
        <f ca="1">IFERROR(__xludf.DUMMYFUNCTION("""COMPUTED_VALUE"""),"0713007257")</f>
        <v>0713007257</v>
      </c>
      <c r="D1197" s="15"/>
      <c r="E1197" s="14"/>
      <c r="F1197" s="8" t="str">
        <f ca="1">IFERROR(__xludf.DUMMYFUNCTION("""COMPUTED_VALUE"""),"- Тишина Челлендж (бесплатная часть)")</f>
        <v>- Тишина Челлендж (бесплатная часть)</v>
      </c>
      <c r="G1197" s="14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 spans="1:26" ht="14.25">
      <c r="A1198" s="14" t="str">
        <f ca="1">IFERROR(__xludf.DUMMYFUNCTION("""COMPUTED_VALUE"""),"Lydia Gorstein")</f>
        <v>Lydia Gorstein</v>
      </c>
      <c r="B1198" s="14" t="str">
        <f ca="1">IFERROR(__xludf.DUMMYFUNCTION("""COMPUTED_VALUE"""),"lydiagorstein@gmail.com")</f>
        <v>lydiagorstein@gmail.com</v>
      </c>
      <c r="C1198" s="15" t="str">
        <f ca="1">IFERROR(__xludf.DUMMYFUNCTION("""COMPUTED_VALUE"""),"491637889400")</f>
        <v>491637889400</v>
      </c>
      <c r="D1198" s="15" t="str">
        <f ca="1">IFERROR(__xludf.DUMMYFUNCTION("""COMPUTED_VALUE"""),"Германия")</f>
        <v>Германия</v>
      </c>
      <c r="E1198" s="14"/>
      <c r="F1198" s="8" t="str">
        <f ca="1">IFERROR(__xludf.DUMMYFUNCTION("""COMPUTED_VALUE"""),"- Друзья. Базовый уровень (ежемесячная платная подписка) ")</f>
        <v xml:space="preserve">- Друзья. Базовый уровень (ежемесячная платная подписка) </v>
      </c>
      <c r="G1198" s="14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spans="1:26" ht="14.25">
      <c r="A1199" s="14" t="str">
        <f ca="1">IFERROR(__xludf.DUMMYFUNCTION("""COMPUTED_VALUE"""),"Любовь Занова")</f>
        <v>Любовь Занова</v>
      </c>
      <c r="B1199" s="14" t="str">
        <f ca="1">IFERROR(__xludf.DUMMYFUNCTION("""COMPUTED_VALUE"""),"lyuba.zanova53@mail.ru")</f>
        <v>lyuba.zanova53@mail.ru</v>
      </c>
      <c r="C1199" s="15" t="str">
        <f ca="1">IFERROR(__xludf.DUMMYFUNCTION("""COMPUTED_VALUE"""),"+998971407397")</f>
        <v>+998971407397</v>
      </c>
      <c r="D1199" s="15"/>
      <c r="E1199" s="14"/>
      <c r="F1199" s="8" t="str">
        <f ca="1">IFERROR(__xludf.DUMMYFUNCTION("""COMPUTED_VALUE"""),"- Клуб пробуждения Друзья (Региональный)")</f>
        <v>- Клуб пробуждения Друзья (Региональный)</v>
      </c>
      <c r="G1199" s="14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 spans="1:26" ht="14.25">
      <c r="A1200" s="14" t="str">
        <f ca="1">IFERROR(__xludf.DUMMYFUNCTION("""COMPUTED_VALUE"""),"Аймана Мухамбетова")</f>
        <v>Аймана Мухамбетова</v>
      </c>
      <c r="B1200" s="14" t="str">
        <f ca="1">IFERROR(__xludf.DUMMYFUNCTION("""COMPUTED_VALUE"""),"m_aimana@mail.ru")</f>
        <v>m_aimana@mail.ru</v>
      </c>
      <c r="C1200" s="15"/>
      <c r="D1200" s="15" t="str">
        <f ca="1">IFERROR(__xludf.DUMMYFUNCTION("""COMPUTED_VALUE"""),"Россия")</f>
        <v>Россия</v>
      </c>
      <c r="E1200" s="14"/>
      <c r="F1200" s="8" t="str">
        <f ca="1">IFERROR(__xludf.DUMMYFUNCTION("""COMPUTED_VALUE"""),"- Тишина Челлендж (бесплатная часть)")</f>
        <v>- Тишина Челлендж (бесплатная часть)</v>
      </c>
      <c r="G1200" s="14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 spans="1:26" ht="14.25">
      <c r="A1201" s="14" t="str">
        <f ca="1">IFERROR(__xludf.DUMMYFUNCTION("""COMPUTED_VALUE"""),"Margarita Enzi")</f>
        <v>Margarita Enzi</v>
      </c>
      <c r="B1201" s="14" t="str">
        <f ca="1">IFERROR(__xludf.DUMMYFUNCTION("""COMPUTED_VALUE"""),"M.Enzi@gmx.de")</f>
        <v>M.Enzi@gmx.de</v>
      </c>
      <c r="C1201" s="15" t="str">
        <f ca="1">IFERROR(__xludf.DUMMYFUNCTION("""COMPUTED_VALUE"""),"+4917620290380")</f>
        <v>+4917620290380</v>
      </c>
      <c r="D1201" s="15" t="str">
        <f ca="1">IFERROR(__xludf.DUMMYFUNCTION("""COMPUTED_VALUE"""),"США")</f>
        <v>США</v>
      </c>
      <c r="E1201" s="14"/>
      <c r="F1201" s="8" t="str">
        <f ca="1">IFERROR(__xludf.DUMMYFUNCTION("""COMPUTED_VALUE"""),"- Ретрит в Германии 30 апреля-7 мая 2022")</f>
        <v>- Ретрит в Германии 30 апреля-7 мая 2022</v>
      </c>
      <c r="G1201" s="14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 spans="1:26" ht="25.5">
      <c r="A1202" s="14" t="str">
        <f ca="1">IFERROR(__xludf.DUMMYFUNCTION("""COMPUTED_VALUE"""),"Milda Griezyte")</f>
        <v>Milda Griezyte</v>
      </c>
      <c r="B1202" s="14" t="str">
        <f ca="1">IFERROR(__xludf.DUMMYFUNCTION("""COMPUTED_VALUE"""),"m.griezhyte@gmail.com")</f>
        <v>m.griezhyte@gmail.com</v>
      </c>
      <c r="C1202" s="15" t="str">
        <f ca="1">IFERROR(__xludf.DUMMYFUNCTION("""COMPUTED_VALUE"""),"+37061446146")</f>
        <v>+37061446146</v>
      </c>
      <c r="D1202" s="15" t="str">
        <f ca="1">IFERROR(__xludf.DUMMYFUNCTION("""COMPUTED_VALUE"""),"США")</f>
        <v>США</v>
      </c>
      <c r="E1202" s="14"/>
      <c r="F1202" s="8" t="str">
        <f ca="1">IFERROR(__xludf.DUMMYFUNCTION("""COMPUTED_VALUE"""),"- Вебинар с Никитой Бородулиным 11.02.2022 часть1
- Интенсив онлайн 11-13.03.2022 ")</f>
        <v xml:space="preserve">- Вебинар с Никитой Бородулиным 11.02.2022 часть1
- Интенсив онлайн 11-13.03.2022 </v>
      </c>
      <c r="G1202" s="14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 spans="1:26" ht="14.25">
      <c r="A1203" s="14" t="str">
        <f ca="1">IFERROR(__xludf.DUMMYFUNCTION("""COMPUTED_VALUE"""),"Милена Хлопина")</f>
        <v>Милена Хлопина</v>
      </c>
      <c r="B1203" s="14" t="str">
        <f ca="1">IFERROR(__xludf.DUMMYFUNCTION("""COMPUTED_VALUE"""),"M.khlopina@inbox.ru")</f>
        <v>M.khlopina@inbox.ru</v>
      </c>
      <c r="C1203" s="15" t="str">
        <f ca="1">IFERROR(__xludf.DUMMYFUNCTION("""COMPUTED_VALUE"""),"+79535067626")</f>
        <v>+79535067626</v>
      </c>
      <c r="D1203" s="15" t="str">
        <f ca="1">IFERROR(__xludf.DUMMYFUNCTION("""COMPUTED_VALUE"""),"Россия")</f>
        <v>Россия</v>
      </c>
      <c r="E1203" s="14"/>
      <c r="F1203" s="8" t="str">
        <f ca="1">IFERROR(__xludf.DUMMYFUNCTION("""COMPUTED_VALUE"""),"- Вебинар все о ретрите 12.2.2022")</f>
        <v>- Вебинар все о ретрите 12.2.2022</v>
      </c>
      <c r="G1203" s="14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 spans="1:26" ht="14.25">
      <c r="A1204" s="14" t="str">
        <f ca="1">IFERROR(__xludf.DUMMYFUNCTION("""COMPUTED_VALUE"""),"m.shanoza92,  ")</f>
        <v xml:space="preserve">m.shanoza92,  </v>
      </c>
      <c r="B1204" s="14" t="str">
        <f ca="1">IFERROR(__xludf.DUMMYFUNCTION("""COMPUTED_VALUE"""),"m.shanoza92@gmail.com")</f>
        <v>m.shanoza92@gmail.com</v>
      </c>
      <c r="C1204" s="15"/>
      <c r="D1204" s="15"/>
      <c r="E1204" s="14"/>
      <c r="F1204" s="8" t="str">
        <f ca="1">IFERROR(__xludf.DUMMYFUNCTION("""COMPUTED_VALUE"""),"- USA Челлендж Тишина")</f>
        <v>- USA Челлендж Тишина</v>
      </c>
      <c r="G1204" s="14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 spans="1:26" ht="14.25">
      <c r="A1205" s="14" t="str">
        <f ca="1">IFERROR(__xludf.DUMMYFUNCTION("""COMPUTED_VALUE"""),"Карина Фалеева")</f>
        <v>Карина Фалеева</v>
      </c>
      <c r="B1205" s="14" t="str">
        <f ca="1">IFERROR(__xludf.DUMMYFUNCTION("""COMPUTED_VALUE"""),"m@bk.ru")</f>
        <v>m@bk.ru</v>
      </c>
      <c r="C1205" s="15" t="str">
        <f ca="1">IFERROR(__xludf.DUMMYFUNCTION("""COMPUTED_VALUE"""),", +79118381258")</f>
        <v>, +79118381258</v>
      </c>
      <c r="D1205" s="15" t="str">
        <f ca="1">IFERROR(__xludf.DUMMYFUNCTION("""COMPUTED_VALUE"""),"Россия")</f>
        <v>Россия</v>
      </c>
      <c r="E1205" s="14"/>
      <c r="F1205" s="8" t="str">
        <f ca="1">IFERROR(__xludf.DUMMYFUNCTION("""COMPUTED_VALUE"""),"Мероприятий не обнаружено")</f>
        <v>Мероприятий не обнаружено</v>
      </c>
      <c r="G1205" s="14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 spans="1:26" ht="14.25">
      <c r="A1206" s="14" t="str">
        <f ca="1">IFERROR(__xludf.DUMMYFUNCTION("""COMPUTED_VALUE"""),"Chris Müller")</f>
        <v>Chris Müller</v>
      </c>
      <c r="B1206" s="14" t="str">
        <f ca="1">IFERROR(__xludf.DUMMYFUNCTION("""COMPUTED_VALUE"""),"m91chris@gmail.com")</f>
        <v>m91chris@gmail.com</v>
      </c>
      <c r="C1206" s="15" t="str">
        <f ca="1">IFERROR(__xludf.DUMMYFUNCTION("""COMPUTED_VALUE"""),"+4917657622411")</f>
        <v>+4917657622411</v>
      </c>
      <c r="D1206" s="15" t="str">
        <f ca="1">IFERROR(__xludf.DUMMYFUNCTION("""COMPUTED_VALUE"""),"Германия")</f>
        <v>Германия</v>
      </c>
      <c r="E1206" s="14"/>
      <c r="F1206" s="8" t="str">
        <f ca="1">IFERROR(__xludf.DUMMYFUNCTION("""COMPUTED_VALUE"""),"- Retreat in Deutschland 30 April - 7 Mai 2022")</f>
        <v>- Retreat in Deutschland 30 April - 7 Mai 2022</v>
      </c>
      <c r="G1206" s="14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 spans="1:26" ht="14.25">
      <c r="A1207" s="14" t="str">
        <f ca="1">IFERROR(__xludf.DUMMYFUNCTION("""COMPUTED_VALUE"""),"Татьяна Лаврентьева")</f>
        <v>Татьяна Лаврентьева</v>
      </c>
      <c r="B1207" s="14" t="str">
        <f ca="1">IFERROR(__xludf.DUMMYFUNCTION("""COMPUTED_VALUE"""),"Madam.lawrentjewa2013@yandex.ru")</f>
        <v>Madam.lawrentjewa2013@yandex.ru</v>
      </c>
      <c r="C1207" s="15"/>
      <c r="D1207" s="15" t="str">
        <f ca="1">IFERROR(__xludf.DUMMYFUNCTION("""COMPUTED_VALUE"""),"Россия")</f>
        <v>Россия</v>
      </c>
      <c r="E1207" s="14"/>
      <c r="F1207" s="8" t="str">
        <f ca="1">IFERROR(__xludf.DUMMYFUNCTION("""COMPUTED_VALUE"""),"- Тишина Челлендж (бесплатная часть)")</f>
        <v>- Тишина Челлендж (бесплатная часть)</v>
      </c>
      <c r="G1207" s="14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 spans="1:26" ht="25.5">
      <c r="A1208" s="14" t="str">
        <f ca="1">IFERROR(__xludf.DUMMYFUNCTION("""COMPUTED_VALUE"""),"Татьяна Телегина")</f>
        <v>Татьяна Телегина</v>
      </c>
      <c r="B1208" s="14" t="str">
        <f ca="1">IFERROR(__xludf.DUMMYFUNCTION("""COMPUTED_VALUE"""),"Madamtanichka@mail.ru")</f>
        <v>Madamtanichka@mail.ru</v>
      </c>
      <c r="C1208" s="15" t="str">
        <f ca="1">IFERROR(__xludf.DUMMYFUNCTION("""COMPUTED_VALUE"""),"79089028744")</f>
        <v>79089028744</v>
      </c>
      <c r="D1208" s="15" t="str">
        <f ca="1">IFERROR(__xludf.DUMMYFUNCTION("""COMPUTED_VALUE"""),"Россия")</f>
        <v>Россия</v>
      </c>
      <c r="E1208" s="14"/>
      <c r="F1208" s="8" t="str">
        <f ca="1">IFERROR(__xludf.DUMMYFUNCTION("""COMPUTED_VALUE"""),"- Выездной ретрит Тюмень 18-20 марта 2022 (оплата с 11 по 16 марта)")</f>
        <v>- Выездной ретрит Тюмень 18-20 марта 2022 (оплата с 11 по 16 марта)</v>
      </c>
      <c r="G1208" s="14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 spans="1:26" ht="25.5">
      <c r="A1209" s="14" t="str">
        <f ca="1">IFERROR(__xludf.DUMMYFUNCTION("""COMPUTED_VALUE"""),"Кундузай Ахалбекова")</f>
        <v>Кундузай Ахалбекова</v>
      </c>
      <c r="B1209" s="14" t="str">
        <f ca="1">IFERROR(__xludf.DUMMYFUNCTION("""COMPUTED_VALUE"""),"madeby_ussen@mail.ru")</f>
        <v>madeby_ussen@mail.ru</v>
      </c>
      <c r="C1209" s="15" t="str">
        <f ca="1">IFERROR(__xludf.DUMMYFUNCTION("""COMPUTED_VALUE"""),"+77019129977")</f>
        <v>+77019129977</v>
      </c>
      <c r="D1209" s="15"/>
      <c r="E1209" s="14"/>
      <c r="F120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209" s="14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 spans="1:26" ht="25.5">
      <c r="A1210" s="14" t="str">
        <f ca="1">IFERROR(__xludf.DUMMYFUNCTION("""COMPUTED_VALUE"""),"Мадина Калдыбаева")</f>
        <v>Мадина Калдыбаева</v>
      </c>
      <c r="B1210" s="14" t="str">
        <f ca="1">IFERROR(__xludf.DUMMYFUNCTION("""COMPUTED_VALUE"""),"Madi_140290@mail.ru")</f>
        <v>Madi_140290@mail.ru</v>
      </c>
      <c r="C1210" s="15" t="str">
        <f ca="1">IFERROR(__xludf.DUMMYFUNCTION("""COMPUTED_VALUE"""),"+77085088890")</f>
        <v>+77085088890</v>
      </c>
      <c r="D1210" s="15"/>
      <c r="E1210" s="14"/>
      <c r="F121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210" s="14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 spans="1:26" ht="25.5">
      <c r="A1211" s="14" t="str">
        <f ca="1">IFERROR(__xludf.DUMMYFUNCTION("""COMPUTED_VALUE"""),"Айнур Мадимарова")</f>
        <v>Айнур Мадимарова</v>
      </c>
      <c r="B1211" s="14" t="str">
        <f ca="1">IFERROR(__xludf.DUMMYFUNCTION("""COMPUTED_VALUE"""),"madimarovaainur72@gmail.com")</f>
        <v>madimarovaainur72@gmail.com</v>
      </c>
      <c r="C1211" s="15" t="str">
        <f ca="1">IFERROR(__xludf.DUMMYFUNCTION("""COMPUTED_VALUE"""),"87076870772")</f>
        <v>87076870772</v>
      </c>
      <c r="D1211" s="15"/>
      <c r="E1211" s="14"/>
      <c r="F121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211" s="14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 spans="1:26" ht="14.25">
      <c r="A1212" s="14" t="str">
        <f ca="1">IFERROR(__xludf.DUMMYFUNCTION("""COMPUTED_VALUE"""),"Мадина Абдикешова")</f>
        <v>Мадина Абдикешова</v>
      </c>
      <c r="B1212" s="14" t="str">
        <f ca="1">IFERROR(__xludf.DUMMYFUNCTION("""COMPUTED_VALUE"""),"madina_anidam@mail.ru")</f>
        <v>madina_anidam@mail.ru</v>
      </c>
      <c r="C1212" s="15"/>
      <c r="D1212" s="15" t="str">
        <f ca="1">IFERROR(__xludf.DUMMYFUNCTION("""COMPUTED_VALUE"""),"Швеция")</f>
        <v>Швеция</v>
      </c>
      <c r="E1212" s="14"/>
      <c r="F1212" s="8" t="str">
        <f ca="1">IFERROR(__xludf.DUMMYFUNCTION("""COMPUTED_VALUE"""),"- Тишина Челлендж (бесплатная часть)")</f>
        <v>- Тишина Челлендж (бесплатная часть)</v>
      </c>
      <c r="G1212" s="14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 spans="1:26" ht="25.5">
      <c r="A1213" s="14" t="str">
        <f ca="1">IFERROR(__xludf.DUMMYFUNCTION("""COMPUTED_VALUE"""),"Ахметшина Габдулловна")</f>
        <v>Ахметшина Габдулловна</v>
      </c>
      <c r="B1213" s="14" t="str">
        <f ca="1">IFERROR(__xludf.DUMMYFUNCTION("""COMPUTED_VALUE"""),"madina.trener@mail.ru")</f>
        <v>madina.trener@mail.ru</v>
      </c>
      <c r="C1213" s="15" t="str">
        <f ca="1">IFERROR(__xludf.DUMMYFUNCTION("""COMPUTED_VALUE"""),"+79080685678")</f>
        <v>+79080685678</v>
      </c>
      <c r="D1213" s="15" t="str">
        <f ca="1">IFERROR(__xludf.DUMMYFUNCTION("""COMPUTED_VALUE"""),"Россия")</f>
        <v>Россия</v>
      </c>
      <c r="E1213" s="14"/>
      <c r="F1213" s="8" t="str">
        <f ca="1">IFERROR(__xludf.DUMMYFUNCTION("""COMPUTED_VALUE"""),"- Вебинар-батл Я уже все знаю! Мне не нужна Школа 9.01.2022
- Вебинар все о ретрите 12.2.2022")</f>
        <v>- Вебинар-батл Я уже все знаю! Мне не нужна Школа 9.01.2022
- Вебинар все о ретрите 12.2.2022</v>
      </c>
      <c r="G1213" s="14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 spans="1:26" ht="14.25">
      <c r="A1214" s="14" t="str">
        <f ca="1">IFERROR(__xludf.DUMMYFUNCTION("""COMPUTED_VALUE"""),"madinochkab,  ")</f>
        <v xml:space="preserve">madinochkab,  </v>
      </c>
      <c r="B1214" s="14" t="str">
        <f ca="1">IFERROR(__xludf.DUMMYFUNCTION("""COMPUTED_VALUE"""),"madinochkab@yahoo.com")</f>
        <v>madinochkab@yahoo.com</v>
      </c>
      <c r="C1214" s="15"/>
      <c r="D1214" s="15" t="str">
        <f ca="1">IFERROR(__xludf.DUMMYFUNCTION("""COMPUTED_VALUE"""),"США")</f>
        <v>США</v>
      </c>
      <c r="E1214" s="14"/>
      <c r="F1214" s="8" t="str">
        <f ca="1">IFERROR(__xludf.DUMMYFUNCTION("""COMPUTED_VALUE"""),"- USA Челлендж Тишина")</f>
        <v>- USA Челлендж Тишина</v>
      </c>
      <c r="G1214" s="14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 spans="1:26" ht="14.25">
      <c r="A1215" s="14" t="str">
        <f ca="1">IFERROR(__xludf.DUMMYFUNCTION("""COMPUTED_VALUE"""),"Мадияр Керимкулов")</f>
        <v>Мадияр Керимкулов</v>
      </c>
      <c r="B1215" s="14" t="str">
        <f ca="1">IFERROR(__xludf.DUMMYFUNCTION("""COMPUTED_VALUE"""),"Madiyar901016@gmail.com")</f>
        <v>Madiyar901016@gmail.com</v>
      </c>
      <c r="C1215" s="15"/>
      <c r="D1215" s="15" t="str">
        <f ca="1">IFERROR(__xludf.DUMMYFUNCTION("""COMPUTED_VALUE"""),"Швеция")</f>
        <v>Швеция</v>
      </c>
      <c r="E1215" s="14"/>
      <c r="F1215" s="8" t="str">
        <f ca="1">IFERROR(__xludf.DUMMYFUNCTION("""COMPUTED_VALUE"""),"- Тишина Челлендж (бесплатная часть)")</f>
        <v>- Тишина Челлендж (бесплатная часть)</v>
      </c>
      <c r="G1215" s="14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 spans="1:26" ht="63.75">
      <c r="A1216" s="14" t="str">
        <f ca="1">IFERROR(__xludf.DUMMYFUNCTION("""COMPUTED_VALUE"""),"Мадина Кучменова")</f>
        <v>Мадина Кучменова</v>
      </c>
      <c r="B1216" s="14" t="str">
        <f ca="1">IFERROR(__xludf.DUMMYFUNCTION("""COMPUTED_VALUE"""),"madlen-2007@mail.ru")</f>
        <v>madlen-2007@mail.ru</v>
      </c>
      <c r="C1216" s="15" t="str">
        <f ca="1">IFERROR(__xludf.DUMMYFUNCTION("""COMPUTED_VALUE"""),"+79287227997")</f>
        <v>+79287227997</v>
      </c>
      <c r="D1216" s="15" t="str">
        <f ca="1">IFERROR(__xludf.DUMMYFUNCTION("""COMPUTED_VALUE"""),"Россия")</f>
        <v>Россия</v>
      </c>
      <c r="E1216" s="14" t="str">
        <f ca="1">IFERROR(__xludf.DUMMYFUNCTION("""COMPUTED_VALUE"""),"@Madina_Kuchmenova")</f>
        <v>@Madina_Kuchmenova</v>
      </c>
      <c r="F1216" s="8" t="str">
        <f ca="1">IFERROR(__xludf.DUMMYFUNCTION("""COMPUTED_VALUE"""),"- Клуб пробуждения Друзья (2 уровень) - 1 месяц
- Ретрит в РЦ Сочи 14-21 января 2022  (Оплата с 5 января по 11 января)
- Ретрит ""Проектная деятельность"" для участников ретритов
- Интенсив онлайн 11-13.02.2022")</f>
        <v>- Клуб пробуждения Друзья (2 уровень) - 1 месяц
- Ретрит в РЦ Сочи 14-21 января 2022  (Оплата с 5 января по 11 января)
- Ретрит "Проектная деятельность" для участников ретритов
- Интенсив онлайн 11-13.02.2022</v>
      </c>
      <c r="G1216" s="14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 spans="1:26" ht="25.5">
      <c r="A1217" s="14" t="str">
        <f ca="1">IFERROR(__xludf.DUMMYFUNCTION("""COMPUTED_VALUE"""),"Гульнара Дали")</f>
        <v>Гульнара Дали</v>
      </c>
      <c r="B1217" s="14" t="str">
        <f ca="1">IFERROR(__xludf.DUMMYFUNCTION("""COMPUTED_VALUE"""),"magic_7@mail.ru")</f>
        <v>magic_7@mail.ru</v>
      </c>
      <c r="C1217" s="15" t="str">
        <f ca="1">IFERROR(__xludf.DUMMYFUNCTION("""COMPUTED_VALUE"""),"+77472385837")</f>
        <v>+77472385837</v>
      </c>
      <c r="D1217" s="15"/>
      <c r="E1217" s="14"/>
      <c r="F121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217" s="14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 spans="1:26" ht="25.5">
      <c r="A1218" s="14" t="str">
        <f ca="1">IFERROR(__xludf.DUMMYFUNCTION("""COMPUTED_VALUE"""),"Майгуль Батхолдина")</f>
        <v>Майгуль Батхолдина</v>
      </c>
      <c r="B1218" s="14" t="str">
        <f ca="1">IFERROR(__xludf.DUMMYFUNCTION("""COMPUTED_VALUE"""),"mai_gul74@mail.ru")</f>
        <v>mai_gul74@mail.ru</v>
      </c>
      <c r="C1218" s="15" t="str">
        <f ca="1">IFERROR(__xludf.DUMMYFUNCTION("""COMPUTED_VALUE"""),"+77756745907")</f>
        <v>+77756745907</v>
      </c>
      <c r="D1218" s="15"/>
      <c r="E1218" s="14"/>
      <c r="F121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218" s="14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 spans="1:26" ht="63.75">
      <c r="A1219" s="14" t="str">
        <f ca="1">IFERROR(__xludf.DUMMYFUNCTION("""COMPUTED_VALUE"""),"Екатерина Макеева")</f>
        <v>Екатерина Макеева</v>
      </c>
      <c r="B1219" s="14" t="str">
        <f ca="1">IFERROR(__xludf.DUMMYFUNCTION("""COMPUTED_VALUE"""),"makeeva.catya2017@yandex.ru")</f>
        <v>makeeva.catya2017@yandex.ru</v>
      </c>
      <c r="C1219" s="15" t="str">
        <f ca="1">IFERROR(__xludf.DUMMYFUNCTION("""COMPUTED_VALUE"""),"+79222242430")</f>
        <v>+79222242430</v>
      </c>
      <c r="D1219" s="15" t="str">
        <f ca="1">IFERROR(__xludf.DUMMYFUNCTION("""COMPUTED_VALUE"""),"Россия")</f>
        <v>Россия</v>
      </c>
      <c r="E1219" s="14" t="str">
        <f ca="1">IFERROR(__xludf.DUMMYFUNCTION("""COMPUTED_VALUE"""),"Екатерина Макеева ")</f>
        <v xml:space="preserve">Екатерина Макеева </v>
      </c>
      <c r="F1219" s="8" t="str">
        <f ca="1">IFERROR(__xludf.DUMMYFUNCTION("""COMPUTED_VALUE"""),"- Беседа - сатсанг с Екатериной Сосниной: Счастье внутри нас 15.1.22
- Клуб пробуждения Друзья (2 уровень) - 1 месяц
- Практика Тишины общая регулярная
- Однодневный ретрит Россия 14 мая 2022")</f>
        <v>- Беседа - сатсанг с Екатериной Сосниной: Счастье внутри нас 15.1.22
- Клуб пробуждения Друзья (2 уровень) - 1 месяц
- Практика Тишины общая регулярная
- Однодневный ретрит Россия 14 мая 2022</v>
      </c>
      <c r="G1219" s="14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 spans="1:26" ht="14.25">
      <c r="A1220" s="14" t="str">
        <f ca="1">IFERROR(__xludf.DUMMYFUNCTION("""COMPUTED_VALUE"""),"Максим Макаров")</f>
        <v>Максим Макаров</v>
      </c>
      <c r="B1220" s="14" t="str">
        <f ca="1">IFERROR(__xludf.DUMMYFUNCTION("""COMPUTED_VALUE"""),"maksim.makarov1982@gmail.com")</f>
        <v>maksim.makarov1982@gmail.com</v>
      </c>
      <c r="C1220" s="15" t="str">
        <f ca="1">IFERROR(__xludf.DUMMYFUNCTION("""COMPUTED_VALUE"""),"79623711366")</f>
        <v>79623711366</v>
      </c>
      <c r="D1220" s="15" t="str">
        <f ca="1">IFERROR(__xludf.DUMMYFUNCTION("""COMPUTED_VALUE"""),"Россия")</f>
        <v>Россия</v>
      </c>
      <c r="E1220" s="14"/>
      <c r="F1220" s="8" t="str">
        <f ca="1">IFERROR(__xludf.DUMMYFUNCTION("""COMPUTED_VALUE"""),"- Тишина Челлендж (бесплатная часть)")</f>
        <v>- Тишина Челлендж (бесплатная часть)</v>
      </c>
      <c r="G1220" s="14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 spans="1:26" ht="25.5">
      <c r="A1221" s="14" t="str">
        <f ca="1">IFERROR(__xludf.DUMMYFUNCTION("""COMPUTED_VALUE"""),"Nilyufar Maksumova")</f>
        <v>Nilyufar Maksumova</v>
      </c>
      <c r="B1221" s="14" t="str">
        <f ca="1">IFERROR(__xludf.DUMMYFUNCTION("""COMPUTED_VALUE"""),"maksumovanilufar886@gmail.com")</f>
        <v>maksumovanilufar886@gmail.com</v>
      </c>
      <c r="C1221" s="15" t="str">
        <f ca="1">IFERROR(__xludf.DUMMYFUNCTION("""COMPUTED_VALUE"""),"+998946519985")</f>
        <v>+998946519985</v>
      </c>
      <c r="D1221" s="15"/>
      <c r="E1221" s="14"/>
      <c r="F122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221" s="14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 spans="1:26" ht="14.25">
      <c r="A1222" s="14" t="str">
        <f ca="1">IFERROR(__xludf.DUMMYFUNCTION("""COMPUTED_VALUE"""),"Елена Малащенко")</f>
        <v>Елена Малащенко</v>
      </c>
      <c r="B1222" s="14" t="str">
        <f ca="1">IFERROR(__xludf.DUMMYFUNCTION("""COMPUTED_VALUE"""),"malashchenkol646@gmail.com")</f>
        <v>malashchenkol646@gmail.com</v>
      </c>
      <c r="C1222" s="15" t="str">
        <f ca="1">IFERROR(__xludf.DUMMYFUNCTION("""COMPUTED_VALUE"""),"+375292582444")</f>
        <v>+375292582444</v>
      </c>
      <c r="D1222" s="15" t="str">
        <f ca="1">IFERROR(__xludf.DUMMYFUNCTION("""COMPUTED_VALUE"""),"Беларусь")</f>
        <v>Беларусь</v>
      </c>
      <c r="E1222" s="14"/>
      <c r="F1222" s="8" t="str">
        <f ca="1">IFERROR(__xludf.DUMMYFUNCTION("""COMPUTED_VALUE"""),"- Чайная встреча Минск 5.2 2022")</f>
        <v>- Чайная встреча Минск 5.2 2022</v>
      </c>
      <c r="G1222" s="14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 spans="1:26" ht="14.25">
      <c r="A1223" s="14" t="str">
        <f ca="1">IFERROR(__xludf.DUMMYFUNCTION("""COMPUTED_VALUE"""),"Мадина Кучменова")</f>
        <v>Мадина Кучменова</v>
      </c>
      <c r="B1223" s="14" t="str">
        <f ca="1">IFERROR(__xludf.DUMMYFUNCTION("""COMPUTED_VALUE"""),"Malden-2007@mail.ru")</f>
        <v>Malden-2007@mail.ru</v>
      </c>
      <c r="C1223" s="15" t="str">
        <f ca="1">IFERROR(__xludf.DUMMYFUNCTION("""COMPUTED_VALUE"""),", 79287227997")</f>
        <v>, 79287227997</v>
      </c>
      <c r="D1223" s="15"/>
      <c r="E1223" s="14" t="str">
        <f ca="1">IFERROR(__xludf.DUMMYFUNCTION("""COMPUTED_VALUE"""),"Мадина Кучменов ")</f>
        <v xml:space="preserve">Мадина Кучменов </v>
      </c>
      <c r="F1223" s="8" t="str">
        <f ca="1">IFERROR(__xludf.DUMMYFUNCTION("""COMPUTED_VALUE"""),"Мероприятий не обнаружено")</f>
        <v>Мероприятий не обнаружено</v>
      </c>
      <c r="G1223" s="14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 spans="1:26" ht="51">
      <c r="A1224" s="14" t="str">
        <f ca="1">IFERROR(__xludf.DUMMYFUNCTION("""COMPUTED_VALUE"""),"Малика Рахимова")</f>
        <v>Малика Рахимова</v>
      </c>
      <c r="B1224" s="14" t="str">
        <f ca="1">IFERROR(__xludf.DUMMYFUNCTION("""COMPUTED_VALUE"""),"malikarahimova@gimail.com")</f>
        <v>malikarahimova@gimail.com</v>
      </c>
      <c r="C1224" s="15" t="str">
        <f ca="1">IFERROR(__xludf.DUMMYFUNCTION("""COMPUTED_VALUE"""),"+998971598883")</f>
        <v>+998971598883</v>
      </c>
      <c r="D1224" s="15" t="str">
        <f ca="1">IFERROR(__xludf.DUMMYFUNCTION("""COMPUTED_VALUE"""),"Узбекистан")</f>
        <v>Узбекистан</v>
      </c>
      <c r="E1224" s="14"/>
      <c r="F1224" s="8" t="str">
        <f ca="1">IFERROR(__xludf.DUMMYFUNCTION("""COMPUTED_VALUE"""),"- Новогодний Интенсив Алматы-онлайн 17-19.12.2021
- Марафон Тишины - Тишина челлендж: Урал, Казахстан, Узбекистан 25-29.04.2022
- Однодневный онлайн ретрит Россия 14 мая 2022")</f>
        <v>- Новогодний Интенсив Алматы-онлайн 17-19.12.2021
- Марафон Тишины - Тишина челлендж: Урал, Казахстан, Узбекистан 25-29.04.2022
- Однодневный онлайн ретрит Россия 14 мая 2022</v>
      </c>
      <c r="G1224" s="14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 spans="1:26" ht="14.25">
      <c r="A1225" s="14" t="str">
        <f ca="1">IFERROR(__xludf.DUMMYFUNCTION("""COMPUTED_VALUE"""),"Юлия Болотина")</f>
        <v>Юлия Болотина</v>
      </c>
      <c r="B1225" s="14" t="str">
        <f ca="1">IFERROR(__xludf.DUMMYFUNCTION("""COMPUTED_VALUE"""),"Malishok2607@mail.ru")</f>
        <v>Malishok2607@mail.ru</v>
      </c>
      <c r="C1225" s="15"/>
      <c r="D1225" s="15" t="str">
        <f ca="1">IFERROR(__xludf.DUMMYFUNCTION("""COMPUTED_VALUE"""),"Россия")</f>
        <v>Россия</v>
      </c>
      <c r="E1225" s="14"/>
      <c r="F1225" s="8" t="str">
        <f ca="1">IFERROR(__xludf.DUMMYFUNCTION("""COMPUTED_VALUE"""),"- Тишина Челлендж (бесплатная часть)")</f>
        <v>- Тишина Челлендж (бесплатная часть)</v>
      </c>
      <c r="G1225" s="14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 spans="1:26" ht="14.25">
      <c r="A1226" s="14" t="str">
        <f ca="1">IFERROR(__xludf.DUMMYFUNCTION("""COMPUTED_VALUE"""),"Ирина Малогулко")</f>
        <v>Ирина Малогулко</v>
      </c>
      <c r="B1226" s="14" t="str">
        <f ca="1">IFERROR(__xludf.DUMMYFUNCTION("""COMPUTED_VALUE"""),"malogulko.ira2014@yandex.ru")</f>
        <v>malogulko.ira2014@yandex.ru</v>
      </c>
      <c r="C1226" s="15" t="str">
        <f ca="1">IFERROR(__xludf.DUMMYFUNCTION("""COMPUTED_VALUE"""),"79509995598")</f>
        <v>79509995598</v>
      </c>
      <c r="D1226" s="15" t="str">
        <f ca="1">IFERROR(__xludf.DUMMYFUNCTION("""COMPUTED_VALUE"""),"Великобритания")</f>
        <v>Великобритания</v>
      </c>
      <c r="E1226" s="14"/>
      <c r="F1226" s="8" t="str">
        <f ca="1">IFERROR(__xludf.DUMMYFUNCTION("""COMPUTED_VALUE"""),"- Мастер-класс ""Скульптура и Керамика""")</f>
        <v>- Мастер-класс "Скульптура и Керамика"</v>
      </c>
      <c r="G1226" s="14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 spans="1:26" ht="25.5">
      <c r="A1227" s="14" t="str">
        <f ca="1">IFERROR(__xludf.DUMMYFUNCTION("""COMPUTED_VALUE"""),"Хумайро Маматова")</f>
        <v>Хумайро Маматова</v>
      </c>
      <c r="B1227" s="14" t="str">
        <f ca="1">IFERROR(__xludf.DUMMYFUNCTION("""COMPUTED_VALUE"""),"mamatovahumajro02@gmail.com")</f>
        <v>mamatovahumajro02@gmail.com</v>
      </c>
      <c r="C1227" s="15" t="str">
        <f ca="1">IFERROR(__xludf.DUMMYFUNCTION("""COMPUTED_VALUE"""),"+998970055547")</f>
        <v>+998970055547</v>
      </c>
      <c r="D1227" s="15"/>
      <c r="E1227" s="14"/>
      <c r="F122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227" s="14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 spans="1:26" ht="25.5">
      <c r="A1228" s="14" t="str">
        <f ca="1">IFERROR(__xludf.DUMMYFUNCTION("""COMPUTED_VALUE"""),"Манижа Сафарова")</f>
        <v>Манижа Сафарова</v>
      </c>
      <c r="B1228" s="14" t="str">
        <f ca="1">IFERROR(__xludf.DUMMYFUNCTION("""COMPUTED_VALUE"""),"Manizha_14_89@mail.ru")</f>
        <v>Manizha_14_89@mail.ru</v>
      </c>
      <c r="C1228" s="15" t="str">
        <f ca="1">IFERROR(__xludf.DUMMYFUNCTION("""COMPUTED_VALUE"""),"+77006319101")</f>
        <v>+77006319101</v>
      </c>
      <c r="D1228" s="15"/>
      <c r="E1228" s="14"/>
      <c r="F122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228" s="14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  <row r="1229" spans="1:26" ht="14.25">
      <c r="A1229" s="14" t="str">
        <f ca="1">IFERROR(__xludf.DUMMYFUNCTION("""COMPUTED_VALUE"""),"Марина Носова")</f>
        <v>Марина Носова</v>
      </c>
      <c r="B1229" s="14" t="str">
        <f ca="1">IFERROR(__xludf.DUMMYFUNCTION("""COMPUTED_VALUE"""),"manjasha_89@mail.ru")</f>
        <v>manjasha_89@mail.ru</v>
      </c>
      <c r="C1229" s="15"/>
      <c r="D1229" s="15" t="str">
        <f ca="1">IFERROR(__xludf.DUMMYFUNCTION("""COMPUTED_VALUE"""),"Швеция")</f>
        <v>Швеция</v>
      </c>
      <c r="E1229" s="14"/>
      <c r="F1229" s="8" t="str">
        <f ca="1">IFERROR(__xludf.DUMMYFUNCTION("""COMPUTED_VALUE"""),"- Тишина Челлендж (бесплатная часть)")</f>
        <v>- Тишина Челлендж (бесплатная часть)</v>
      </c>
      <c r="G1229" s="14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</row>
    <row r="1230" spans="1:26" ht="25.5">
      <c r="A1230" s="14" t="str">
        <f ca="1">IFERROR(__xludf.DUMMYFUNCTION("""COMPUTED_VALUE"""),"Мансур Байбеков")</f>
        <v>Мансур Байбеков</v>
      </c>
      <c r="B1230" s="14" t="str">
        <f ca="1">IFERROR(__xludf.DUMMYFUNCTION("""COMPUTED_VALUE"""),"mansurkamolodec@gmail.com")</f>
        <v>mansurkamolodec@gmail.com</v>
      </c>
      <c r="C1230" s="15" t="str">
        <f ca="1">IFERROR(__xludf.DUMMYFUNCTION("""COMPUTED_VALUE"""),"909835350")</f>
        <v>909835350</v>
      </c>
      <c r="D1230" s="15"/>
      <c r="E1230" s="14"/>
      <c r="F123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230" s="14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</row>
    <row r="1231" spans="1:26" ht="14.25">
      <c r="A1231" s="14" t="str">
        <f ca="1">IFERROR(__xludf.DUMMYFUNCTION("""COMPUTED_VALUE"""),"Manuela Rüfner")</f>
        <v>Manuela Rüfner</v>
      </c>
      <c r="B1231" s="14" t="str">
        <f ca="1">IFERROR(__xludf.DUMMYFUNCTION("""COMPUTED_VALUE"""),"manuelaruefner@web.de")</f>
        <v>manuelaruefner@web.de</v>
      </c>
      <c r="C1231" s="15" t="str">
        <f ca="1">IFERROR(__xludf.DUMMYFUNCTION("""COMPUTED_VALUE"""),"+4917696902671")</f>
        <v>+4917696902671</v>
      </c>
      <c r="D1231" s="15"/>
      <c r="E1231" s="14"/>
      <c r="F1231" s="8" t="str">
        <f ca="1">IFERROR(__xludf.DUMMYFUNCTION("""COMPUTED_VALUE"""),"- Онлайн курс Шаг к Пробуждению №14 4-14.12.2021 DEU")</f>
        <v>- Онлайн курс Шаг к Пробуждению №14 4-14.12.2021 DEU</v>
      </c>
      <c r="G1231" s="14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</row>
    <row r="1232" spans="1:26" ht="14.25">
      <c r="A1232" s="14" t="str">
        <f ca="1">IFERROR(__xludf.DUMMYFUNCTION("""COMPUTED_VALUE"""),"Марина Гатина")</f>
        <v>Марина Гатина</v>
      </c>
      <c r="B1232" s="14" t="str">
        <f ca="1">IFERROR(__xludf.DUMMYFUNCTION("""COMPUTED_VALUE"""),"Manufactura1@mail.ru")</f>
        <v>Manufactura1@mail.ru</v>
      </c>
      <c r="C1232" s="15" t="str">
        <f ca="1">IFERROR(__xludf.DUMMYFUNCTION("""COMPUTED_VALUE"""),"79625020699")</f>
        <v>79625020699</v>
      </c>
      <c r="D1232" s="15" t="str">
        <f ca="1">IFERROR(__xludf.DUMMYFUNCTION("""COMPUTED_VALUE"""),"Россия")</f>
        <v>Россия</v>
      </c>
      <c r="E1232" s="14"/>
      <c r="F1232" s="8" t="str">
        <f ca="1">IFERROR(__xludf.DUMMYFUNCTION("""COMPUTED_VALUE"""),"- Онлайн Интенсив Дальний Восток 25-27.03.2022 ")</f>
        <v xml:space="preserve">- Онлайн Интенсив Дальний Восток 25-27.03.2022 </v>
      </c>
      <c r="G1232" s="14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</row>
    <row r="1233" spans="1:26" ht="38.25">
      <c r="A1233" s="14" t="str">
        <f ca="1">IFERROR(__xludf.DUMMYFUNCTION("""COMPUTED_VALUE"""),"Максуда Кудратова")</f>
        <v>Максуда Кудратова</v>
      </c>
      <c r="B1233" s="14" t="str">
        <f ca="1">IFERROR(__xludf.DUMMYFUNCTION("""COMPUTED_VALUE"""),"maqsudaqudratova30@gmail.com")</f>
        <v>maqsudaqudratova30@gmail.com</v>
      </c>
      <c r="C1233" s="15" t="str">
        <f ca="1">IFERROR(__xludf.DUMMYFUNCTION("""COMPUTED_VALUE"""),"998994197884")</f>
        <v>998994197884</v>
      </c>
      <c r="D1233" s="15" t="str">
        <f ca="1">IFERROR(__xludf.DUMMYFUNCTION("""COMPUTED_VALUE"""),"Узбекистан")</f>
        <v>Узбекистан</v>
      </c>
      <c r="E1233" s="14"/>
      <c r="F1233" s="8" t="str">
        <f ca="1">IFERROR(__xludf.DUMMYFUNCTION("""COMPUTED_VALUE"""),"- Марафон Тишины - Тишина челлендж: Урал, Казахстан, Узбекистан 25-29.04.2022
- Тишина Челлендж (бесплатная часть)")</f>
        <v>- Марафон Тишины - Тишина челлендж: Урал, Казахстан, Узбекистан 25-29.04.2022
- Тишина Челлендж (бесплатная часть)</v>
      </c>
      <c r="G1233" s="14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</row>
    <row r="1234" spans="1:26" ht="14.25">
      <c r="A1234" s="14" t="str">
        <f ca="1">IFERROR(__xludf.DUMMYFUNCTION("""COMPUTED_VALUE"""),"mar.murzina2015,  ")</f>
        <v xml:space="preserve">mar.murzina2015,  </v>
      </c>
      <c r="B1234" s="14" t="str">
        <f ca="1">IFERROR(__xludf.DUMMYFUNCTION("""COMPUTED_VALUE"""),"mar.murzina2015@yandex.ru")</f>
        <v>mar.murzina2015@yandex.ru</v>
      </c>
      <c r="C1234" s="15"/>
      <c r="D1234" s="15" t="str">
        <f ca="1">IFERROR(__xludf.DUMMYFUNCTION("""COMPUTED_VALUE"""),"Россия")</f>
        <v>Россия</v>
      </c>
      <c r="E1234" s="14"/>
      <c r="F1234" s="8" t="str">
        <f ca="1">IFERROR(__xludf.DUMMYFUNCTION("""COMPUTED_VALUE"""),"- Практика тишины Магнитогорск 19.02.2022")</f>
        <v>- Практика тишины Магнитогорск 19.02.2022</v>
      </c>
      <c r="G1234" s="14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</row>
    <row r="1235" spans="1:26" ht="14.25">
      <c r="A1235" s="14" t="str">
        <f ca="1">IFERROR(__xludf.DUMMYFUNCTION("""COMPUTED_VALUE"""),"Акмарал Битимбаева")</f>
        <v>Акмарал Битимбаева</v>
      </c>
      <c r="B1235" s="14" t="str">
        <f ca="1">IFERROR(__xludf.DUMMYFUNCTION("""COMPUTED_VALUE"""),"maral83@mail.ru")</f>
        <v>maral83@mail.ru</v>
      </c>
      <c r="C1235" s="15"/>
      <c r="D1235" s="15" t="str">
        <f ca="1">IFERROR(__xludf.DUMMYFUNCTION("""COMPUTED_VALUE"""),"Швеция")</f>
        <v>Швеция</v>
      </c>
      <c r="E1235" s="14"/>
      <c r="F1235" s="8" t="str">
        <f ca="1">IFERROR(__xludf.DUMMYFUNCTION("""COMPUTED_VALUE"""),"- Тишина Челлендж (бесплатная часть)")</f>
        <v>- Тишина Челлендж (бесплатная часть)</v>
      </c>
      <c r="G1235" s="14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</row>
    <row r="1236" spans="1:26" ht="102">
      <c r="A1236" s="14" t="str">
        <f ca="1">IFERROR(__xludf.DUMMYFUNCTION("""COMPUTED_VALUE"""),"Марат Брызгин")</f>
        <v>Марат Брызгин</v>
      </c>
      <c r="B1236" s="14" t="str">
        <f ca="1">IFERROR(__xludf.DUMMYFUNCTION("""COMPUTED_VALUE"""),"marat.bryzgin@gmail.com")</f>
        <v>marat.bryzgin@gmail.com</v>
      </c>
      <c r="C1236" s="15" t="str">
        <f ca="1">IFERROR(__xludf.DUMMYFUNCTION("""COMPUTED_VALUE"""),"+79384405253")</f>
        <v>+79384405253</v>
      </c>
      <c r="D1236" s="15" t="str">
        <f ca="1">IFERROR(__xludf.DUMMYFUNCTION("""COMPUTED_VALUE"""),"Россия")</f>
        <v>Россия</v>
      </c>
      <c r="E1236" s="14"/>
      <c r="F1236" s="8" t="str">
        <f ca="1">IFERROR(__xludf.DUMMYFUNCTION("""COMPUTED_VALUE"""),"- чайная встреча регионы Урал 8.1.2022
- Онлайн курс Шаг к Пробуждению №15 29.1-8.02.22 Пакет стандартный
- Выездной ретрит Тюмень 11-13 марта 2022 (оплата до 28 февраля)
- Вебинар все о ретрите 12.2.2022
- Практика тишины онлайн 3.03.2022
- Партнерская п"&amp;"рограмма")</f>
        <v>- чайная встреча регионы Урал 8.1.2022
- Онлайн курс Шаг к Пробуждению №15 29.1-8.02.22 Пакет стандартный
- Выездной ретрит Тюмень 11-13 марта 2022 (оплата до 28 февраля)
- Вебинар все о ретрите 12.2.2022
- Практика тишины онлайн 3.03.2022
- Партнерская программа</v>
      </c>
      <c r="G1236" s="14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 spans="1:26" ht="14.25">
      <c r="A1237" s="14" t="str">
        <f ca="1">IFERROR(__xludf.DUMMYFUNCTION("""COMPUTED_VALUE"""),"Марат Брызгин")</f>
        <v>Марат Брызгин</v>
      </c>
      <c r="B1237" s="14" t="str">
        <f ca="1">IFERROR(__xludf.DUMMYFUNCTION("""COMPUTED_VALUE"""),"marat.bryzgin@mail.ru")</f>
        <v>marat.bryzgin@mail.ru</v>
      </c>
      <c r="C1237" s="15" t="str">
        <f ca="1">IFERROR(__xludf.DUMMYFUNCTION("""COMPUTED_VALUE"""),"+79384405253")</f>
        <v>+79384405253</v>
      </c>
      <c r="D1237" s="15" t="str">
        <f ca="1">IFERROR(__xludf.DUMMYFUNCTION("""COMPUTED_VALUE"""),"Россия")</f>
        <v>Россия</v>
      </c>
      <c r="E1237" s="14"/>
      <c r="F1237" s="8" t="str">
        <f ca="1">IFERROR(__xludf.DUMMYFUNCTION("""COMPUTED_VALUE"""),"- Практика Тишины общая платная")</f>
        <v>- Практика Тишины общая платная</v>
      </c>
      <c r="G1237" s="14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</row>
    <row r="1238" spans="1:26" ht="14.25">
      <c r="A1238" s="14" t="str">
        <f ca="1">IFERROR(__xludf.DUMMYFUNCTION("""COMPUTED_VALUE"""),"Марчук Игорь")</f>
        <v>Марчук Игорь</v>
      </c>
      <c r="B1238" s="14" t="str">
        <f ca="1">IFERROR(__xludf.DUMMYFUNCTION("""COMPUTED_VALUE"""),"marching.irc38@gmail.com")</f>
        <v>marching.irc38@gmail.com</v>
      </c>
      <c r="C1238" s="15" t="str">
        <f ca="1">IFERROR(__xludf.DUMMYFUNCTION("""COMPUTED_VALUE"""),"79148793315")</f>
        <v>79148793315</v>
      </c>
      <c r="D1238" s="15" t="str">
        <f ca="1">IFERROR(__xludf.DUMMYFUNCTION("""COMPUTED_VALUE"""),"Россия")</f>
        <v>Россия</v>
      </c>
      <c r="E1238" s="14"/>
      <c r="F1238" s="8" t="str">
        <f ca="1">IFERROR(__xludf.DUMMYFUNCTION("""COMPUTED_VALUE"""),"- Онлайн Интенсив Дальний Восток 25-27.03.2022 ")</f>
        <v xml:space="preserve">- Онлайн Интенсив Дальний Восток 25-27.03.2022 </v>
      </c>
      <c r="G1238" s="14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 spans="1:26" ht="14.25">
      <c r="A1239" s="14" t="str">
        <f ca="1">IFERROR(__xludf.DUMMYFUNCTION("""COMPUTED_VALUE""")," ")</f>
        <v xml:space="preserve"> </v>
      </c>
      <c r="B1239" s="14" t="str">
        <f ca="1">IFERROR(__xludf.DUMMYFUNCTION("""COMPUTED_VALUE"""),"margarita.2016m@bk.ru")</f>
        <v>margarita.2016m@bk.ru</v>
      </c>
      <c r="C1239" s="15"/>
      <c r="D1239" s="15" t="str">
        <f ca="1">IFERROR(__xludf.DUMMYFUNCTION("""COMPUTED_VALUE"""),"Армения")</f>
        <v>Армения</v>
      </c>
      <c r="E1239" s="14"/>
      <c r="F1239" s="8" t="str">
        <f ca="1">IFERROR(__xludf.DUMMYFUNCTION("""COMPUTED_VALUE"""),"Мероприятий не обнаружено")</f>
        <v>Мероприятий не обнаружено</v>
      </c>
      <c r="G1239" s="14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</row>
    <row r="1240" spans="1:26" ht="14.25">
      <c r="A1240" s="14" t="str">
        <f ca="1">IFERROR(__xludf.DUMMYFUNCTION("""COMPUTED_VALUE"""),"Марго Иванникова")</f>
        <v>Марго Иванникова</v>
      </c>
      <c r="B1240" s="14" t="str">
        <f ca="1">IFERROR(__xludf.DUMMYFUNCTION("""COMPUTED_VALUE"""),"margomargaritova48@gmail.com")</f>
        <v>margomargaritova48@gmail.com</v>
      </c>
      <c r="C1240" s="15"/>
      <c r="D1240" s="15" t="str">
        <f ca="1">IFERROR(__xludf.DUMMYFUNCTION("""COMPUTED_VALUE"""),"Швеция")</f>
        <v>Швеция</v>
      </c>
      <c r="E1240" s="14"/>
      <c r="F1240" s="8" t="str">
        <f ca="1">IFERROR(__xludf.DUMMYFUNCTION("""COMPUTED_VALUE"""),"- Тишина Челлендж (бесплатная часть)")</f>
        <v>- Тишина Челлендж (бесплатная часть)</v>
      </c>
      <c r="G1240" s="14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</row>
    <row r="1241" spans="1:26" ht="25.5">
      <c r="A1241" s="14" t="str">
        <f ca="1">IFERROR(__xludf.DUMMYFUNCTION("""COMPUTED_VALUE"""),"Маргарита Аитова")</f>
        <v>Маргарита Аитова</v>
      </c>
      <c r="B1241" s="14" t="str">
        <f ca="1">IFERROR(__xludf.DUMMYFUNCTION("""COMPUTED_VALUE"""),"margowa6464@mail.ru")</f>
        <v>margowa6464@mail.ru</v>
      </c>
      <c r="C1241" s="15" t="str">
        <f ca="1">IFERROR(__xludf.DUMMYFUNCTION("""COMPUTED_VALUE"""),"+998915307557")</f>
        <v>+998915307557</v>
      </c>
      <c r="D1241" s="15"/>
      <c r="E1241" s="14"/>
      <c r="F124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241" s="14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</row>
    <row r="1242" spans="1:26" ht="14.25">
      <c r="A1242" s="14" t="str">
        <f ca="1">IFERROR(__xludf.DUMMYFUNCTION("""COMPUTED_VALUE"""),"Марина Шогенова")</f>
        <v>Марина Шогенова</v>
      </c>
      <c r="B1242" s="14" t="str">
        <f ca="1">IFERROR(__xludf.DUMMYFUNCTION("""COMPUTED_VALUE"""),"mari-shogenova@yandex.ru")</f>
        <v>mari-shogenova@yandex.ru</v>
      </c>
      <c r="C1242" s="15" t="str">
        <f ca="1">IFERROR(__xludf.DUMMYFUNCTION("""COMPUTED_VALUE"""),"79287080501")</f>
        <v>79287080501</v>
      </c>
      <c r="D1242" s="15" t="str">
        <f ca="1">IFERROR(__xludf.DUMMYFUNCTION("""COMPUTED_VALUE"""),"Россия")</f>
        <v>Россия</v>
      </c>
      <c r="E1242" s="14"/>
      <c r="F1242" s="8" t="str">
        <f ca="1">IFERROR(__xludf.DUMMYFUNCTION("""COMPUTED_VALUE"""),"- Интенсив онлайн 11-13.02.2022")</f>
        <v>- Интенсив онлайн 11-13.02.2022</v>
      </c>
      <c r="G1242" s="14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</row>
    <row r="1243" spans="1:26" ht="14.25">
      <c r="A1243" s="14" t="str">
        <f ca="1">IFERROR(__xludf.DUMMYFUNCTION("""COMPUTED_VALUE"""),"maria_koza1987,  ")</f>
        <v xml:space="preserve">maria_koza1987,  </v>
      </c>
      <c r="B1243" s="14" t="str">
        <f ca="1">IFERROR(__xludf.DUMMYFUNCTION("""COMPUTED_VALUE"""),"maria_koza1987@hotmail.com")</f>
        <v>maria_koza1987@hotmail.com</v>
      </c>
      <c r="C1243" s="15"/>
      <c r="D1243" s="15"/>
      <c r="E1243" s="14"/>
      <c r="F1243" s="8" t="str">
        <f ca="1">IFERROR(__xludf.DUMMYFUNCTION("""COMPUTED_VALUE"""),"- USA Челлендж Тишина")</f>
        <v>- USA Челлендж Тишина</v>
      </c>
      <c r="G1243" s="14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</row>
    <row r="1244" spans="1:26" ht="14.25">
      <c r="A1244" s="14" t="str">
        <f ca="1">IFERROR(__xludf.DUMMYFUNCTION("""COMPUTED_VALUE"""),"Мария, Мария ")</f>
        <v xml:space="preserve">Мария, Мария </v>
      </c>
      <c r="B1244" s="14" t="str">
        <f ca="1">IFERROR(__xludf.DUMMYFUNCTION("""COMPUTED_VALUE"""),"Maria-kor@mail.ru")</f>
        <v>Maria-kor@mail.ru</v>
      </c>
      <c r="C1244" s="15" t="str">
        <f ca="1">IFERROR(__xludf.DUMMYFUNCTION("""COMPUTED_VALUE"""),"+79057457775")</f>
        <v>+79057457775</v>
      </c>
      <c r="D1244" s="15" t="str">
        <f ca="1">IFERROR(__xludf.DUMMYFUNCTION("""COMPUTED_VALUE"""),"Россия")</f>
        <v>Россия</v>
      </c>
      <c r="E1244" s="14"/>
      <c r="F1244" s="8" t="str">
        <f ca="1">IFERROR(__xludf.DUMMYFUNCTION("""COMPUTED_VALUE"""),"-  Курс Пробуждение. Начало.")</f>
        <v>-  Курс Пробуждение. Начало.</v>
      </c>
      <c r="G1244" s="14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</row>
    <row r="1245" spans="1:26" ht="102">
      <c r="A1245" s="14" t="str">
        <f ca="1">IFERROR(__xludf.DUMMYFUNCTION("""COMPUTED_VALUE"""),"Мария Фокина")</f>
        <v>Мария Фокина</v>
      </c>
      <c r="B1245" s="14" t="str">
        <f ca="1">IFERROR(__xludf.DUMMYFUNCTION("""COMPUTED_VALUE"""),"maria.fokina567@gmail.com")</f>
        <v>maria.fokina567@gmail.com</v>
      </c>
      <c r="C1245" s="15" t="str">
        <f ca="1">IFERROR(__xludf.DUMMYFUNCTION("""COMPUTED_VALUE"""),"79965163991")</f>
        <v>79965163991</v>
      </c>
      <c r="D1245" s="15" t="str">
        <f ca="1">IFERROR(__xludf.DUMMYFUNCTION("""COMPUTED_VALUE"""),"Швеция")</f>
        <v>Швеция</v>
      </c>
      <c r="E1245" s="14"/>
      <c r="F1245" s="8" t="str">
        <f ca="1">IFERROR(__xludf.DUMMYFUNCTION("""COMPUTED_VALUE"""),"- Ретрит в РЦ Сочи 14-21 января 2022  (Оплата с 5 января по 11 января)
- Ретрит ""Проектная деятельность"" для участников ретритов
- Вебинар с Никитой Бородулиным 11.02.2022 часть1
- Ретрит в РЦ Сочи 19-27 марта 2022  (Оплата с 7 марта до 16 марта)
- Ретр"&amp;"ит в РЦ Сочи май 2022 (Оплата до 17 апреля)
- Однодневный ретрит Россия 14 мая 2022")</f>
        <v>- Ретрит в РЦ Сочи 14-21 января 2022  (Оплата с 5 января по 11 января)
- Ретрит "Проектная деятельность" для участников ретритов
- Вебинар с Никитой Бородулиным 11.02.2022 часть1
- Ретрит в РЦ Сочи 19-27 марта 2022  (Оплата с 7 марта до 16 марта)
- Ретрит в РЦ Сочи май 2022 (Оплата до 17 апреля)
- Однодневный ретрит Россия 14 мая 2022</v>
      </c>
      <c r="G1245" s="14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</row>
    <row r="1246" spans="1:26" ht="38.25">
      <c r="A1246" s="14" t="str">
        <f ca="1">IFERROR(__xludf.DUMMYFUNCTION("""COMPUTED_VALUE"""),"Мария Бузунова")</f>
        <v>Мария Бузунова</v>
      </c>
      <c r="B1246" s="14" t="str">
        <f ca="1">IFERROR(__xludf.DUMMYFUNCTION("""COMPUTED_VALUE"""),"mariaaa07@mail.ru")</f>
        <v>mariaaa07@mail.ru</v>
      </c>
      <c r="C1246" s="15" t="str">
        <f ca="1">IFERROR(__xludf.DUMMYFUNCTION("""COMPUTED_VALUE"""),"79122969892")</f>
        <v>79122969892</v>
      </c>
      <c r="D1246" s="15" t="str">
        <f ca="1">IFERROR(__xludf.DUMMYFUNCTION("""COMPUTED_VALUE"""),"Россия")</f>
        <v>Россия</v>
      </c>
      <c r="E1246" s="14"/>
      <c r="F1246" s="8" t="str">
        <f ca="1">IFERROR(__xludf.DUMMYFUNCTION("""COMPUTED_VALUE"""),"- Выездной ретрит Тюмень 18-20 марта 2022 (оплата с 11 по 16 марта)
- Однодневный ретрит Россия 14 мая 2022")</f>
        <v>- Выездной ретрит Тюмень 18-20 марта 2022 (оплата с 11 по 16 марта)
- Однодневный ретрит Россия 14 мая 2022</v>
      </c>
      <c r="G1246" s="14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</row>
    <row r="1247" spans="1:26" ht="38.25">
      <c r="A1247" s="14" t="str">
        <f ca="1">IFERROR(__xludf.DUMMYFUNCTION("""COMPUTED_VALUE"""),"Olga Vasileva")</f>
        <v>Olga Vasileva</v>
      </c>
      <c r="B1247" s="14" t="str">
        <f ca="1">IFERROR(__xludf.DUMMYFUNCTION("""COMPUTED_VALUE"""),"Marianikvasileva@gmail.com")</f>
        <v>Marianikvasileva@gmail.com</v>
      </c>
      <c r="C1247" s="15" t="str">
        <f ca="1">IFERROR(__xludf.DUMMYFUNCTION("""COMPUTED_VALUE"""),"79143160499")</f>
        <v>79143160499</v>
      </c>
      <c r="D1247" s="15" t="str">
        <f ca="1">IFERROR(__xludf.DUMMYFUNCTION("""COMPUTED_VALUE"""),"Россия")</f>
        <v>Россия</v>
      </c>
      <c r="E1247" s="14" t="str">
        <f ca="1">IFERROR(__xludf.DUMMYFUNCTION("""COMPUTED_VALUE"""),"@OliyVa")</f>
        <v>@OliyVa</v>
      </c>
      <c r="F1247" s="8" t="str">
        <f ca="1">IFERROR(__xludf.DUMMYFUNCTION("""COMPUTED_VALUE"""),"- Интенсив Дальний Восток 28-30.01.2022
- Сообщество ДВ внутренний чат
- Клуб пробуждения Друзья (2 уровень) - 1 месяц")</f>
        <v>- Интенсив Дальний Восток 28-30.01.2022
- Сообщество ДВ внутренний чат
- Клуб пробуждения Друзья (2 уровень) - 1 месяц</v>
      </c>
      <c r="G1247" s="14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</row>
    <row r="1248" spans="1:26" ht="14.25">
      <c r="A1248" s="14" t="str">
        <f ca="1">IFERROR(__xludf.DUMMYFUNCTION("""COMPUTED_VALUE"""),"marianisutina,  ")</f>
        <v xml:space="preserve">marianisutina,  </v>
      </c>
      <c r="B1248" s="14" t="str">
        <f ca="1">IFERROR(__xludf.DUMMYFUNCTION("""COMPUTED_VALUE"""),"marianisutina@gmail.com")</f>
        <v>marianisutina@gmail.com</v>
      </c>
      <c r="C1248" s="15"/>
      <c r="D1248" s="15"/>
      <c r="E1248" s="14"/>
      <c r="F1248" s="8" t="str">
        <f ca="1">IFERROR(__xludf.DUMMYFUNCTION("""COMPUTED_VALUE"""),"- Всемирная Медитация Пробуждения")</f>
        <v>- Всемирная Медитация Пробуждения</v>
      </c>
      <c r="G1248" s="14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</row>
    <row r="1249" spans="1:26" ht="14.25">
      <c r="A1249" s="14" t="str">
        <f ca="1">IFERROR(__xludf.DUMMYFUNCTION("""COMPUTED_VALUE"""),"Мария Синявская")</f>
        <v>Мария Синявская</v>
      </c>
      <c r="B1249" s="14" t="str">
        <f ca="1">IFERROR(__xludf.DUMMYFUNCTION("""COMPUTED_VALUE"""),"mariasinyavskaya98@gmail.com")</f>
        <v>mariasinyavskaya98@gmail.com</v>
      </c>
      <c r="C1249" s="15"/>
      <c r="D1249" s="15" t="str">
        <f ca="1">IFERROR(__xludf.DUMMYFUNCTION("""COMPUTED_VALUE"""),"Беларусь")</f>
        <v>Беларусь</v>
      </c>
      <c r="E1249" s="14"/>
      <c r="F1249" s="8" t="str">
        <f ca="1">IFERROR(__xludf.DUMMYFUNCTION("""COMPUTED_VALUE"""),"- Базовая бесплатная часть")</f>
        <v>- Базовая бесплатная часть</v>
      </c>
      <c r="G1249" s="14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</row>
    <row r="1250" spans="1:26" ht="14.25">
      <c r="A1250" s="14" t="str">
        <f ca="1">IFERROR(__xludf.DUMMYFUNCTION("""COMPUTED_VALUE"""),"Maria Zimina")</f>
        <v>Maria Zimina</v>
      </c>
      <c r="B1250" s="14" t="str">
        <f ca="1">IFERROR(__xludf.DUMMYFUNCTION("""COMPUTED_VALUE"""),"mariazimina@yahoo.com")</f>
        <v>mariazimina@yahoo.com</v>
      </c>
      <c r="C1250" s="15" t="str">
        <f ca="1">IFERROR(__xludf.DUMMYFUNCTION("""COMPUTED_VALUE"""),", +14067813777")</f>
        <v>, +14067813777</v>
      </c>
      <c r="D1250" s="15" t="str">
        <f ca="1">IFERROR(__xludf.DUMMYFUNCTION("""COMPUTED_VALUE"""),"США")</f>
        <v>США</v>
      </c>
      <c r="E1250" s="14"/>
      <c r="F1250" s="8" t="str">
        <f ca="1">IFERROR(__xludf.DUMMYFUNCTION("""COMPUTED_VALUE"""),"Мероприятий не обнаружено")</f>
        <v>Мероприятий не обнаружено</v>
      </c>
      <c r="G1250" s="14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</row>
    <row r="1251" spans="1:26" ht="14.25">
      <c r="A1251" s="14" t="str">
        <f ca="1">IFERROR(__xludf.DUMMYFUNCTION("""COMPUTED_VALUE"""),"Марина Кривко")</f>
        <v>Марина Кривко</v>
      </c>
      <c r="B1251" s="14" t="str">
        <f ca="1">IFERROR(__xludf.DUMMYFUNCTION("""COMPUTED_VALUE"""),"marina.dorievna@mail.ru")</f>
        <v>marina.dorievna@mail.ru</v>
      </c>
      <c r="C1251" s="15" t="str">
        <f ca="1">IFERROR(__xludf.DUMMYFUNCTION("""COMPUTED_VALUE"""),"79781369224")</f>
        <v>79781369224</v>
      </c>
      <c r="D1251" s="15" t="str">
        <f ca="1">IFERROR(__xludf.DUMMYFUNCTION("""COMPUTED_VALUE"""),"Украина")</f>
        <v>Украина</v>
      </c>
      <c r="E1251" s="14"/>
      <c r="F1251" s="8" t="str">
        <f ca="1">IFERROR(__xludf.DUMMYFUNCTION("""COMPUTED_VALUE"""),"- Тишина Челлендж (бесплатная часть)")</f>
        <v>- Тишина Челлендж (бесплатная часть)</v>
      </c>
      <c r="G1251" s="14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</row>
    <row r="1252" spans="1:26" ht="25.5">
      <c r="A1252" s="14" t="str">
        <f ca="1">IFERROR(__xludf.DUMMYFUNCTION("""COMPUTED_VALUE"""),"Марина Кузнецова")</f>
        <v>Марина Кузнецова</v>
      </c>
      <c r="B1252" s="14" t="str">
        <f ca="1">IFERROR(__xludf.DUMMYFUNCTION("""COMPUTED_VALUE"""),"marinakuznetsova00@gmail.com")</f>
        <v>marinakuznetsova00@gmail.com</v>
      </c>
      <c r="C1252" s="15" t="str">
        <f ca="1">IFERROR(__xludf.DUMMYFUNCTION("""COMPUTED_VALUE"""),"+79242432112")</f>
        <v>+79242432112</v>
      </c>
      <c r="D1252" s="15" t="str">
        <f ca="1">IFERROR(__xludf.DUMMYFUNCTION("""COMPUTED_VALUE"""),"Россия")</f>
        <v>Россия</v>
      </c>
      <c r="E1252" s="14"/>
      <c r="F1252" s="8" t="str">
        <f ca="1">IFERROR(__xludf.DUMMYFUNCTION("""COMPUTED_VALUE"""),"- Онлайн Интенсив Дальний Восток 25-27.02.2022 
- Чайная встреча - Сочи-Хабаровск 19.2.2022")</f>
        <v>- Онлайн Интенсив Дальний Восток 25-27.02.2022 
- Чайная встреча - Сочи-Хабаровск 19.2.2022</v>
      </c>
      <c r="G1252" s="14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</row>
    <row r="1253" spans="1:26" ht="25.5">
      <c r="A1253" s="14" t="str">
        <f ca="1">IFERROR(__xludf.DUMMYFUNCTION("""COMPUTED_VALUE"""),"Марина Белозёрова")</f>
        <v>Марина Белозёрова</v>
      </c>
      <c r="B1253" s="14" t="str">
        <f ca="1">IFERROR(__xludf.DUMMYFUNCTION("""COMPUTED_VALUE"""),"marinamontessorischool@gmail.com")</f>
        <v>marinamontessorischool@gmail.com</v>
      </c>
      <c r="C1253" s="15" t="str">
        <f ca="1">IFERROR(__xludf.DUMMYFUNCTION("""COMPUTED_VALUE"""),"79217907548")</f>
        <v>79217907548</v>
      </c>
      <c r="D1253" s="15" t="str">
        <f ca="1">IFERROR(__xludf.DUMMYFUNCTION("""COMPUTED_VALUE"""),"Россия")</f>
        <v>Россия</v>
      </c>
      <c r="E1253" s="14"/>
      <c r="F1253" s="8" t="str">
        <f ca="1">IFERROR(__xludf.DUMMYFUNCTION("""COMPUTED_VALUE"""),"- Живая ""Практика тишины"" г. Санкт-Петербург (регулярные занятия)")</f>
        <v>- Живая "Практика тишины" г. Санкт-Петербург (регулярные занятия)</v>
      </c>
      <c r="G1253" s="14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</row>
    <row r="1254" spans="1:26" ht="14.25">
      <c r="A1254" s="14" t="str">
        <f ca="1">IFERROR(__xludf.DUMMYFUNCTION("""COMPUTED_VALUE"""),"Марина Подгорная")</f>
        <v>Марина Подгорная</v>
      </c>
      <c r="B1254" s="14" t="str">
        <f ca="1">IFERROR(__xludf.DUMMYFUNCTION("""COMPUTED_VALUE"""),"marinamurgina@mail.ru")</f>
        <v>marinamurgina@mail.ru</v>
      </c>
      <c r="C1254" s="15" t="str">
        <f ca="1">IFERROR(__xludf.DUMMYFUNCTION("""COMPUTED_VALUE"""),"293035220")</f>
        <v>293035220</v>
      </c>
      <c r="D1254" s="15" t="str">
        <f ca="1">IFERROR(__xludf.DUMMYFUNCTION("""COMPUTED_VALUE"""),"Беларусь")</f>
        <v>Беларусь</v>
      </c>
      <c r="E1254" s="14"/>
      <c r="F1254" s="8" t="str">
        <f ca="1">IFERROR(__xludf.DUMMYFUNCTION("""COMPUTED_VALUE"""),"- Чайная встреча Минск 5.2 2022")</f>
        <v>- Чайная встреча Минск 5.2 2022</v>
      </c>
      <c r="G1254" s="14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</row>
    <row r="1255" spans="1:26" ht="14.25">
      <c r="A1255" s="14" t="str">
        <f ca="1">IFERROR(__xludf.DUMMYFUNCTION("""COMPUTED_VALUE"""),"Marion Spintzou")</f>
        <v>Marion Spintzou</v>
      </c>
      <c r="B1255" s="14" t="str">
        <f ca="1">IFERROR(__xludf.DUMMYFUNCTION("""COMPUTED_VALUE"""),"marionspintzou@gmail.com")</f>
        <v>marionspintzou@gmail.com</v>
      </c>
      <c r="C1255" s="15"/>
      <c r="D1255" s="15"/>
      <c r="E1255" s="14"/>
      <c r="F1255" s="8" t="str">
        <f ca="1">IFERROR(__xludf.DUMMYFUNCTION("""COMPUTED_VALUE"""),"- What hides behind anxiety? The quantum leap [EU]")</f>
        <v>- What hides behind anxiety? The quantum leap [EU]</v>
      </c>
      <c r="G1255" s="14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</row>
    <row r="1256" spans="1:26" ht="14.25">
      <c r="A1256" s="14" t="str">
        <f ca="1">IFERROR(__xludf.DUMMYFUNCTION("""COMPUTED_VALUE"""),"Мария Володина")</f>
        <v>Мария Володина</v>
      </c>
      <c r="B1256" s="14" t="str">
        <f ca="1">IFERROR(__xludf.DUMMYFUNCTION("""COMPUTED_VALUE"""),"marivolond@gmail.com")</f>
        <v>marivolond@gmail.com</v>
      </c>
      <c r="C1256" s="15" t="str">
        <f ca="1">IFERROR(__xludf.DUMMYFUNCTION("""COMPUTED_VALUE"""),"+79266523155")</f>
        <v>+79266523155</v>
      </c>
      <c r="D1256" s="15" t="str">
        <f ca="1">IFERROR(__xludf.DUMMYFUNCTION("""COMPUTED_VALUE"""),"Россия")</f>
        <v>Россия</v>
      </c>
      <c r="E1256" s="14"/>
      <c r="F1256" s="8" t="str">
        <f ca="1">IFERROR(__xludf.DUMMYFUNCTION("""COMPUTED_VALUE"""),"- Челлендж Тишины")</f>
        <v>- Челлендж Тишины</v>
      </c>
      <c r="G1256" s="14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</row>
    <row r="1257" spans="1:26" ht="25.5">
      <c r="A1257" s="14" t="str">
        <f ca="1">IFERROR(__xludf.DUMMYFUNCTION("""COMPUTED_VALUE"""),"Мария Григориади")</f>
        <v>Мария Григориади</v>
      </c>
      <c r="B1257" s="14" t="str">
        <f ca="1">IFERROR(__xludf.DUMMYFUNCTION("""COMPUTED_VALUE"""),"mariya_grigoriadi@mail.ru")</f>
        <v>mariya_grigoriadi@mail.ru</v>
      </c>
      <c r="C1257" s="15" t="str">
        <f ca="1">IFERROR(__xludf.DUMMYFUNCTION("""COMPUTED_VALUE"""),"+77753209185")</f>
        <v>+77753209185</v>
      </c>
      <c r="D1257" s="15"/>
      <c r="E1257" s="14"/>
      <c r="F125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257" s="14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</row>
    <row r="1258" spans="1:26" ht="14.25">
      <c r="A1258" s="14" t="str">
        <f ca="1">IFERROR(__xludf.DUMMYFUNCTION("""COMPUTED_VALUE"""),"Мария Счастливая")</f>
        <v>Мария Счастливая</v>
      </c>
      <c r="B1258" s="14" t="str">
        <f ca="1">IFERROR(__xludf.DUMMYFUNCTION("""COMPUTED_VALUE"""),"mariya.schastlivaya.92@mail.ru")</f>
        <v>mariya.schastlivaya.92@mail.ru</v>
      </c>
      <c r="C1258" s="15"/>
      <c r="D1258" s="15" t="str">
        <f ca="1">IFERROR(__xludf.DUMMYFUNCTION("""COMPUTED_VALUE"""),"Швеция")</f>
        <v>Швеция</v>
      </c>
      <c r="E1258" s="14"/>
      <c r="F1258" s="8" t="str">
        <f ca="1">IFERROR(__xludf.DUMMYFUNCTION("""COMPUTED_VALUE"""),"- Тишина Челлендж (бесплатная часть)")</f>
        <v>- Тишина Челлендж (бесплатная часть)</v>
      </c>
      <c r="G1258" s="14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</row>
    <row r="1259" spans="1:26" ht="25.5">
      <c r="A1259" s="14" t="str">
        <f ca="1">IFERROR(__xludf.DUMMYFUNCTION("""COMPUTED_VALUE"""),"Мария Бекеева")</f>
        <v>Мария Бекеева</v>
      </c>
      <c r="B1259" s="14" t="str">
        <f ca="1">IFERROR(__xludf.DUMMYFUNCTION("""COMPUTED_VALUE"""),"mariya.timurkizi@gmail.com")</f>
        <v>mariya.timurkizi@gmail.com</v>
      </c>
      <c r="C1259" s="15" t="str">
        <f ca="1">IFERROR(__xludf.DUMMYFUNCTION("""COMPUTED_VALUE"""),"+77086891865")</f>
        <v>+77086891865</v>
      </c>
      <c r="D1259" s="15"/>
      <c r="E1259" s="14"/>
      <c r="F125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259" s="14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</row>
    <row r="1260" spans="1:26" ht="25.5">
      <c r="A1260" s="14" t="str">
        <f ca="1">IFERROR(__xludf.DUMMYFUNCTION("""COMPUTED_VALUE"""),"Марьяна Д")</f>
        <v>Марьяна Д</v>
      </c>
      <c r="B1260" s="14" t="str">
        <f ca="1">IFERROR(__xludf.DUMMYFUNCTION("""COMPUTED_VALUE"""),"mariyam.rt81@gmail.com")</f>
        <v>mariyam.rt81@gmail.com</v>
      </c>
      <c r="C1260" s="15" t="str">
        <f ca="1">IFERROR(__xludf.DUMMYFUNCTION("""COMPUTED_VALUE"""),"87051211215")</f>
        <v>87051211215</v>
      </c>
      <c r="D1260" s="15"/>
      <c r="E1260" s="14"/>
      <c r="F126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260" s="14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</row>
    <row r="1261" spans="1:26" ht="14.25">
      <c r="A1261" s="14" t="str">
        <f ca="1">IFERROR(__xludf.DUMMYFUNCTION("""COMPUTED_VALUE"""),"Marjolie Verbraak")</f>
        <v>Marjolie Verbraak</v>
      </c>
      <c r="B1261" s="14" t="str">
        <f ca="1">IFERROR(__xludf.DUMMYFUNCTION("""COMPUTED_VALUE"""),"marjolielouise@hotmail.com")</f>
        <v>marjolielouise@hotmail.com</v>
      </c>
      <c r="C1261" s="15"/>
      <c r="D1261" s="15"/>
      <c r="E1261" s="14"/>
      <c r="F1261" s="8" t="str">
        <f ca="1">IFERROR(__xludf.DUMMYFUNCTION("""COMPUTED_VALUE"""),"- What hides behind anxiety? The quantum leap [EU]")</f>
        <v>- What hides behind anxiety? The quantum leap [EU]</v>
      </c>
      <c r="G1261" s="14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</row>
    <row r="1262" spans="1:26" ht="14.25">
      <c r="A1262" s="14" t="str">
        <f ca="1">IFERROR(__xludf.DUMMYFUNCTION("""COMPUTED_VALUE"""),"Нина Маркова")</f>
        <v>Нина Маркова</v>
      </c>
      <c r="B1262" s="14" t="str">
        <f ca="1">IFERROR(__xludf.DUMMYFUNCTION("""COMPUTED_VALUE"""),"markova_nina@givinschool.org")</f>
        <v>markova_nina@givinschool.org</v>
      </c>
      <c r="C1262" s="15" t="str">
        <f ca="1">IFERROR(__xludf.DUMMYFUNCTION("""COMPUTED_VALUE"""),", +359879105108")</f>
        <v>, +359879105108</v>
      </c>
      <c r="D1262" s="15" t="str">
        <f ca="1">IFERROR(__xludf.DUMMYFUNCTION("""COMPUTED_VALUE"""),"россия")</f>
        <v>россия</v>
      </c>
      <c r="E1262" s="14"/>
      <c r="F1262" s="8" t="str">
        <f ca="1">IFERROR(__xludf.DUMMYFUNCTION("""COMPUTED_VALUE"""),"Мероприятий не обнаружено")</f>
        <v>Мероприятий не обнаружено</v>
      </c>
      <c r="G1262" s="14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</row>
    <row r="1263" spans="1:26" ht="14.25">
      <c r="A1263" s="14" t="str">
        <f ca="1">IFERROR(__xludf.DUMMYFUNCTION("""COMPUTED_VALUE"""),"Марина Абольник")</f>
        <v>Марина Абольник</v>
      </c>
      <c r="B1263" s="14" t="str">
        <f ca="1">IFERROR(__xludf.DUMMYFUNCTION("""COMPUTED_VALUE"""),"marlen01@mail.ru")</f>
        <v>marlen01@mail.ru</v>
      </c>
      <c r="C1263" s="15" t="str">
        <f ca="1">IFERROR(__xludf.DUMMYFUNCTION("""COMPUTED_VALUE"""),", 79109161919")</f>
        <v>, 79109161919</v>
      </c>
      <c r="D1263" s="15" t="str">
        <f ca="1">IFERROR(__xludf.DUMMYFUNCTION("""COMPUTED_VALUE"""),"Россия")</f>
        <v>Россия</v>
      </c>
      <c r="E1263" s="14"/>
      <c r="F1263" s="8" t="str">
        <f ca="1">IFERROR(__xludf.DUMMYFUNCTION("""COMPUTED_VALUE"""),"Мероприятий не обнаружено")</f>
        <v>Мероприятий не обнаружено</v>
      </c>
      <c r="G1263" s="14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</row>
    <row r="1264" spans="1:26" ht="14.25">
      <c r="A1264" s="14" t="str">
        <f ca="1">IFERROR(__xludf.DUMMYFUNCTION("""COMPUTED_VALUE"""),"Елена Галимова")</f>
        <v>Елена Галимова</v>
      </c>
      <c r="B1264" s="14" t="str">
        <f ca="1">IFERROR(__xludf.DUMMYFUNCTION("""COMPUTED_VALUE"""),"marta581@yandex.ru")</f>
        <v>marta581@yandex.ru</v>
      </c>
      <c r="C1264" s="15" t="str">
        <f ca="1">IFERROR(__xludf.DUMMYFUNCTION("""COMPUTED_VALUE"""),"+79613680141")</f>
        <v>+79613680141</v>
      </c>
      <c r="D1264" s="15" t="str">
        <f ca="1">IFERROR(__xludf.DUMMYFUNCTION("""COMPUTED_VALUE"""),"Россия")</f>
        <v>Россия</v>
      </c>
      <c r="E1264" s="14"/>
      <c r="F1264" s="8" t="str">
        <f ca="1">IFERROR(__xludf.DUMMYFUNCTION("""COMPUTED_VALUE"""),"- Медитация без стереотипов")</f>
        <v>- Медитация без стереотипов</v>
      </c>
      <c r="G1264" s="14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</row>
    <row r="1265" spans="1:26" ht="25.5">
      <c r="A1265" s="14" t="str">
        <f ca="1">IFERROR(__xludf.DUMMYFUNCTION("""COMPUTED_VALUE"""),"Маша Рыбакова")</f>
        <v>Маша Рыбакова</v>
      </c>
      <c r="B1265" s="14" t="str">
        <f ca="1">IFERROR(__xludf.DUMMYFUNCTION("""COMPUTED_VALUE"""),"maryaribakowa@yandex.ru")</f>
        <v>maryaribakowa@yandex.ru</v>
      </c>
      <c r="C1265" s="15" t="str">
        <f ca="1">IFERROR(__xludf.DUMMYFUNCTION("""COMPUTED_VALUE"""),"+79250625565")</f>
        <v>+79250625565</v>
      </c>
      <c r="D1265" s="15" t="str">
        <f ca="1">IFERROR(__xludf.DUMMYFUNCTION("""COMPUTED_VALUE"""),"Россия")</f>
        <v>Россия</v>
      </c>
      <c r="E1265" s="14"/>
      <c r="F1265" s="8" t="str">
        <f ca="1">IFERROR(__xludf.DUMMYFUNCTION("""COMPUTED_VALUE"""),"- Городской ретрит Москва 18-20.02.2022
- Интенсив 15-17 апреля Москва")</f>
        <v>- Городской ретрит Москва 18-20.02.2022
- Интенсив 15-17 апреля Москва</v>
      </c>
      <c r="G1265" s="14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</row>
    <row r="1266" spans="1:26" ht="25.5">
      <c r="A1266" s="14" t="str">
        <f ca="1">IFERROR(__xludf.DUMMYFUNCTION("""COMPUTED_VALUE"""),"Мила Сагатова")</f>
        <v>Мила Сагатова</v>
      </c>
      <c r="B1266" s="14" t="str">
        <f ca="1">IFERROR(__xludf.DUMMYFUNCTION("""COMPUTED_VALUE"""),"Masasagatova@gmail.com")</f>
        <v>Masasagatova@gmail.com</v>
      </c>
      <c r="C1266" s="15" t="str">
        <f ca="1">IFERROR(__xludf.DUMMYFUNCTION("""COMPUTED_VALUE"""),"909117979")</f>
        <v>909117979</v>
      </c>
      <c r="D1266" s="15"/>
      <c r="E1266" s="14"/>
      <c r="F126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266" s="14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</row>
    <row r="1267" spans="1:26" ht="14.25">
      <c r="A1267" s="14" t="str">
        <f ca="1">IFERROR(__xludf.DUMMYFUNCTION("""COMPUTED_VALUE"""),"Мария Егорова")</f>
        <v>Мария Егорова</v>
      </c>
      <c r="B1267" s="14" t="str">
        <f ca="1">IFERROR(__xludf.DUMMYFUNCTION("""COMPUTED_VALUE"""),"mashakomi@mail.ru")</f>
        <v>mashakomi@mail.ru</v>
      </c>
      <c r="C1267" s="15" t="str">
        <f ca="1">IFERROR(__xludf.DUMMYFUNCTION("""COMPUTED_VALUE"""),"+79251117035")</f>
        <v>+79251117035</v>
      </c>
      <c r="D1267" s="15" t="str">
        <f ca="1">IFERROR(__xludf.DUMMYFUNCTION("""COMPUTED_VALUE"""),"Россия")</f>
        <v>Россия</v>
      </c>
      <c r="E1267" s="14"/>
      <c r="F1267" s="8" t="str">
        <f ca="1">IFERROR(__xludf.DUMMYFUNCTION("""COMPUTED_VALUE"""),"- Интенсив онлайн 11-13.02.2022")</f>
        <v>- Интенсив онлайн 11-13.02.2022</v>
      </c>
      <c r="G1267" s="14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</row>
    <row r="1268" spans="1:26" ht="14.25">
      <c r="A1268" s="14" t="str">
        <f ca="1">IFERROR(__xludf.DUMMYFUNCTION("""COMPUTED_VALUE"""),"Мария Романенко")</f>
        <v>Мария Романенко</v>
      </c>
      <c r="B1268" s="14" t="str">
        <f ca="1">IFERROR(__xludf.DUMMYFUNCTION("""COMPUTED_VALUE"""),"mashysia-93@mail.ru")</f>
        <v>mashysia-93@mail.ru</v>
      </c>
      <c r="C1268" s="15" t="str">
        <f ca="1">IFERROR(__xludf.DUMMYFUNCTION("""COMPUTED_VALUE"""),"+375293156728")</f>
        <v>+375293156728</v>
      </c>
      <c r="D1268" s="15" t="str">
        <f ca="1">IFERROR(__xludf.DUMMYFUNCTION("""COMPUTED_VALUE"""),"Беларусь")</f>
        <v>Беларусь</v>
      </c>
      <c r="E1268" s="14"/>
      <c r="F1268" s="8" t="str">
        <f ca="1">IFERROR(__xludf.DUMMYFUNCTION("""COMPUTED_VALUE"""),"- Живая ""Практика Тишины"" Минск (регулярные занятия)")</f>
        <v>- Живая "Практика Тишины" Минск (регулярные занятия)</v>
      </c>
      <c r="G1268" s="14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</row>
    <row r="1269" spans="1:26" ht="14.25">
      <c r="A1269" s="14" t="str">
        <f ca="1">IFERROR(__xludf.DUMMYFUNCTION("""COMPUTED_VALUE"""),"Марина Матвеева")</f>
        <v>Марина Матвеева</v>
      </c>
      <c r="B1269" s="14" t="str">
        <f ca="1">IFERROR(__xludf.DUMMYFUNCTION("""COMPUTED_VALUE"""),"mass.badena@yandex.ru")</f>
        <v>mass.badena@yandex.ru</v>
      </c>
      <c r="C1269" s="15" t="str">
        <f ca="1">IFERROR(__xludf.DUMMYFUNCTION("""COMPUTED_VALUE"""),"+79500093324")</f>
        <v>+79500093324</v>
      </c>
      <c r="D1269" s="15" t="str">
        <f ca="1">IFERROR(__xludf.DUMMYFUNCTION("""COMPUTED_VALUE"""),"Россия")</f>
        <v>Россия</v>
      </c>
      <c r="E1269" s="14"/>
      <c r="F1269" s="8" t="str">
        <f ca="1">IFERROR(__xludf.DUMMYFUNCTION("""COMPUTED_VALUE"""),"- Тишина Челлендж (бесплатная часть)")</f>
        <v>- Тишина Челлендж (бесплатная часть)</v>
      </c>
      <c r="G1269" s="14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</row>
    <row r="1270" spans="1:26" ht="14.25">
      <c r="A1270" s="14" t="str">
        <f ca="1">IFERROR(__xludf.DUMMYFUNCTION("""COMPUTED_VALUE"""),"Константин Растворов")</f>
        <v>Константин Растворов</v>
      </c>
      <c r="B1270" s="14" t="str">
        <f ca="1">IFERROR(__xludf.DUMMYFUNCTION("""COMPUTED_VALUE"""),"masterstinchik@gmail.com")</f>
        <v>masterstinchik@gmail.com</v>
      </c>
      <c r="C1270" s="15" t="str">
        <f ca="1">IFERROR(__xludf.DUMMYFUNCTION("""COMPUTED_VALUE"""),"79121164370")</f>
        <v>79121164370</v>
      </c>
      <c r="D1270" s="15" t="str">
        <f ca="1">IFERROR(__xludf.DUMMYFUNCTION("""COMPUTED_VALUE"""),"Россия")</f>
        <v>Россия</v>
      </c>
      <c r="E1270" s="14"/>
      <c r="F1270" s="8" t="str">
        <f ca="1">IFERROR(__xludf.DUMMYFUNCTION("""COMPUTED_VALUE"""),"- Вебинар все о ретрите 12.2.2022")</f>
        <v>- Вебинар все о ретрите 12.2.2022</v>
      </c>
      <c r="G1270" s="14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</row>
    <row r="1271" spans="1:26" ht="14.25">
      <c r="A1271" s="14" t="str">
        <f ca="1">IFERROR(__xludf.DUMMYFUNCTION("""COMPUTED_VALUE"""),"Алексий Пашкевич")</f>
        <v>Алексий Пашкевич</v>
      </c>
      <c r="B1271" s="14" t="str">
        <f ca="1">IFERROR(__xludf.DUMMYFUNCTION("""COMPUTED_VALUE"""),"mat2@ya.ru")</f>
        <v>mat2@ya.ru</v>
      </c>
      <c r="C1271" s="15" t="str">
        <f ca="1">IFERROR(__xludf.DUMMYFUNCTION("""COMPUTED_VALUE"""),", +375259434825")</f>
        <v>, +375259434825</v>
      </c>
      <c r="D1271" s="15" t="str">
        <f ca="1">IFERROR(__xludf.DUMMYFUNCTION("""COMPUTED_VALUE"""),"Беларусь")</f>
        <v>Беларусь</v>
      </c>
      <c r="E1271" s="14"/>
      <c r="F1271" s="8" t="str">
        <f ca="1">IFERROR(__xludf.DUMMYFUNCTION("""COMPUTED_VALUE"""),"Мероприятий не обнаружено")</f>
        <v>Мероприятий не обнаружено</v>
      </c>
      <c r="G1271" s="14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</row>
    <row r="1272" spans="1:26" ht="38.25">
      <c r="A1272" s="14" t="str">
        <f ca="1">IFERROR(__xludf.DUMMYFUNCTION("""COMPUTED_VALUE"""),"Асель Тлеукен")</f>
        <v>Асель Тлеукен</v>
      </c>
      <c r="B1272" s="14" t="str">
        <f ca="1">IFERROR(__xludf.DUMMYFUNCTION("""COMPUTED_VALUE"""),"Mat2013sony@mail.ru")</f>
        <v>Mat2013sony@mail.ru</v>
      </c>
      <c r="C1272" s="15" t="str">
        <f ca="1">IFERROR(__xludf.DUMMYFUNCTION("""COMPUTED_VALUE"""),"7015539311")</f>
        <v>7015539311</v>
      </c>
      <c r="D1272" s="15" t="str">
        <f ca="1">IFERROR(__xludf.DUMMYFUNCTION("""COMPUTED_VALUE"""),"Казахстан")</f>
        <v>Казахстан</v>
      </c>
      <c r="E1272" s="14"/>
      <c r="F1272" s="8" t="str">
        <f ca="1">IFERROR(__xludf.DUMMYFUNCTION("""COMPUTED_VALUE"""),"- Марафон Тишины - Тишина челлендж: Урал, Казахстан, Узбекистан 25-29.04.2022
- Тишина Челлендж (бесплатная часть)")</f>
        <v>- Марафон Тишины - Тишина челлендж: Урал, Казахстан, Узбекистан 25-29.04.2022
- Тишина Челлендж (бесплатная часть)</v>
      </c>
      <c r="G1272" s="14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</row>
    <row r="1273" spans="1:26" ht="25.5">
      <c r="A1273" s="14" t="str">
        <f ca="1">IFERROR(__xludf.DUMMYFUNCTION("""COMPUTED_VALUE"""),"Алёна Матяш")</f>
        <v>Алёна Матяш</v>
      </c>
      <c r="B1273" s="14" t="str">
        <f ca="1">IFERROR(__xludf.DUMMYFUNCTION("""COMPUTED_VALUE"""),"Matyash10@gmail.com")</f>
        <v>Matyash10@gmail.com</v>
      </c>
      <c r="C1273" s="15" t="str">
        <f ca="1">IFERROR(__xludf.DUMMYFUNCTION("""COMPUTED_VALUE"""),"+77087070016")</f>
        <v>+77087070016</v>
      </c>
      <c r="D1273" s="15"/>
      <c r="E1273" s="14"/>
      <c r="F127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273" s="14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</row>
    <row r="1274" spans="1:26" ht="25.5">
      <c r="A1274" s="14" t="str">
        <f ca="1">IFERROR(__xludf.DUMMYFUNCTION("""COMPUTED_VALUE"""),"Максим Космынин")</f>
        <v>Максим Космынин</v>
      </c>
      <c r="B1274" s="14" t="str">
        <f ca="1">IFERROR(__xludf.DUMMYFUNCTION("""COMPUTED_VALUE"""),"Maxarab96@gmail.com")</f>
        <v>Maxarab96@gmail.com</v>
      </c>
      <c r="C1274" s="15" t="str">
        <f ca="1">IFERROR(__xludf.DUMMYFUNCTION("""COMPUTED_VALUE"""),"+998971990461")</f>
        <v>+998971990461</v>
      </c>
      <c r="D1274" s="15"/>
      <c r="E1274" s="14"/>
      <c r="F127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274" s="14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</row>
    <row r="1275" spans="1:26" ht="14.25">
      <c r="A1275" s="14" t="str">
        <f ca="1">IFERROR(__xludf.DUMMYFUNCTION("""COMPUTED_VALUE"""),"maxmaxvl,  ")</f>
        <v xml:space="preserve">maxmaxvl,  </v>
      </c>
      <c r="B1275" s="14" t="str">
        <f ca="1">IFERROR(__xludf.DUMMYFUNCTION("""COMPUTED_VALUE"""),"maxmaxvl@gmail.com")</f>
        <v>maxmaxvl@gmail.com</v>
      </c>
      <c r="C1275" s="15"/>
      <c r="D1275" s="15"/>
      <c r="E1275" s="14"/>
      <c r="F1275" s="8" t="str">
        <f ca="1">IFERROR(__xludf.DUMMYFUNCTION("""COMPUTED_VALUE"""),"- Практика Тишины общая платная")</f>
        <v>- Практика Тишины общая платная</v>
      </c>
      <c r="G1275" s="14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</row>
    <row r="1276" spans="1:26" ht="14.25">
      <c r="A1276" s="14" t="str">
        <f ca="1">IFERROR(__xludf.DUMMYFUNCTION("""COMPUTED_VALUE"""),"Petersohn Natalia")</f>
        <v>Petersohn Natalia</v>
      </c>
      <c r="B1276" s="14" t="str">
        <f ca="1">IFERROR(__xludf.DUMMYFUNCTION("""COMPUTED_VALUE"""),"maxnata@bk.ru")</f>
        <v>maxnata@bk.ru</v>
      </c>
      <c r="C1276" s="15" t="str">
        <f ca="1">IFERROR(__xludf.DUMMYFUNCTION("""COMPUTED_VALUE"""),"+4917647066801")</f>
        <v>+4917647066801</v>
      </c>
      <c r="D1276" s="15" t="str">
        <f ca="1">IFERROR(__xludf.DUMMYFUNCTION("""COMPUTED_VALUE"""),"Германия")</f>
        <v>Германия</v>
      </c>
      <c r="E1276" s="14"/>
      <c r="F1276" s="8" t="str">
        <f ca="1">IFERROR(__xludf.DUMMYFUNCTION("""COMPUTED_VALUE"""),"-  встреча Космос внутри Сочи 5.3.2022")</f>
        <v>-  встреча Космос внутри Сочи 5.3.2022</v>
      </c>
      <c r="G1276" s="14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</row>
    <row r="1277" spans="1:26" ht="25.5">
      <c r="A1277" s="14" t="str">
        <f ca="1">IFERROR(__xludf.DUMMYFUNCTION("""COMPUTED_VALUE"""),"Елена Саблина")</f>
        <v>Елена Саблина</v>
      </c>
      <c r="B1277" s="14" t="str">
        <f ca="1">IFERROR(__xludf.DUMMYFUNCTION("""COMPUTED_VALUE"""),"maydantee@gmail.com")</f>
        <v>maydantee@gmail.com</v>
      </c>
      <c r="C1277" s="15" t="str">
        <f ca="1">IFERROR(__xludf.DUMMYFUNCTION("""COMPUTED_VALUE"""),"+998997979308")</f>
        <v>+998997979308</v>
      </c>
      <c r="D1277" s="15"/>
      <c r="E1277" s="14"/>
      <c r="F127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277" s="14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</row>
    <row r="1278" spans="1:26" ht="14.25">
      <c r="A1278" s="14" t="str">
        <f ca="1">IFERROR(__xludf.DUMMYFUNCTION("""COMPUTED_VALUE"""),"Мухамед Курайши")</f>
        <v>Мухамед Курайши</v>
      </c>
      <c r="B1278" s="14" t="str">
        <f ca="1">IFERROR(__xludf.DUMMYFUNCTION("""COMPUTED_VALUE"""),"medikos007@yandex.ru")</f>
        <v>medikos007@yandex.ru</v>
      </c>
      <c r="C1278" s="15" t="str">
        <f ca="1">IFERROR(__xludf.DUMMYFUNCTION("""COMPUTED_VALUE"""),"79295110604")</f>
        <v>79295110604</v>
      </c>
      <c r="D1278" s="15" t="str">
        <f ca="1">IFERROR(__xludf.DUMMYFUNCTION("""COMPUTED_VALUE"""),"Россия")</f>
        <v>Россия</v>
      </c>
      <c r="E1278" s="14"/>
      <c r="F1278" s="8" t="str">
        <f ca="1">IFERROR(__xludf.DUMMYFUNCTION("""COMPUTED_VALUE"""),"- Практика Тишины Москва")</f>
        <v>- Практика Тишины Москва</v>
      </c>
      <c r="G1278" s="14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</row>
    <row r="1279" spans="1:26" ht="14.25">
      <c r="A1279" s="14" t="str">
        <f ca="1">IFERROR(__xludf.DUMMYFUNCTION("""COMPUTED_VALUE"""),"Елена Медв")</f>
        <v>Елена Медв</v>
      </c>
      <c r="B1279" s="14" t="str">
        <f ca="1">IFERROR(__xludf.DUMMYFUNCTION("""COMPUTED_VALUE"""),"medv.elen@tut.by")</f>
        <v>medv.elen@tut.by</v>
      </c>
      <c r="C1279" s="15" t="str">
        <f ca="1">IFERROR(__xludf.DUMMYFUNCTION("""COMPUTED_VALUE"""),"+375295442251")</f>
        <v>+375295442251</v>
      </c>
      <c r="D1279" s="15"/>
      <c r="E1279" s="14"/>
      <c r="F1279" s="8" t="str">
        <f ca="1">IFERROR(__xludf.DUMMYFUNCTION("""COMPUTED_VALUE"""),"- Тишина Челлендж (бесплатная часть)")</f>
        <v>- Тишина Челлендж (бесплатная часть)</v>
      </c>
      <c r="G1279" s="14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</row>
    <row r="1280" spans="1:26" ht="14.25">
      <c r="A1280" s="14" t="str">
        <f ca="1">IFERROR(__xludf.DUMMYFUNCTION("""COMPUTED_VALUE"""),"Марина Медведева")</f>
        <v>Марина Медведева</v>
      </c>
      <c r="B1280" s="14" t="str">
        <f ca="1">IFERROR(__xludf.DUMMYFUNCTION("""COMPUTED_VALUE"""),"medvedevam256@gmail.com")</f>
        <v>medvedevam256@gmail.com</v>
      </c>
      <c r="C1280" s="15" t="str">
        <f ca="1">IFERROR(__xludf.DUMMYFUNCTION("""COMPUTED_VALUE"""),"79520813361")</f>
        <v>79520813361</v>
      </c>
      <c r="D1280" s="15" t="str">
        <f ca="1">IFERROR(__xludf.DUMMYFUNCTION("""COMPUTED_VALUE"""),"Россия")</f>
        <v>Россия</v>
      </c>
      <c r="E1280" s="14"/>
      <c r="F1280" s="8" t="str">
        <f ca="1">IFERROR(__xludf.DUMMYFUNCTION("""COMPUTED_VALUE"""),"- Онлайн Интенсив Дальний Восток 25-27.03.2022 ")</f>
        <v xml:space="preserve">- Онлайн Интенсив Дальний Восток 25-27.03.2022 </v>
      </c>
      <c r="G1280" s="14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</row>
    <row r="1281" spans="1:26" ht="14.25">
      <c r="A1281" s="14" t="str">
        <f ca="1">IFERROR(__xludf.DUMMYFUNCTION("""COMPUTED_VALUE"""),"Наталья Курышева")</f>
        <v>Наталья Курышева</v>
      </c>
      <c r="B1281" s="14" t="str">
        <f ca="1">IFERROR(__xludf.DUMMYFUNCTION("""COMPUTED_VALUE"""),"mega.nata2005@mail.ru")</f>
        <v>mega.nata2005@mail.ru</v>
      </c>
      <c r="C1281" s="15" t="str">
        <f ca="1">IFERROR(__xludf.DUMMYFUNCTION("""COMPUTED_VALUE"""),"+79645054198")</f>
        <v>+79645054198</v>
      </c>
      <c r="D1281" s="15" t="str">
        <f ca="1">IFERROR(__xludf.DUMMYFUNCTION("""COMPUTED_VALUE"""),"Россия")</f>
        <v>Россия</v>
      </c>
      <c r="E1281" s="14"/>
      <c r="F1281" s="8" t="str">
        <f ca="1">IFERROR(__xludf.DUMMYFUNCTION("""COMPUTED_VALUE"""),"- Регулярная практика тишины в Москве ")</f>
        <v xml:space="preserve">- Регулярная практика тишины в Москве </v>
      </c>
      <c r="G1281" s="14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</row>
    <row r="1282" spans="1:26" ht="14.25">
      <c r="A1282" s="14" t="str">
        <f ca="1">IFERROR(__xludf.DUMMYFUNCTION("""COMPUTED_VALUE"""),"Сергей Щетина")</f>
        <v>Сергей Щетина</v>
      </c>
      <c r="B1282" s="14" t="str">
        <f ca="1">IFERROR(__xludf.DUMMYFUNCTION("""COMPUTED_VALUE"""),"mega.shchetina@mail.ru")</f>
        <v>mega.shchetina@mail.ru</v>
      </c>
      <c r="C1282" s="15" t="str">
        <f ca="1">IFERROR(__xludf.DUMMYFUNCTION("""COMPUTED_VALUE"""),"+79788570451")</f>
        <v>+79788570451</v>
      </c>
      <c r="D1282" s="15" t="str">
        <f ca="1">IFERROR(__xludf.DUMMYFUNCTION("""COMPUTED_VALUE"""),"Россия")</f>
        <v>Россия</v>
      </c>
      <c r="E1282" s="14"/>
      <c r="F1282" s="8" t="str">
        <f ca="1">IFERROR(__xludf.DUMMYFUNCTION("""COMPUTED_VALUE"""),"- Вебинар все о ретрите 12.2.2022")</f>
        <v>- Вебинар все о ретрите 12.2.2022</v>
      </c>
      <c r="G1282" s="14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</row>
    <row r="1283" spans="1:26" ht="14.25">
      <c r="A1283" s="14" t="str">
        <f ca="1">IFERROR(__xludf.DUMMYFUNCTION("""COMPUTED_VALUE"""),"mehrangez.rafieva,  ")</f>
        <v xml:space="preserve">mehrangez.rafieva,  </v>
      </c>
      <c r="B1283" s="14" t="str">
        <f ca="1">IFERROR(__xludf.DUMMYFUNCTION("""COMPUTED_VALUE"""),"mehrangez.rafieva@gmail.com")</f>
        <v>mehrangez.rafieva@gmail.com</v>
      </c>
      <c r="C1283" s="15"/>
      <c r="D1283" s="15"/>
      <c r="E1283" s="14"/>
      <c r="F1283" s="8" t="str">
        <f ca="1">IFERROR(__xludf.DUMMYFUNCTION("""COMPUTED_VALUE"""),"- USA Челлендж Тишина")</f>
        <v>- USA Челлендж Тишина</v>
      </c>
      <c r="G1283" s="14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</row>
    <row r="1284" spans="1:26" ht="14.25">
      <c r="A1284" s="14" t="str">
        <f ca="1">IFERROR(__xludf.DUMMYFUNCTION("""COMPUTED_VALUE"""),"Eleni Papa")</f>
        <v>Eleni Papa</v>
      </c>
      <c r="B1284" s="14" t="str">
        <f ca="1">IFERROR(__xludf.DUMMYFUNCTION("""COMPUTED_VALUE"""),"melangebg@gmail.com")</f>
        <v>melangebg@gmail.com</v>
      </c>
      <c r="C1284" s="15"/>
      <c r="D1284" s="15"/>
      <c r="E1284" s="14"/>
      <c r="F1284" s="8" t="str">
        <f ca="1">IFERROR(__xludf.DUMMYFUNCTION("""COMPUTED_VALUE"""),"- What hides behind anxiety? The quantum leap [EU]")</f>
        <v>- What hides behind anxiety? The quantum leap [EU]</v>
      </c>
      <c r="G1284" s="14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</row>
    <row r="1285" spans="1:26" ht="25.5">
      <c r="A1285" s="14" t="str">
        <f ca="1">IFERROR(__xludf.DUMMYFUNCTION("""COMPUTED_VALUE"""),"Елена Мясник")</f>
        <v>Елена Мясник</v>
      </c>
      <c r="B1285" s="14" t="str">
        <f ca="1">IFERROR(__xludf.DUMMYFUNCTION("""COMPUTED_VALUE"""),"melena2772@gmail.com")</f>
        <v>melena2772@gmail.com</v>
      </c>
      <c r="C1285" s="15" t="str">
        <f ca="1">IFERROR(__xludf.DUMMYFUNCTION("""COMPUTED_VALUE"""),"+998935150593")</f>
        <v>+998935150593</v>
      </c>
      <c r="D1285" s="15"/>
      <c r="E1285" s="14"/>
      <c r="F128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285" s="14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</row>
    <row r="1286" spans="1:26" ht="14.25">
      <c r="A1286" s="14" t="str">
        <f ca="1">IFERROR(__xludf.DUMMYFUNCTION("""COMPUTED_VALUE"""),"Ксения Губанова")</f>
        <v>Ксения Губанова</v>
      </c>
      <c r="B1286" s="14" t="str">
        <f ca="1">IFERROR(__xludf.DUMMYFUNCTION("""COMPUTED_VALUE"""),"melenteva.kseniya@bk.ru")</f>
        <v>melenteva.kseniya@bk.ru</v>
      </c>
      <c r="C1286" s="15" t="str">
        <f ca="1">IFERROR(__xludf.DUMMYFUNCTION("""COMPUTED_VALUE"""),"+79615759620")</f>
        <v>+79615759620</v>
      </c>
      <c r="D1286" s="15" t="str">
        <f ca="1">IFERROR(__xludf.DUMMYFUNCTION("""COMPUTED_VALUE"""),"Россия")</f>
        <v>Россия</v>
      </c>
      <c r="E1286" s="14"/>
      <c r="F1286" s="8" t="str">
        <f ca="1">IFERROR(__xludf.DUMMYFUNCTION("""COMPUTED_VALUE"""),"- Практика тишины Магнитогорск 19.02.2022")</f>
        <v>- Практика тишины Магнитогорск 19.02.2022</v>
      </c>
      <c r="G1286" s="14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</row>
    <row r="1287" spans="1:26" ht="14.25">
      <c r="A1287" s="14" t="str">
        <f ca="1">IFERROR(__xludf.DUMMYFUNCTION("""COMPUTED_VALUE"""),"Евгений Иванов")</f>
        <v>Евгений Иванов</v>
      </c>
      <c r="B1287" s="14" t="str">
        <f ca="1">IFERROR(__xludf.DUMMYFUNCTION("""COMPUTED_VALUE"""),"Mens.EV@yandex.ru")</f>
        <v>Mens.EV@yandex.ru</v>
      </c>
      <c r="C1287" s="15" t="str">
        <f ca="1">IFERROR(__xludf.DUMMYFUNCTION("""COMPUTED_VALUE"""),"79134470011")</f>
        <v>79134470011</v>
      </c>
      <c r="D1287" s="15" t="str">
        <f ca="1">IFERROR(__xludf.DUMMYFUNCTION("""COMPUTED_VALUE"""),"Россия")</f>
        <v>Россия</v>
      </c>
      <c r="E1287" s="14"/>
      <c r="F1287" s="8" t="str">
        <f ca="1">IFERROR(__xludf.DUMMYFUNCTION("""COMPUTED_VALUE"""),"-  встреча Космос внутри Сочи 5.3.2022")</f>
        <v>-  встреча Космос внутри Сочи 5.3.2022</v>
      </c>
      <c r="G1287" s="14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</row>
    <row r="1288" spans="1:26" ht="25.5">
      <c r="A1288" s="14" t="str">
        <f ca="1">IFERROR(__xludf.DUMMYFUNCTION("""COMPUTED_VALUE"""),"Игорь Гостяев")</f>
        <v>Игорь Гостяев</v>
      </c>
      <c r="B1288" s="14" t="str">
        <f ca="1">IFERROR(__xludf.DUMMYFUNCTION("""COMPUTED_VALUE"""),"Mentatdante@gmail.com")</f>
        <v>Mentatdante@gmail.com</v>
      </c>
      <c r="C1288" s="15" t="str">
        <f ca="1">IFERROR(__xludf.DUMMYFUNCTION("""COMPUTED_VALUE"""),"+375257054822")</f>
        <v>+375257054822</v>
      </c>
      <c r="D1288" s="15" t="str">
        <f ca="1">IFERROR(__xludf.DUMMYFUNCTION("""COMPUTED_VALUE"""),"Беларусь")</f>
        <v>Беларусь</v>
      </c>
      <c r="E1288" s="14"/>
      <c r="F1288" s="8" t="str">
        <f ca="1">IFERROR(__xludf.DUMMYFUNCTION("""COMPUTED_VALUE"""),"- Чайная встреча Разговор по душам 19.3.2022 Минск
- Чайная встреча Разговор по душам Минск 9.04.2022")</f>
        <v>- Чайная встреча Разговор по душам 19.3.2022 Минск
- Чайная встреча Разговор по душам Минск 9.04.2022</v>
      </c>
      <c r="G1288" s="14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</row>
    <row r="1289" spans="1:26" ht="76.5">
      <c r="A1289" s="14" t="str">
        <f ca="1">IFERROR(__xludf.DUMMYFUNCTION("""COMPUTED_VALUE"""),"Евгений Землянских")</f>
        <v>Евгений Землянских</v>
      </c>
      <c r="B1289" s="14" t="str">
        <f ca="1">IFERROR(__xludf.DUMMYFUNCTION("""COMPUTED_VALUE"""),"Meridian-zev@mail.ru")</f>
        <v>Meridian-zev@mail.ru</v>
      </c>
      <c r="C1289" s="15" t="str">
        <f ca="1">IFERROR(__xludf.DUMMYFUNCTION("""COMPUTED_VALUE"""),"+79085863177")</f>
        <v>+79085863177</v>
      </c>
      <c r="D1289" s="15" t="str">
        <f ca="1">IFERROR(__xludf.DUMMYFUNCTION("""COMPUTED_VALUE"""),"Россия")</f>
        <v>Россия</v>
      </c>
      <c r="E1289" s="14"/>
      <c r="F1289" s="8" t="str">
        <f ca="1">IFERROR(__xludf.DUMMYFUNCTION("""COMPUTED_VALUE"""),"- Практика тишины Магнитогорск 19.02.2022
- Интенсив Магнитогорск 20.02.2022
- Ретрит в РЦ Сочи 19-27 марта 2022 (Оплата до 6 марта)
- Практика тишины онлайн 3.03.2022
- Ретрит в РЦ Сочи 19-27 марта 2022  (Оплата с 7 марта до 16 марта)")</f>
        <v>- Практика тишины Магнитогорск 19.02.2022
- Интенсив Магнитогорск 20.02.2022
- Ретрит в РЦ Сочи 19-27 марта 2022 (Оплата до 6 марта)
- Практика тишины онлайн 3.03.2022
- Ретрит в РЦ Сочи 19-27 марта 2022  (Оплата с 7 марта до 16 марта)</v>
      </c>
      <c r="G1289" s="14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</row>
    <row r="1290" spans="1:26" ht="14.25">
      <c r="A1290" s="14" t="str">
        <f ca="1">IFERROR(__xludf.DUMMYFUNCTION("""COMPUTED_VALUE"""),"merkotanolena804,  ")</f>
        <v xml:space="preserve">merkotanolena804,  </v>
      </c>
      <c r="B1290" s="14" t="str">
        <f ca="1">IFERROR(__xludf.DUMMYFUNCTION("""COMPUTED_VALUE"""),"merkotanolena804@gmail.com")</f>
        <v>merkotanolena804@gmail.com</v>
      </c>
      <c r="C1290" s="15"/>
      <c r="D1290" s="15"/>
      <c r="E1290" s="14"/>
      <c r="F1290" s="8" t="str">
        <f ca="1">IFERROR(__xludf.DUMMYFUNCTION("""COMPUTED_VALUE"""),"- USA Челлендж Тишина")</f>
        <v>- USA Челлендж Тишина</v>
      </c>
      <c r="G1290" s="14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</row>
    <row r="1291" spans="1:26" ht="14.25">
      <c r="A1291" s="14" t="str">
        <f ca="1">IFERROR(__xludf.DUMMYFUNCTION("""COMPUTED_VALUE"""),"Екатерина Лавренова")</f>
        <v>Екатерина Лавренова</v>
      </c>
      <c r="B1291" s="14" t="str">
        <f ca="1">IFERROR(__xludf.DUMMYFUNCTION("""COMPUTED_VALUE"""),"Mermaid-Kitana@yandex.ru")</f>
        <v>Mermaid-Kitana@yandex.ru</v>
      </c>
      <c r="C1291" s="15" t="str">
        <f ca="1">IFERROR(__xludf.DUMMYFUNCTION("""COMPUTED_VALUE"""),"+375298906307")</f>
        <v>+375298906307</v>
      </c>
      <c r="D1291" s="15" t="str">
        <f ca="1">IFERROR(__xludf.DUMMYFUNCTION("""COMPUTED_VALUE"""),"Беларусь")</f>
        <v>Беларусь</v>
      </c>
      <c r="E1291" s="14"/>
      <c r="F1291" s="8" t="str">
        <f ca="1">IFERROR(__xludf.DUMMYFUNCTION("""COMPUTED_VALUE"""),"- Чайная встреча Разговор по душам Минск 12.03.2022")</f>
        <v>- Чайная встреча Разговор по душам Минск 12.03.2022</v>
      </c>
      <c r="G1291" s="14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</row>
    <row r="1292" spans="1:26" ht="14.25">
      <c r="A1292" s="14" t="str">
        <f ca="1">IFERROR(__xludf.DUMMYFUNCTION("""COMPUTED_VALUE"""),"Меруерт Шабденова")</f>
        <v>Меруерт Шабденова</v>
      </c>
      <c r="B1292" s="14" t="str">
        <f ca="1">IFERROR(__xludf.DUMMYFUNCTION("""COMPUTED_VALUE"""),"meru_smk@mail.ru")</f>
        <v>meru_smk@mail.ru</v>
      </c>
      <c r="C1292" s="15"/>
      <c r="D1292" s="15" t="str">
        <f ca="1">IFERROR(__xludf.DUMMYFUNCTION("""COMPUTED_VALUE"""),"Россия")</f>
        <v>Россия</v>
      </c>
      <c r="E1292" s="14"/>
      <c r="F1292" s="8" t="str">
        <f ca="1">IFERROR(__xludf.DUMMYFUNCTION("""COMPUTED_VALUE"""),"- Тишина Челлендж (бесплатная часть)")</f>
        <v>- Тишина Челлендж (бесплатная часть)</v>
      </c>
      <c r="G1292" s="14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</row>
    <row r="1293" spans="1:26" ht="25.5">
      <c r="A1293" s="14" t="str">
        <f ca="1">IFERROR(__xludf.DUMMYFUNCTION("""COMPUTED_VALUE"""),"Меруерт Ш")</f>
        <v>Меруерт Ш</v>
      </c>
      <c r="B1293" s="14" t="str">
        <f ca="1">IFERROR(__xludf.DUMMYFUNCTION("""COMPUTED_VALUE"""),"merumer@mail.ru")</f>
        <v>merumer@mail.ru</v>
      </c>
      <c r="C1293" s="15" t="str">
        <f ca="1">IFERROR(__xludf.DUMMYFUNCTION("""COMPUTED_VALUE"""),"+77014030237")</f>
        <v>+77014030237</v>
      </c>
      <c r="D1293" s="15"/>
      <c r="E1293" s="14"/>
      <c r="F129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293" s="14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</row>
    <row r="1294" spans="1:26" ht="14.25">
      <c r="A1294" s="14" t="str">
        <f ca="1">IFERROR(__xludf.DUMMYFUNCTION("""COMPUTED_VALUE"""),"Валентина Мещанова")</f>
        <v>Валентина Мещанова</v>
      </c>
      <c r="B1294" s="14" t="str">
        <f ca="1">IFERROR(__xludf.DUMMYFUNCTION("""COMPUTED_VALUE"""),"meshchanova.1963@mail.ru")</f>
        <v>meshchanova.1963@mail.ru</v>
      </c>
      <c r="C1294" s="15" t="str">
        <f ca="1">IFERROR(__xludf.DUMMYFUNCTION("""COMPUTED_VALUE"""),"79063938670")</f>
        <v>79063938670</v>
      </c>
      <c r="D1294" s="15" t="str">
        <f ca="1">IFERROR(__xludf.DUMMYFUNCTION("""COMPUTED_VALUE"""),"Россия")</f>
        <v>Россия</v>
      </c>
      <c r="E1294" s="14"/>
      <c r="F1294" s="8" t="str">
        <f ca="1">IFERROR(__xludf.DUMMYFUNCTION("""COMPUTED_VALUE"""),"- Тишина Челлендж (бесплатная часть)")</f>
        <v>- Тишина Челлендж (бесплатная часть)</v>
      </c>
      <c r="G1294" s="14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</row>
    <row r="1295" spans="1:26" ht="14.25">
      <c r="A1295" s="14" t="str">
        <f ca="1">IFERROR(__xludf.DUMMYFUNCTION("""COMPUTED_VALUE"""),"Владимир Мешечко")</f>
        <v>Владимир Мешечко</v>
      </c>
      <c r="B1295" s="14" t="str">
        <f ca="1">IFERROR(__xludf.DUMMYFUNCTION("""COMPUTED_VALUE"""),"meshechko.brrb@gmail.com")</f>
        <v>meshechko.brrb@gmail.com</v>
      </c>
      <c r="C1295" s="15" t="str">
        <f ca="1">IFERROR(__xludf.DUMMYFUNCTION("""COMPUTED_VALUE"""),"+375296539515")</f>
        <v>+375296539515</v>
      </c>
      <c r="D1295" s="15" t="str">
        <f ca="1">IFERROR(__xludf.DUMMYFUNCTION("""COMPUTED_VALUE"""),"Беларусь")</f>
        <v>Беларусь</v>
      </c>
      <c r="E1295" s="14"/>
      <c r="F1295" s="8" t="str">
        <f ca="1">IFERROR(__xludf.DUMMYFUNCTION("""COMPUTED_VALUE"""),"- Чайная встреча Новогодний огонек Минск 25.12.2021")</f>
        <v>- Чайная встреча Новогодний огонек Минск 25.12.2021</v>
      </c>
      <c r="G1295" s="14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</row>
    <row r="1296" spans="1:26" ht="14.25">
      <c r="A1296" s="14" t="str">
        <f ca="1">IFERROR(__xludf.DUMMYFUNCTION("""COMPUTED_VALUE"""),"Андрей Капли")</f>
        <v>Андрей Капли</v>
      </c>
      <c r="B1296" s="14" t="str">
        <f ca="1">IFERROR(__xludf.DUMMYFUNCTION("""COMPUTED_VALUE"""),"mevarnateli@gmail.com")</f>
        <v>mevarnateli@gmail.com</v>
      </c>
      <c r="C1296" s="15" t="str">
        <f ca="1">IFERROR(__xludf.DUMMYFUNCTION("""COMPUTED_VALUE"""),"+380938256644")</f>
        <v>+380938256644</v>
      </c>
      <c r="D1296" s="15" t="str">
        <f ca="1">IFERROR(__xludf.DUMMYFUNCTION("""COMPUTED_VALUE"""),"Польша")</f>
        <v>Польша</v>
      </c>
      <c r="E1296" s="14"/>
      <c r="F1296" s="8" t="str">
        <f ca="1">IFERROR(__xludf.DUMMYFUNCTION("""COMPUTED_VALUE"""),"- Вводный вебинар 3.5.22 на Шаг к Пробуждению")</f>
        <v>- Вводный вебинар 3.5.22 на Шаг к Пробуждению</v>
      </c>
      <c r="G1296" s="14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</row>
    <row r="1297" spans="1:26" ht="25.5">
      <c r="A1297" s="14" t="str">
        <f ca="1">IFERROR(__xludf.DUMMYFUNCTION("""COMPUTED_VALUE"""),"Галина Меньщикова")</f>
        <v>Галина Меньщикова</v>
      </c>
      <c r="B1297" s="14" t="str">
        <f ca="1">IFERROR(__xludf.DUMMYFUNCTION("""COMPUTED_VALUE"""),"mgalinaborisovna@mail.ru")</f>
        <v>mgalinaborisovna@mail.ru</v>
      </c>
      <c r="C1297" s="15" t="str">
        <f ca="1">IFERROR(__xludf.DUMMYFUNCTION("""COMPUTED_VALUE"""),"87778040965")</f>
        <v>87778040965</v>
      </c>
      <c r="D1297" s="15"/>
      <c r="E1297" s="14"/>
      <c r="F129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297" s="14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</row>
    <row r="1298" spans="1:26" ht="14.25">
      <c r="A1298" s="14" t="str">
        <f ca="1">IFERROR(__xludf.DUMMYFUNCTION("""COMPUTED_VALUE"""),"Maija Horste")</f>
        <v>Maija Horste</v>
      </c>
      <c r="B1298" s="14" t="str">
        <f ca="1">IFERROR(__xludf.DUMMYFUNCTION("""COMPUTED_VALUE"""),"mhorste@inbox.lv")</f>
        <v>mhorste@inbox.lv</v>
      </c>
      <c r="C1298" s="15" t="str">
        <f ca="1">IFERROR(__xludf.DUMMYFUNCTION("""COMPUTED_VALUE"""),"+37120225857")</f>
        <v>+37120225857</v>
      </c>
      <c r="D1298" s="15" t="str">
        <f ca="1">IFERROR(__xludf.DUMMYFUNCTION("""COMPUTED_VALUE"""),"Латвия")</f>
        <v>Латвия</v>
      </c>
      <c r="E1298" s="14"/>
      <c r="F1298" s="8" t="str">
        <f ca="1">IFERROR(__xludf.DUMMYFUNCTION("""COMPUTED_VALUE"""),"-  Ретрит в Латвии 6-13.02.2022")</f>
        <v>-  Ретрит в Латвии 6-13.02.2022</v>
      </c>
      <c r="G1298" s="14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</row>
    <row r="1299" spans="1:26" ht="14.25">
      <c r="A1299" s="14" t="str">
        <f ca="1">IFERROR(__xludf.DUMMYFUNCTION("""COMPUTED_VALUE"""),"miamiusa379,  ")</f>
        <v xml:space="preserve">miamiusa379,  </v>
      </c>
      <c r="B1299" s="14" t="str">
        <f ca="1">IFERROR(__xludf.DUMMYFUNCTION("""COMPUTED_VALUE"""),"miamiusa379@gmail.com")</f>
        <v>miamiusa379@gmail.com</v>
      </c>
      <c r="C1299" s="15"/>
      <c r="D1299" s="15"/>
      <c r="E1299" s="14"/>
      <c r="F1299" s="8" t="str">
        <f ca="1">IFERROR(__xludf.DUMMYFUNCTION("""COMPUTED_VALUE"""),"- USA Челлендж Тишина")</f>
        <v>- USA Челлендж Тишина</v>
      </c>
      <c r="G1299" s="14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</row>
    <row r="1300" spans="1:26" ht="14.25">
      <c r="A1300" s="14" t="str">
        <f ca="1">IFERROR(__xludf.DUMMYFUNCTION("""COMPUTED_VALUE"""),"Ирина Мутина")</f>
        <v>Ирина Мутина</v>
      </c>
      <c r="B1300" s="14" t="str">
        <f ca="1">IFERROR(__xludf.DUMMYFUNCTION("""COMPUTED_VALUE"""),"miamway459@gmail.com")</f>
        <v>miamway459@gmail.com</v>
      </c>
      <c r="C1300" s="15" t="str">
        <f ca="1">IFERROR(__xludf.DUMMYFUNCTION("""COMPUTED_VALUE"""),"+79086311436")</f>
        <v>+79086311436</v>
      </c>
      <c r="D1300" s="15" t="str">
        <f ca="1">IFERROR(__xludf.DUMMYFUNCTION("""COMPUTED_VALUE"""),"Россия")</f>
        <v>Россия</v>
      </c>
      <c r="E1300" s="14"/>
      <c r="F1300" s="8" t="str">
        <f ca="1">IFERROR(__xludf.DUMMYFUNCTION("""COMPUTED_VALUE"""),"- Однодневный ретрит Россия 14 мая 2022")</f>
        <v>- Однодневный ретрит Россия 14 мая 2022</v>
      </c>
      <c r="G1300" s="14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1" spans="1:26" ht="14.25">
      <c r="A1301" s="14" t="str">
        <f ca="1">IFERROR(__xludf.DUMMYFUNCTION("""COMPUTED_VALUE"""),"Михаил Иванов")</f>
        <v>Михаил Иванов</v>
      </c>
      <c r="B1301" s="14" t="str">
        <f ca="1">IFERROR(__xludf.DUMMYFUNCTION("""COMPUTED_VALUE"""),"Mick.sever14@gmail.com")</f>
        <v>Mick.sever14@gmail.com</v>
      </c>
      <c r="C1301" s="15" t="str">
        <f ca="1">IFERROR(__xludf.DUMMYFUNCTION("""COMPUTED_VALUE"""),"79650086560")</f>
        <v>79650086560</v>
      </c>
      <c r="D1301" s="15" t="str">
        <f ca="1">IFERROR(__xludf.DUMMYFUNCTION("""COMPUTED_VALUE"""),"Россия")</f>
        <v>Россия</v>
      </c>
      <c r="E1301" s="14"/>
      <c r="F1301" s="8" t="str">
        <f ca="1">IFERROR(__xludf.DUMMYFUNCTION("""COMPUTED_VALUE"""),"- Ретрит в РЦ Сочи май 2022 (Оплата до 17 апреля)")</f>
        <v>- Ретрит в РЦ Сочи май 2022 (Оплата до 17 апреля)</v>
      </c>
      <c r="G1301" s="14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</row>
    <row r="1302" spans="1:26" ht="25.5">
      <c r="A1302" s="14" t="str">
        <f ca="1">IFERROR(__xludf.DUMMYFUNCTION("""COMPUTED_VALUE"""),"Ольга Михаэлис")</f>
        <v>Ольга Михаэлис</v>
      </c>
      <c r="B1302" s="14" t="str">
        <f ca="1">IFERROR(__xludf.DUMMYFUNCTION("""COMPUTED_VALUE"""),"mihaelf1@yandex.ru")</f>
        <v>mihaelf1@yandex.ru</v>
      </c>
      <c r="C1302" s="15" t="str">
        <f ca="1">IFERROR(__xludf.DUMMYFUNCTION("""COMPUTED_VALUE"""),"+79144741335")</f>
        <v>+79144741335</v>
      </c>
      <c r="D1302" s="15" t="str">
        <f ca="1">IFERROR(__xludf.DUMMYFUNCTION("""COMPUTED_VALUE"""),"Россия")</f>
        <v>Россия</v>
      </c>
      <c r="E1302" s="14"/>
      <c r="F1302" s="8" t="str">
        <f ca="1">IFERROR(__xludf.DUMMYFUNCTION("""COMPUTED_VALUE"""),"- Онлайн Интенсив Дальний Восток 25-27.02.2022 
- Чайная встреча - Сочи-Хабаровск 19.2.2022")</f>
        <v>- Онлайн Интенсив Дальний Восток 25-27.02.2022 
- Чайная встреча - Сочи-Хабаровск 19.2.2022</v>
      </c>
      <c r="G1302" s="14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</row>
    <row r="1303" spans="1:26" ht="38.25">
      <c r="A1303" s="14" t="str">
        <f ca="1">IFERROR(__xludf.DUMMYFUNCTION("""COMPUTED_VALUE"""),"Михаил Лебедев")</f>
        <v>Михаил Лебедев</v>
      </c>
      <c r="B1303" s="14" t="str">
        <f ca="1">IFERROR(__xludf.DUMMYFUNCTION("""COMPUTED_VALUE"""),"mihey_lebedev@icloud.com")</f>
        <v>mihey_lebedev@icloud.com</v>
      </c>
      <c r="C1303" s="15" t="str">
        <f ca="1">IFERROR(__xludf.DUMMYFUNCTION("""COMPUTED_VALUE"""),"919960310183")</f>
        <v>919960310183</v>
      </c>
      <c r="D1303" s="15" t="str">
        <f ca="1">IFERROR(__xludf.DUMMYFUNCTION("""COMPUTED_VALUE"""),"Индонезия")</f>
        <v>Индонезия</v>
      </c>
      <c r="E1303" s="14" t="str">
        <f ca="1">IFERROR(__xludf.DUMMYFUNCTION("""COMPUTED_VALUE"""),"@mihey_lebedev")</f>
        <v>@mihey_lebedev</v>
      </c>
      <c r="F1303" s="8" t="str">
        <f ca="1">IFERROR(__xludf.DUMMYFUNCTION("""COMPUTED_VALUE"""),"- Клуб пробуждения Друзья (2 уровень) - 1 месяц
- Онлайн Интенсив Дальний Восток 22-24.04.2022 Оплата в рублях
- Интенсив Дальний Восток онлайн 10-12.06.2022")</f>
        <v>- Клуб пробуждения Друзья (2 уровень) - 1 месяц
- Онлайн Интенсив Дальний Восток 22-24.04.2022 Оплата в рублях
- Интенсив Дальний Восток онлайн 10-12.06.2022</v>
      </c>
      <c r="G1303" s="14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</row>
    <row r="1304" spans="1:26" ht="14.25">
      <c r="A1304" s="14" t="str">
        <f ca="1">IFERROR(__xludf.DUMMYFUNCTION("""COMPUTED_VALUE"""),"Майк Кверти")</f>
        <v>Майк Кверти</v>
      </c>
      <c r="B1304" s="14" t="str">
        <f ca="1">IFERROR(__xludf.DUMMYFUNCTION("""COMPUTED_VALUE"""),"mikenet@inbox.ru")</f>
        <v>mikenet@inbox.ru</v>
      </c>
      <c r="C1304" s="15" t="str">
        <f ca="1">IFERROR(__xludf.DUMMYFUNCTION("""COMPUTED_VALUE"""),"+79991239537")</f>
        <v>+79991239537</v>
      </c>
      <c r="D1304" s="15"/>
      <c r="E1304" s="14"/>
      <c r="F1304" s="8" t="str">
        <f ca="1">IFERROR(__xludf.DUMMYFUNCTION("""COMPUTED_VALUE"""),"- Партнерская программа")</f>
        <v>- Партнерская программа</v>
      </c>
      <c r="G1304" s="14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</row>
    <row r="1305" spans="1:26" ht="14.25">
      <c r="A1305" s="14" t="str">
        <f ca="1">IFERROR(__xludf.DUMMYFUNCTION("""COMPUTED_VALUE"""),"Михаил Туманов")</f>
        <v>Михаил Туманов</v>
      </c>
      <c r="B1305" s="14" t="str">
        <f ca="1">IFERROR(__xludf.DUMMYFUNCTION("""COMPUTED_VALUE"""),"Mikhail.tumanov.1986@mail.ru")</f>
        <v>Mikhail.tumanov.1986@mail.ru</v>
      </c>
      <c r="C1305" s="15" t="str">
        <f ca="1">IFERROR(__xludf.DUMMYFUNCTION("""COMPUTED_VALUE"""),"+79961381146")</f>
        <v>+79961381146</v>
      </c>
      <c r="D1305" s="15" t="str">
        <f ca="1">IFERROR(__xludf.DUMMYFUNCTION("""COMPUTED_VALUE"""),"Россия")</f>
        <v>Россия</v>
      </c>
      <c r="E1305" s="14"/>
      <c r="F1305" s="8" t="str">
        <f ca="1">IFERROR(__xludf.DUMMYFUNCTION("""COMPUTED_VALUE"""),"- Ретрит в РЦ Сочи май 2022  (Оплата с 18 до 29 апреля)")</f>
        <v>- Ретрит в РЦ Сочи май 2022  (Оплата с 18 до 29 апреля)</v>
      </c>
      <c r="G1305" s="14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</row>
    <row r="1306" spans="1:26" ht="25.5">
      <c r="A1306" s="14" t="str">
        <f ca="1">IFERROR(__xludf.DUMMYFUNCTION("""COMPUTED_VALUE"""),"Татьяна Каракулько")</f>
        <v>Татьяна Каракулько</v>
      </c>
      <c r="B1306" s="14" t="str">
        <f ca="1">IFERROR(__xludf.DUMMYFUNCTION("""COMPUTED_VALUE"""),"miki21@list.ru")</f>
        <v>miki21@list.ru</v>
      </c>
      <c r="C1306" s="15" t="str">
        <f ca="1">IFERROR(__xludf.DUMMYFUNCTION("""COMPUTED_VALUE"""),"87014562141")</f>
        <v>87014562141</v>
      </c>
      <c r="D1306" s="15"/>
      <c r="E1306" s="14"/>
      <c r="F130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306" s="14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</row>
    <row r="1307" spans="1:26" ht="14.25">
      <c r="A1307" s="14" t="str">
        <f ca="1">IFERROR(__xludf.DUMMYFUNCTION("""COMPUTED_VALUE"""),"Милослава Волкова")</f>
        <v>Милослава Волкова</v>
      </c>
      <c r="B1307" s="14" t="str">
        <f ca="1">IFERROR(__xludf.DUMMYFUNCTION("""COMPUTED_VALUE"""),"milaloba@mail.ru")</f>
        <v>milaloba@mail.ru</v>
      </c>
      <c r="C1307" s="15" t="str">
        <f ca="1">IFERROR(__xludf.DUMMYFUNCTION("""COMPUTED_VALUE"""),"+79779814368")</f>
        <v>+79779814368</v>
      </c>
      <c r="D1307" s="15" t="str">
        <f ca="1">IFERROR(__xludf.DUMMYFUNCTION("""COMPUTED_VALUE"""),"Россия")</f>
        <v>Россия</v>
      </c>
      <c r="E1307" s="14"/>
      <c r="F1307" s="8" t="str">
        <f ca="1">IFERROR(__xludf.DUMMYFUNCTION("""COMPUTED_VALUE"""),"- Тишина Челлендж (бесплатная часть)")</f>
        <v>- Тишина Челлендж (бесплатная часть)</v>
      </c>
      <c r="G1307" s="14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</row>
    <row r="1308" spans="1:26" ht="25.5">
      <c r="A1308" s="14" t="str">
        <f ca="1">IFERROR(__xludf.DUMMYFUNCTION("""COMPUTED_VALUE"""),"Людмила Исмаилова")</f>
        <v>Людмила Исмаилова</v>
      </c>
      <c r="B1308" s="14" t="str">
        <f ca="1">IFERROR(__xludf.DUMMYFUNCTION("""COMPUTED_VALUE"""),"milalyuda68@gmail.com")</f>
        <v>milalyuda68@gmail.com</v>
      </c>
      <c r="C1308" s="15" t="str">
        <f ca="1">IFERROR(__xludf.DUMMYFUNCTION("""COMPUTED_VALUE"""),"+998909577933")</f>
        <v>+998909577933</v>
      </c>
      <c r="D1308" s="15"/>
      <c r="E1308" s="14"/>
      <c r="F130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308" s="14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</row>
    <row r="1309" spans="1:26" ht="14.25">
      <c r="A1309" s="14" t="str">
        <f ca="1">IFERROR(__xludf.DUMMYFUNCTION("""COMPUTED_VALUE"""),"Милана Цыбулькина")</f>
        <v>Милана Цыбулькина</v>
      </c>
      <c r="B1309" s="14" t="str">
        <f ca="1">IFERROR(__xludf.DUMMYFUNCTION("""COMPUTED_VALUE"""),"Milanacybulkina84@gmail.com")</f>
        <v>Milanacybulkina84@gmail.com</v>
      </c>
      <c r="C1309" s="15"/>
      <c r="D1309" s="15" t="str">
        <f ca="1">IFERROR(__xludf.DUMMYFUNCTION("""COMPUTED_VALUE"""),"Россия")</f>
        <v>Россия</v>
      </c>
      <c r="E1309" s="14"/>
      <c r="F1309" s="8" t="str">
        <f ca="1">IFERROR(__xludf.DUMMYFUNCTION("""COMPUTED_VALUE"""),"- Тишина Челлендж (бесплатная часть)")</f>
        <v>- Тишина Челлендж (бесплатная часть)</v>
      </c>
      <c r="G1309" s="14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</row>
    <row r="1310" spans="1:26" ht="14.25">
      <c r="A1310" s="14" t="str">
        <f ca="1">IFERROR(__xludf.DUMMYFUNCTION("""COMPUTED_VALUE"""),"milentii86,  ")</f>
        <v xml:space="preserve">milentii86,  </v>
      </c>
      <c r="B1310" s="14" t="str">
        <f ca="1">IFERROR(__xludf.DUMMYFUNCTION("""COMPUTED_VALUE"""),"milentii86@yandex.ru")</f>
        <v>milentii86@yandex.ru</v>
      </c>
      <c r="C1310" s="15"/>
      <c r="D1310" s="15"/>
      <c r="E1310" s="14"/>
      <c r="F1310" s="8" t="str">
        <f ca="1">IFERROR(__xludf.DUMMYFUNCTION("""COMPUTED_VALUE"""),"- USA Челлендж Тишина")</f>
        <v>- USA Челлендж Тишина</v>
      </c>
      <c r="G1310" s="14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</row>
    <row r="1311" spans="1:26" ht="14.25">
      <c r="A1311" s="14" t="str">
        <f ca="1">IFERROR(__xludf.DUMMYFUNCTION("""COMPUTED_VALUE"""),"Надя Микулич")</f>
        <v>Надя Микулич</v>
      </c>
      <c r="B1311" s="14" t="str">
        <f ca="1">IFERROR(__xludf.DUMMYFUNCTION("""COMPUTED_VALUE"""),"Milirizzm@gmail.com")</f>
        <v>Milirizzm@gmail.com</v>
      </c>
      <c r="C1311" s="15" t="str">
        <f ca="1">IFERROR(__xludf.DUMMYFUNCTION("""COMPUTED_VALUE"""),"+375295231444")</f>
        <v>+375295231444</v>
      </c>
      <c r="D1311" s="15" t="str">
        <f ca="1">IFERROR(__xludf.DUMMYFUNCTION("""COMPUTED_VALUE"""),"Беларусь")</f>
        <v>Беларусь</v>
      </c>
      <c r="E1311" s="14"/>
      <c r="F1311" s="8" t="str">
        <f ca="1">IFERROR(__xludf.DUMMYFUNCTION("""COMPUTED_VALUE"""),"- Чайная встреча в Минске 8.1.22")</f>
        <v>- Чайная встреча в Минске 8.1.22</v>
      </c>
      <c r="G1311" s="14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</row>
    <row r="1312" spans="1:26" ht="25.5">
      <c r="A1312" s="14" t="str">
        <f ca="1">IFERROR(__xludf.DUMMYFUNCTION("""COMPUTED_VALUE"""),"Наталья Лебедева")</f>
        <v>Наталья Лебедева</v>
      </c>
      <c r="B1312" s="14" t="str">
        <f ca="1">IFERROR(__xludf.DUMMYFUNCTION("""COMPUTED_VALUE"""),"Milli0502@mail.ru")</f>
        <v>Milli0502@mail.ru</v>
      </c>
      <c r="C1312" s="15" t="str">
        <f ca="1">IFERROR(__xludf.DUMMYFUNCTION("""COMPUTED_VALUE"""),"79636670528")</f>
        <v>79636670528</v>
      </c>
      <c r="D1312" s="15" t="str">
        <f ca="1">IFERROR(__xludf.DUMMYFUNCTION("""COMPUTED_VALUE"""),"Россия")</f>
        <v>Россия</v>
      </c>
      <c r="E1312" s="14"/>
      <c r="F1312" s="8" t="str">
        <f ca="1">IFERROR(__xludf.DUMMYFUNCTION("""COMPUTED_VALUE"""),"- Ретрит в РЦ Сочи 19-27 марта 2022  (Оплата с 7 марта до 16 марта)")</f>
        <v>- Ретрит в РЦ Сочи 19-27 марта 2022  (Оплата с 7 марта до 16 марта)</v>
      </c>
      <c r="G1312" s="14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</row>
    <row r="1313" spans="1:26" ht="14.25">
      <c r="A1313" s="14" t="str">
        <f ca="1">IFERROR(__xludf.DUMMYFUNCTION("""COMPUTED_VALUE"""),"Максим Зороастров")</f>
        <v>Максим Зороастров</v>
      </c>
      <c r="B1313" s="14" t="str">
        <f ca="1">IFERROR(__xludf.DUMMYFUNCTION("""COMPUTED_VALUE"""),"million990@ya.ru")</f>
        <v>million990@ya.ru</v>
      </c>
      <c r="C1313" s="15" t="str">
        <f ca="1">IFERROR(__xludf.DUMMYFUNCTION("""COMPUTED_VALUE"""),"79818850348")</f>
        <v>79818850348</v>
      </c>
      <c r="D1313" s="15" t="str">
        <f ca="1">IFERROR(__xludf.DUMMYFUNCTION("""COMPUTED_VALUE"""),"Россия")</f>
        <v>Россия</v>
      </c>
      <c r="E1313" s="14"/>
      <c r="F1313" s="8" t="str">
        <f ca="1">IFERROR(__xludf.DUMMYFUNCTION("""COMPUTED_VALUE"""),"-  встреча Космос внутри Сочи 5.3.2022")</f>
        <v>-  встреча Космос внутри Сочи 5.3.2022</v>
      </c>
      <c r="G1313" s="14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</row>
    <row r="1314" spans="1:26" ht="14.25">
      <c r="A1314" s="14" t="str">
        <f ca="1">IFERROR(__xludf.DUMMYFUNCTION("""COMPUTED_VALUE"""),"Lyudmila Savon")</f>
        <v>Lyudmila Savon</v>
      </c>
      <c r="B1314" s="14" t="str">
        <f ca="1">IFERROR(__xludf.DUMMYFUNCTION("""COMPUTED_VALUE"""),"milsa887755@gmail.com")</f>
        <v>milsa887755@gmail.com</v>
      </c>
      <c r="C1314" s="15"/>
      <c r="D1314" s="15" t="str">
        <f ca="1">IFERROR(__xludf.DUMMYFUNCTION("""COMPUTED_VALUE"""),"Россия")</f>
        <v>Россия</v>
      </c>
      <c r="E1314" s="14"/>
      <c r="F1314" s="8" t="str">
        <f ca="1">IFERROR(__xludf.DUMMYFUNCTION("""COMPUTED_VALUE"""),"- Тишина Челлендж (бесплатная часть)")</f>
        <v>- Тишина Челлендж (бесплатная часть)</v>
      </c>
      <c r="G1314" s="14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</row>
    <row r="1315" spans="1:26" ht="14.25">
      <c r="A1315" s="14" t="str">
        <f ca="1">IFERROR(__xludf.DUMMYFUNCTION("""COMPUTED_VALUE"""),"Shahnoza Mingboyeva")</f>
        <v>Shahnoza Mingboyeva</v>
      </c>
      <c r="B1315" s="14" t="str">
        <f ca="1">IFERROR(__xludf.DUMMYFUNCTION("""COMPUTED_VALUE"""),"mingboyevashahnoza970@gmail.com")</f>
        <v>mingboyevashahnoza970@gmail.com</v>
      </c>
      <c r="C1315" s="15" t="str">
        <f ca="1">IFERROR(__xludf.DUMMYFUNCTION("""COMPUTED_VALUE"""),", 995828599")</f>
        <v>, 995828599</v>
      </c>
      <c r="D1315" s="15"/>
      <c r="E1315" s="14"/>
      <c r="F1315" s="8" t="str">
        <f ca="1">IFERROR(__xludf.DUMMYFUNCTION("""COMPUTED_VALUE"""),"Мероприятий не обнаружено")</f>
        <v>Мероприятий не обнаружено</v>
      </c>
      <c r="G1315" s="14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</row>
    <row r="1316" spans="1:26" ht="14.25">
      <c r="A1316" s="14" t="str">
        <f ca="1">IFERROR(__xludf.DUMMYFUNCTION("""COMPUTED_VALUE"""),"Лилия Язданова")</f>
        <v>Лилия Язданова</v>
      </c>
      <c r="B1316" s="14" t="str">
        <f ca="1">IFERROR(__xludf.DUMMYFUNCTION("""COMPUTED_VALUE"""),"mini-liya@mail.ru")</f>
        <v>mini-liya@mail.ru</v>
      </c>
      <c r="C1316" s="15" t="str">
        <f ca="1">IFERROR(__xludf.DUMMYFUNCTION("""COMPUTED_VALUE"""),"+79374988858")</f>
        <v>+79374988858</v>
      </c>
      <c r="D1316" s="15" t="str">
        <f ca="1">IFERROR(__xludf.DUMMYFUNCTION("""COMPUTED_VALUE"""),"Россия")</f>
        <v>Россия</v>
      </c>
      <c r="E1316" s="14"/>
      <c r="F1316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1316" s="14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</row>
    <row r="1317" spans="1:26" ht="25.5">
      <c r="A1317" s="14" t="str">
        <f ca="1">IFERROR(__xludf.DUMMYFUNCTION("""COMPUTED_VALUE"""),"Молдир Абдреимова")</f>
        <v>Молдир Абдреимова</v>
      </c>
      <c r="B1317" s="14" t="str">
        <f ca="1">IFERROR(__xludf.DUMMYFUNCTION("""COMPUTED_VALUE"""),"miracle311200@gmail.com")</f>
        <v>miracle311200@gmail.com</v>
      </c>
      <c r="C1317" s="15" t="str">
        <f ca="1">IFERROR(__xludf.DUMMYFUNCTION("""COMPUTED_VALUE"""),"+998905917885")</f>
        <v>+998905917885</v>
      </c>
      <c r="D1317" s="15"/>
      <c r="E1317" s="14"/>
      <c r="F131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317" s="14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</row>
    <row r="1318" spans="1:26" ht="14.25">
      <c r="A1318" s="14" t="str">
        <f ca="1">IFERROR(__xludf.DUMMYFUNCTION("""COMPUTED_VALUE"""),"Малика Мирхамидова")</f>
        <v>Малика Мирхамидова</v>
      </c>
      <c r="B1318" s="14" t="str">
        <f ca="1">IFERROR(__xludf.DUMMYFUNCTION("""COMPUTED_VALUE"""),"mirkhamidov86@mail.ru")</f>
        <v>mirkhamidov86@mail.ru</v>
      </c>
      <c r="C1318" s="15" t="str">
        <f ca="1">IFERROR(__xludf.DUMMYFUNCTION("""COMPUTED_VALUE"""),"998977245588")</f>
        <v>998977245588</v>
      </c>
      <c r="D1318" s="15" t="str">
        <f ca="1">IFERROR(__xludf.DUMMYFUNCTION("""COMPUTED_VALUE"""),"Узбекистан")</f>
        <v>Узбекистан</v>
      </c>
      <c r="E1318" s="14"/>
      <c r="F1318" s="8" t="str">
        <f ca="1">IFERROR(__xludf.DUMMYFUNCTION("""COMPUTED_VALUE"""),"- Однодневный онлайн ретрит Россия 14 мая 2022")</f>
        <v>- Однодневный онлайн ретрит Россия 14 мая 2022</v>
      </c>
      <c r="G1318" s="14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</row>
    <row r="1319" spans="1:26" ht="14.25">
      <c r="A1319" s="14" t="str">
        <f ca="1">IFERROR(__xludf.DUMMYFUNCTION("""COMPUTED_VALUE"""),"НАТАЛЬЯ МИРОНЮК")</f>
        <v>НАТАЛЬЯ МИРОНЮК</v>
      </c>
      <c r="B1319" s="14" t="str">
        <f ca="1">IFERROR(__xludf.DUMMYFUNCTION("""COMPUTED_VALUE"""),"mirnatali52@mail.ru")</f>
        <v>mirnatali52@mail.ru</v>
      </c>
      <c r="C1319" s="15" t="str">
        <f ca="1">IFERROR(__xludf.DUMMYFUNCTION("""COMPUTED_VALUE"""),"79513438672")</f>
        <v>79513438672</v>
      </c>
      <c r="D1319" s="15" t="str">
        <f ca="1">IFERROR(__xludf.DUMMYFUNCTION("""COMPUTED_VALUE"""),"Россия")</f>
        <v>Россия</v>
      </c>
      <c r="E1319" s="14" t="str">
        <f ca="1">IFERROR(__xludf.DUMMYFUNCTION("""COMPUTED_VALUE"""),"@nvm")</f>
        <v>@nvm</v>
      </c>
      <c r="F1319" s="8" t="str">
        <f ca="1">IFERROR(__xludf.DUMMYFUNCTION("""COMPUTED_VALUE"""),"- Клуб пробуждения Друзья (2 уровень) - 1 месяц")</f>
        <v>- Клуб пробуждения Друзья (2 уровень) - 1 месяц</v>
      </c>
      <c r="G1319" s="14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</row>
    <row r="1320" spans="1:26" ht="25.5">
      <c r="A1320" s="14" t="str">
        <f ca="1">IFERROR(__xludf.DUMMYFUNCTION("""COMPUTED_VALUE"""),"Mirosław Białecki")</f>
        <v>Mirosław Białecki</v>
      </c>
      <c r="B1320" s="14" t="str">
        <f ca="1">IFERROR(__xludf.DUMMYFUNCTION("""COMPUTED_VALUE"""),"miroslaw.bialecki.mb@gmail.com")</f>
        <v>miroslaw.bialecki.mb@gmail.com</v>
      </c>
      <c r="C1320" s="15" t="str">
        <f ca="1">IFERROR(__xludf.DUMMYFUNCTION("""COMPUTED_VALUE"""),"+48607165777")</f>
        <v>+48607165777</v>
      </c>
      <c r="D1320" s="15" t="str">
        <f ca="1">IFERROR(__xludf.DUMMYFUNCTION("""COMPUTED_VALUE"""),"Польша")</f>
        <v>Польша</v>
      </c>
      <c r="E1320" s="14"/>
      <c r="F1320" s="8" t="str">
        <f ca="1">IFERROR(__xludf.DUMMYFUNCTION("""COMPUTED_VALUE"""),"- Беседа - сатсанг с Екатериной Сосниной: Счастье внутри нас 15.1.22")</f>
        <v>- Беседа - сатсанг с Екатериной Сосниной: Счастье внутри нас 15.1.22</v>
      </c>
      <c r="G1320" s="14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</row>
    <row r="1321" spans="1:26" ht="14.25">
      <c r="A1321" s="14" t="str">
        <f ca="1">IFERROR(__xludf.DUMMYFUNCTION("""COMPUTED_VALUE"""),"МИРЗА ХУСНИТДИНОВ")</f>
        <v>МИРЗА ХУСНИТДИНОВ</v>
      </c>
      <c r="B1321" s="14" t="str">
        <f ca="1">IFERROR(__xludf.DUMMYFUNCTION("""COMPUTED_VALUE"""),"MIRZAASH@YANDEX.RU")</f>
        <v>MIRZAASH@YANDEX.RU</v>
      </c>
      <c r="C1321" s="15" t="str">
        <f ca="1">IFERROR(__xludf.DUMMYFUNCTION("""COMPUTED_VALUE"""),"+79631439778")</f>
        <v>+79631439778</v>
      </c>
      <c r="D1321" s="15"/>
      <c r="E1321" s="14"/>
      <c r="F1321" s="8" t="str">
        <f ca="1">IFERROR(__xludf.DUMMYFUNCTION("""COMPUTED_VALUE"""),"- Партнерская программа")</f>
        <v>- Партнерская программа</v>
      </c>
      <c r="G1321" s="14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</row>
    <row r="1322" spans="1:26" ht="14.25">
      <c r="A1322" s="14" t="str">
        <f ca="1">IFERROR(__xludf.DUMMYFUNCTION("""COMPUTED_VALUE"""),"Татьяна Никитина")</f>
        <v>Татьяна Никитина</v>
      </c>
      <c r="B1322" s="14" t="str">
        <f ca="1">IFERROR(__xludf.DUMMYFUNCTION("""COMPUTED_VALUE"""),"miss_creative@mail.ru")</f>
        <v>miss_creative@mail.ru</v>
      </c>
      <c r="C1322" s="15"/>
      <c r="D1322" s="15" t="str">
        <f ca="1">IFERROR(__xludf.DUMMYFUNCTION("""COMPUTED_VALUE"""),"Россия")</f>
        <v>Россия</v>
      </c>
      <c r="E1322" s="14"/>
      <c r="F1322" s="8" t="str">
        <f ca="1">IFERROR(__xludf.DUMMYFUNCTION("""COMPUTED_VALUE"""),"- Тишина Челлендж (бесплатная часть)")</f>
        <v>- Тишина Челлендж (бесплатная часть)</v>
      </c>
      <c r="G1322" s="14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</row>
    <row r="1323" spans="1:26" ht="14.25">
      <c r="A1323" s="14" t="str">
        <f ca="1">IFERROR(__xludf.DUMMYFUNCTION("""COMPUTED_VALUE"""),"Лязат Нусупбекова")</f>
        <v>Лязат Нусупбекова</v>
      </c>
      <c r="B1323" s="14" t="str">
        <f ca="1">IFERROR(__xludf.DUMMYFUNCTION("""COMPUTED_VALUE"""),"miss_liza_best@mail.ru")</f>
        <v>miss_liza_best@mail.ru</v>
      </c>
      <c r="C1323" s="15"/>
      <c r="D1323" s="15" t="str">
        <f ca="1">IFERROR(__xludf.DUMMYFUNCTION("""COMPUTED_VALUE"""),"Швеция")</f>
        <v>Швеция</v>
      </c>
      <c r="E1323" s="14"/>
      <c r="F1323" s="8" t="str">
        <f ca="1">IFERROR(__xludf.DUMMYFUNCTION("""COMPUTED_VALUE"""),"- Тишина Челлендж (бесплатная часть)")</f>
        <v>- Тишина Челлендж (бесплатная часть)</v>
      </c>
      <c r="G1323" s="14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</row>
    <row r="1324" spans="1:26" ht="25.5">
      <c r="A1324" s="14" t="str">
        <f ca="1">IFERROR(__xludf.DUMMYFUNCTION("""COMPUTED_VALUE"""),"Нигина Атасевен")</f>
        <v>Нигина Атасевен</v>
      </c>
      <c r="B1324" s="14" t="str">
        <f ca="1">IFERROR(__xludf.DUMMYFUNCTION("""COMPUTED_VALUE"""),"misskelebek@mail.ru")</f>
        <v>misskelebek@mail.ru</v>
      </c>
      <c r="C1324" s="15" t="str">
        <f ca="1">IFERROR(__xludf.DUMMYFUNCTION("""COMPUTED_VALUE"""),"+998933890499")</f>
        <v>+998933890499</v>
      </c>
      <c r="D1324" s="15"/>
      <c r="E1324" s="14"/>
      <c r="F132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324" s="14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</row>
    <row r="1325" spans="1:26" ht="25.5">
      <c r="A1325" s="14" t="str">
        <f ca="1">IFERROR(__xludf.DUMMYFUNCTION("""COMPUTED_VALUE"""),"Неля Галимова")</f>
        <v>Неля Галимова</v>
      </c>
      <c r="B1325" s="14" t="str">
        <f ca="1">IFERROR(__xludf.DUMMYFUNCTION("""COMPUTED_VALUE"""),"Misslortep@mail.ru")</f>
        <v>Misslortep@mail.ru</v>
      </c>
      <c r="C1325" s="15" t="str">
        <f ca="1">IFERROR(__xludf.DUMMYFUNCTION("""COMPUTED_VALUE"""),"998909652347")</f>
        <v>998909652347</v>
      </c>
      <c r="D1325" s="15"/>
      <c r="E1325" s="14"/>
      <c r="F132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325" s="14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</row>
    <row r="1326" spans="1:26" ht="25.5">
      <c r="A1326" s="14" t="str">
        <f ca="1">IFERROR(__xludf.DUMMYFUNCTION("""COMPUTED_VALUE"""),"Мила Попова")</f>
        <v>Мила Попова</v>
      </c>
      <c r="B1326" s="14" t="str">
        <f ca="1">IFERROR(__xludf.DUMMYFUNCTION("""COMPUTED_VALUE"""),"misspanish28@gmail.com")</f>
        <v>misspanish28@gmail.com</v>
      </c>
      <c r="C1326" s="15" t="str">
        <f ca="1">IFERROR(__xludf.DUMMYFUNCTION("""COMPUTED_VALUE"""),"+998971770979")</f>
        <v>+998971770979</v>
      </c>
      <c r="D1326" s="15"/>
      <c r="E1326" s="14"/>
      <c r="F132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326" s="14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</row>
    <row r="1327" spans="1:26" ht="14.25">
      <c r="A1327" s="14" t="str">
        <f ca="1">IFERROR(__xludf.DUMMYFUNCTION("""COMPUTED_VALUE"""),"Алена Головинова")</f>
        <v>Алена Головинова</v>
      </c>
      <c r="B1327" s="14" t="str">
        <f ca="1">IFERROR(__xludf.DUMMYFUNCTION("""COMPUTED_VALUE"""),"misszaoz51@gmail.com")</f>
        <v>misszaoz51@gmail.com</v>
      </c>
      <c r="C1327" s="15"/>
      <c r="D1327" s="15" t="str">
        <f ca="1">IFERROR(__xludf.DUMMYFUNCTION("""COMPUTED_VALUE"""),"Россия")</f>
        <v>Россия</v>
      </c>
      <c r="E1327" s="14"/>
      <c r="F1327" s="8" t="str">
        <f ca="1">IFERROR(__xludf.DUMMYFUNCTION("""COMPUTED_VALUE"""),"- Тишина Челлендж (бесплатная часть)")</f>
        <v>- Тишина Челлендж (бесплатная часть)</v>
      </c>
      <c r="G1327" s="14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</row>
    <row r="1328" spans="1:26" ht="14.25">
      <c r="A1328" s="14" t="str">
        <f ca="1">IFERROR(__xludf.DUMMYFUNCTION("""COMPUTED_VALUE"""),"Михаил Митрофанов")</f>
        <v>Михаил Митрофанов</v>
      </c>
      <c r="B1328" s="14" t="str">
        <f ca="1">IFERROR(__xludf.DUMMYFUNCTION("""COMPUTED_VALUE"""),"mitrofanovmihail21@gmail.com")</f>
        <v>mitrofanovmihail21@gmail.com</v>
      </c>
      <c r="C1328" s="15"/>
      <c r="D1328" s="15" t="str">
        <f ca="1">IFERROR(__xludf.DUMMYFUNCTION("""COMPUTED_VALUE"""),"Россия")</f>
        <v>Россия</v>
      </c>
      <c r="E1328" s="14"/>
      <c r="F1328" s="8" t="str">
        <f ca="1">IFERROR(__xludf.DUMMYFUNCTION("""COMPUTED_VALUE"""),"- Тишина Челлендж (бесплатная часть)")</f>
        <v>- Тишина Челлендж (бесплатная часть)</v>
      </c>
      <c r="G1328" s="14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</row>
    <row r="1329" spans="1:26" ht="25.5">
      <c r="A1329" s="14" t="str">
        <f ca="1">IFERROR(__xludf.DUMMYFUNCTION("""COMPUTED_VALUE"""),"Мадина К")</f>
        <v>Мадина К</v>
      </c>
      <c r="B1329" s="14" t="str">
        <f ca="1">IFERROR(__xludf.DUMMYFUNCTION("""COMPUTED_VALUE"""),"MKaribaeva@yandex.ru")</f>
        <v>MKaribaeva@yandex.ru</v>
      </c>
      <c r="C1329" s="15" t="str">
        <f ca="1">IFERROR(__xludf.DUMMYFUNCTION("""COMPUTED_VALUE"""),"+77764003351")</f>
        <v>+77764003351</v>
      </c>
      <c r="D1329" s="15"/>
      <c r="E1329" s="14"/>
      <c r="F132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329" s="14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</row>
    <row r="1330" spans="1:26" ht="14.25">
      <c r="A1330" s="14" t="str">
        <f ca="1">IFERROR(__xludf.DUMMYFUNCTION("""COMPUTED_VALUE"""),"Константин Матвеенков")</f>
        <v>Константин Матвеенков</v>
      </c>
      <c r="B1330" s="14" t="str">
        <f ca="1">IFERROR(__xludf.DUMMYFUNCTION("""COMPUTED_VALUE"""),"mkostya@hotmail.com")</f>
        <v>mkostya@hotmail.com</v>
      </c>
      <c r="C1330" s="15" t="str">
        <f ca="1">IFERROR(__xludf.DUMMYFUNCTION("""COMPUTED_VALUE"""),"79605894756")</f>
        <v>79605894756</v>
      </c>
      <c r="D1330" s="15" t="str">
        <f ca="1">IFERROR(__xludf.DUMMYFUNCTION("""COMPUTED_VALUE"""),"Россия")</f>
        <v>Россия</v>
      </c>
      <c r="E1330" s="14"/>
      <c r="F1330" s="8" t="str">
        <f ca="1">IFERROR(__xludf.DUMMYFUNCTION("""COMPUTED_VALUE"""),"- Тишина Челлендж (бесплатная часть)")</f>
        <v>- Тишина Челлендж (бесплатная часть)</v>
      </c>
      <c r="G1330" s="14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</row>
    <row r="1331" spans="1:26" ht="14.25">
      <c r="A1331" s="14" t="str">
        <f ca="1">IFERROR(__xludf.DUMMYFUNCTION("""COMPUTED_VALUE"""),"Маргарита Левшукова")</f>
        <v>Маргарита Левшукова</v>
      </c>
      <c r="B1331" s="14" t="str">
        <f ca="1">IFERROR(__xludf.DUMMYFUNCTION("""COMPUTED_VALUE"""),"mlevshukova@gmail.com")</f>
        <v>mlevshukova@gmail.com</v>
      </c>
      <c r="C1331" s="15" t="str">
        <f ca="1">IFERROR(__xludf.DUMMYFUNCTION("""COMPUTED_VALUE"""),"+375445319102")</f>
        <v>+375445319102</v>
      </c>
      <c r="D1331" s="15" t="str">
        <f ca="1">IFERROR(__xludf.DUMMYFUNCTION("""COMPUTED_VALUE"""),"Беларусь")</f>
        <v>Беларусь</v>
      </c>
      <c r="E1331" s="14"/>
      <c r="F1331" s="8" t="str">
        <f ca="1">IFERROR(__xludf.DUMMYFUNCTION("""COMPUTED_VALUE"""),"- Чайная встреча Разговор по душам Минск 11.12.2021")</f>
        <v>- Чайная встреча Разговор по душам Минск 11.12.2021</v>
      </c>
      <c r="G1331" s="14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</row>
    <row r="1332" spans="1:26" ht="14.25">
      <c r="A1332" s="14" t="str">
        <f ca="1">IFERROR(__xludf.DUMMYFUNCTION("""COMPUTED_VALUE"""),"Metodi Mantchenko")</f>
        <v>Metodi Mantchenko</v>
      </c>
      <c r="B1332" s="14" t="str">
        <f ca="1">IFERROR(__xludf.DUMMYFUNCTION("""COMPUTED_VALUE"""),"mmantchenko@hotmail.com")</f>
        <v>mmantchenko@hotmail.com</v>
      </c>
      <c r="C1332" s="15" t="str">
        <f ca="1">IFERROR(__xludf.DUMMYFUNCTION("""COMPUTED_VALUE"""),"359888716058")</f>
        <v>359888716058</v>
      </c>
      <c r="D1332" s="15" t="str">
        <f ca="1">IFERROR(__xludf.DUMMYFUNCTION("""COMPUTED_VALUE"""),"Болгария")</f>
        <v>Болгария</v>
      </c>
      <c r="E1332" s="14"/>
      <c r="F1332" s="8" t="str">
        <f ca="1">IFERROR(__xludf.DUMMYFUNCTION("""COMPUTED_VALUE"""),"- Интенсив онлайн 11-13.02.2022")</f>
        <v>- Интенсив онлайн 11-13.02.2022</v>
      </c>
      <c r="G1332" s="14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</row>
    <row r="1333" spans="1:26" ht="14.25">
      <c r="A1333" s="14" t="str">
        <f ca="1">IFERROR(__xludf.DUMMYFUNCTION("""COMPUTED_VALUE"""),"Мария Зимовская")</f>
        <v>Мария Зимовская</v>
      </c>
      <c r="B1333" s="14" t="str">
        <f ca="1">IFERROR(__xludf.DUMMYFUNCTION("""COMPUTED_VALUE"""),"mn_zim@mail.ru")</f>
        <v>mn_zim@mail.ru</v>
      </c>
      <c r="C1333" s="15" t="str">
        <f ca="1">IFERROR(__xludf.DUMMYFUNCTION("""COMPUTED_VALUE"""),"+79161150748")</f>
        <v>+79161150748</v>
      </c>
      <c r="D1333" s="15" t="str">
        <f ca="1">IFERROR(__xludf.DUMMYFUNCTION("""COMPUTED_VALUE"""),"Россия")</f>
        <v>Россия</v>
      </c>
      <c r="E1333" s="14"/>
      <c r="F1333" s="8" t="str">
        <f ca="1">IFERROR(__xludf.DUMMYFUNCTION("""COMPUTED_VALUE"""),"- Интенсив онлайн 11-13.02.2022")</f>
        <v>- Интенсив онлайн 11-13.02.2022</v>
      </c>
      <c r="G1333" s="14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</row>
    <row r="1334" spans="1:26" ht="25.5">
      <c r="A1334" s="14" t="str">
        <f ca="1">IFERROR(__xludf.DUMMYFUNCTION("""COMPUTED_VALUE"""),"Nata Avd")</f>
        <v>Nata Avd</v>
      </c>
      <c r="B1334" s="14" t="str">
        <f ca="1">IFERROR(__xludf.DUMMYFUNCTION("""COMPUTED_VALUE"""),"mnatalia_kz@mail.ru")</f>
        <v>mnatalia_kz@mail.ru</v>
      </c>
      <c r="C1334" s="15" t="str">
        <f ca="1">IFERROR(__xludf.DUMMYFUNCTION("""COMPUTED_VALUE"""),"+77079986161")</f>
        <v>+77079986161</v>
      </c>
      <c r="D1334" s="15"/>
      <c r="E1334" s="14"/>
      <c r="F133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334" s="14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</row>
    <row r="1335" spans="1:26" ht="14.25">
      <c r="A1335" s="14" t="str">
        <f ca="1">IFERROR(__xludf.DUMMYFUNCTION("""COMPUTED_VALUE"""),"Андрей Андреев")</f>
        <v>Андрей Андреев</v>
      </c>
      <c r="B1335" s="14" t="str">
        <f ca="1">IFERROR(__xludf.DUMMYFUNCTION("""COMPUTED_VALUE"""),"mnk35@mail.ru")</f>
        <v>mnk35@mail.ru</v>
      </c>
      <c r="C1335" s="15" t="str">
        <f ca="1">IFERROR(__xludf.DUMMYFUNCTION("""COMPUTED_VALUE"""),"+79219802039")</f>
        <v>+79219802039</v>
      </c>
      <c r="D1335" s="15" t="str">
        <f ca="1">IFERROR(__xludf.DUMMYFUNCTION("""COMPUTED_VALUE"""),"Россия")</f>
        <v>Россия</v>
      </c>
      <c r="E1335" s="14"/>
      <c r="F1335" s="8" t="str">
        <f ca="1">IFERROR(__xludf.DUMMYFUNCTION("""COMPUTED_VALUE"""),"- Тишина Челлендж (бесплатная часть)")</f>
        <v>- Тишина Челлендж (бесплатная часть)</v>
      </c>
      <c r="G1335" s="14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</row>
    <row r="1336" spans="1:26" ht="14.25">
      <c r="A1336" s="14" t="str">
        <f ca="1">IFERROR(__xludf.DUMMYFUNCTION("""COMPUTED_VALUE"""),"Дмитрий Морданов, ")</f>
        <v xml:space="preserve">Дмитрий Морданов, </v>
      </c>
      <c r="B1336" s="14" t="str">
        <f ca="1">IFERROR(__xludf.DUMMYFUNCTION("""COMPUTED_VALUE"""),"modest55@mail.ru")</f>
        <v>modest55@mail.ru</v>
      </c>
      <c r="C1336" s="15" t="str">
        <f ca="1">IFERROR(__xludf.DUMMYFUNCTION("""COMPUTED_VALUE"""),"+79384883641, ")</f>
        <v xml:space="preserve">+79384883641, </v>
      </c>
      <c r="D1336" s="15"/>
      <c r="E1336" s="14"/>
      <c r="F1336" s="8" t="str">
        <f ca="1">IFERROR(__xludf.DUMMYFUNCTION("""COMPUTED_VALUE"""),"- Заявка на звонок для курса ""Парадентальная медитация""")</f>
        <v>- Заявка на звонок для курса "Парадентальная медитация"</v>
      </c>
      <c r="G1336" s="14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</row>
    <row r="1337" spans="1:26" ht="14.25">
      <c r="A1337" s="14" t="str">
        <f ca="1">IFERROR(__xludf.DUMMYFUNCTION("""COMPUTED_VALUE"""),"Modestas Martinkus")</f>
        <v>Modestas Martinkus</v>
      </c>
      <c r="B1337" s="14" t="str">
        <f ca="1">IFERROR(__xludf.DUMMYFUNCTION("""COMPUTED_VALUE"""),"modestas.martinkus@inbox.lt")</f>
        <v>modestas.martinkus@inbox.lt</v>
      </c>
      <c r="C1337" s="15" t="str">
        <f ca="1">IFERROR(__xludf.DUMMYFUNCTION("""COMPUTED_VALUE"""),"+4796745928")</f>
        <v>+4796745928</v>
      </c>
      <c r="D1337" s="15" t="str">
        <f ca="1">IFERROR(__xludf.DUMMYFUNCTION("""COMPUTED_VALUE"""),"Норвегия")</f>
        <v>Норвегия</v>
      </c>
      <c r="E1337" s="14"/>
      <c r="F1337" s="8" t="str">
        <f ca="1">IFERROR(__xludf.DUMMYFUNCTION("""COMPUTED_VALUE"""),"- Интенсив онлайн 11-13.03.2022 ")</f>
        <v xml:space="preserve">- Интенсив онлайн 11-13.03.2022 </v>
      </c>
      <c r="G1337" s="14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</row>
    <row r="1338" spans="1:26" ht="25.5">
      <c r="A1338" s="14" t="str">
        <f ca="1">IFERROR(__xludf.DUMMYFUNCTION("""COMPUTED_VALUE"""),"Мохинур Атахонова")</f>
        <v>Мохинур Атахонова</v>
      </c>
      <c r="B1338" s="14" t="str">
        <f ca="1">IFERROR(__xludf.DUMMYFUNCTION("""COMPUTED_VALUE"""),"Mohinuratahanova@gmail.com")</f>
        <v>Mohinuratahanova@gmail.com</v>
      </c>
      <c r="C1338" s="15" t="str">
        <f ca="1">IFERROR(__xludf.DUMMYFUNCTION("""COMPUTED_VALUE"""),"+998901112805")</f>
        <v>+998901112805</v>
      </c>
      <c r="D1338" s="15"/>
      <c r="E1338" s="14"/>
      <c r="F133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338" s="14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</row>
    <row r="1339" spans="1:26" ht="63.75">
      <c r="A1339" s="14" t="str">
        <f ca="1">IFERROR(__xludf.DUMMYFUNCTION("""COMPUTED_VALUE"""),"ЕКАТЕРИНА МОКРЕЦОВА")</f>
        <v>ЕКАТЕРИНА МОКРЕЦОВА</v>
      </c>
      <c r="B1339" s="14" t="str">
        <f ca="1">IFERROR(__xludf.DUMMYFUNCTION("""COMPUTED_VALUE"""),"mokretsova@mail.ru")</f>
        <v>mokretsova@mail.ru</v>
      </c>
      <c r="C1339" s="15" t="str">
        <f ca="1">IFERROR(__xludf.DUMMYFUNCTION("""COMPUTED_VALUE"""),"79161528379")</f>
        <v>79161528379</v>
      </c>
      <c r="D1339" s="15" t="str">
        <f ca="1">IFERROR(__xludf.DUMMYFUNCTION("""COMPUTED_VALUE"""),"Россия")</f>
        <v>Россия</v>
      </c>
      <c r="E1339" s="14" t="str">
        <f ca="1">IFERROR(__xludf.DUMMYFUNCTION("""COMPUTED_VALUE"""),"@katrinrenz")</f>
        <v>@katrinrenz</v>
      </c>
      <c r="F1339" s="8" t="str">
        <f ca="1">IFERROR(__xludf.DUMMYFUNCTION("""COMPUTED_VALUE"""),"- Клуб пробуждения Друзья (2 уровень) - 1 месяц
- Вебинар с Никитой Бородулиным 11.02.2022 часть1
- Интенсив 15-17 апреля Москва
- Клуб пробуждения Друзья (2 уровень) - 3 месяца - скидка 7%
- Однодневный онлайн ретрит Россия 14 мая 2022")</f>
        <v>- Клуб пробуждения Друзья (2 уровень) - 1 месяц
- Вебинар с Никитой Бородулиным 11.02.2022 часть1
- Интенсив 15-17 апреля Москва
- Клуб пробуждения Друзья (2 уровень) - 3 месяца - скидка 7%
- Однодневный онлайн ретрит Россия 14 мая 2022</v>
      </c>
      <c r="G1339" s="14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</row>
    <row r="1340" spans="1:26" ht="38.25">
      <c r="A1340" s="14" t="str">
        <f ca="1">IFERROR(__xludf.DUMMYFUNCTION("""COMPUTED_VALUE"""),"Наталья Мокроусова")</f>
        <v>Наталья Мокроусова</v>
      </c>
      <c r="B1340" s="14" t="str">
        <f ca="1">IFERROR(__xludf.DUMMYFUNCTION("""COMPUTED_VALUE"""),"mokrousova.natasha@inbox.ru")</f>
        <v>mokrousova.natasha@inbox.ru</v>
      </c>
      <c r="C1340" s="15" t="str">
        <f ca="1">IFERROR(__xludf.DUMMYFUNCTION("""COMPUTED_VALUE"""),"+79137992747")</f>
        <v>+79137992747</v>
      </c>
      <c r="D1340" s="15" t="str">
        <f ca="1">IFERROR(__xludf.DUMMYFUNCTION("""COMPUTED_VALUE"""),"Россия")</f>
        <v>Россия</v>
      </c>
      <c r="E1340" s="14"/>
      <c r="F1340" s="8" t="str">
        <f ca="1">IFERROR(__xludf.DUMMYFUNCTION("""COMPUTED_VALUE"""),"- Беседа - сатсанг с Екатериной Сосниной: Счастье внутри нас 15.1.22
- Вебинар с Никитой Бородулиным 11.02.2022 часть1")</f>
        <v>- Беседа - сатсанг с Екатериной Сосниной: Счастье внутри нас 15.1.22
- Вебинар с Никитой Бородулиным 11.02.2022 часть1</v>
      </c>
      <c r="G1340" s="14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</row>
    <row r="1341" spans="1:26" ht="14.25">
      <c r="A1341" s="14" t="str">
        <f ca="1">IFERROR(__xludf.DUMMYFUNCTION("""COMPUTED_VALUE"""),"Жайнагуль Молдыбаева")</f>
        <v>Жайнагуль Молдыбаева</v>
      </c>
      <c r="B1341" s="14" t="str">
        <f ca="1">IFERROR(__xludf.DUMMYFUNCTION("""COMPUTED_VALUE"""),"moldyabyeva.zh@gmail.com")</f>
        <v>moldyabyeva.zh@gmail.com</v>
      </c>
      <c r="C1341" s="15" t="str">
        <f ca="1">IFERROR(__xludf.DUMMYFUNCTION("""COMPUTED_VALUE"""),", 87751089955")</f>
        <v>, 87751089955</v>
      </c>
      <c r="D1341" s="15"/>
      <c r="E1341" s="14"/>
      <c r="F1341" s="8" t="str">
        <f ca="1">IFERROR(__xludf.DUMMYFUNCTION("""COMPUTED_VALUE"""),"Мероприятий не обнаружено")</f>
        <v>Мероприятий не обнаружено</v>
      </c>
      <c r="G1341" s="14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</row>
    <row r="1342" spans="1:26" ht="25.5">
      <c r="A1342" s="14" t="str">
        <f ca="1">IFERROR(__xludf.DUMMYFUNCTION("""COMPUTED_VALUE"""),"Малика Абдуллаева")</f>
        <v>Малика Абдуллаева</v>
      </c>
      <c r="B1342" s="14" t="str">
        <f ca="1">IFERROR(__xludf.DUMMYFUNCTION("""COMPUTED_VALUE"""),"molly_uz@mail.ru")</f>
        <v>molly_uz@mail.ru</v>
      </c>
      <c r="C1342" s="15" t="str">
        <f ca="1">IFERROR(__xludf.DUMMYFUNCTION("""COMPUTED_VALUE"""),"+998911333556")</f>
        <v>+998911333556</v>
      </c>
      <c r="D1342" s="15"/>
      <c r="E1342" s="14"/>
      <c r="F134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342" s="14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</row>
    <row r="1343" spans="1:26" ht="14.25">
      <c r="A1343" s="14" t="str">
        <f ca="1">IFERROR(__xludf.DUMMYFUNCTION("""COMPUTED_VALUE"""),"Mona Stancu")</f>
        <v>Mona Stancu</v>
      </c>
      <c r="B1343" s="14" t="str">
        <f ca="1">IFERROR(__xludf.DUMMYFUNCTION("""COMPUTED_VALUE"""),"monastancu5@gmail.com")</f>
        <v>monastancu5@gmail.com</v>
      </c>
      <c r="C1343" s="15"/>
      <c r="D1343" s="15"/>
      <c r="E1343" s="14"/>
      <c r="F1343" s="8" t="str">
        <f ca="1">IFERROR(__xludf.DUMMYFUNCTION("""COMPUTED_VALUE"""),"- What hides behind anxiety? The quantum leap [EU]")</f>
        <v>- What hides behind anxiety? The quantum leap [EU]</v>
      </c>
      <c r="G1343" s="14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</row>
    <row r="1344" spans="1:26" ht="14.25">
      <c r="A1344" s="14" t="str">
        <f ca="1">IFERROR(__xludf.DUMMYFUNCTION("""COMPUTED_VALUE"""),"Елена Фунтова")</f>
        <v>Елена Фунтова</v>
      </c>
      <c r="B1344" s="14" t="str">
        <f ca="1">IFERROR(__xludf.DUMMYFUNCTION("""COMPUTED_VALUE"""),"mongoraea@mail.ru")</f>
        <v>mongoraea@mail.ru</v>
      </c>
      <c r="C1344" s="15" t="str">
        <f ca="1">IFERROR(__xludf.DUMMYFUNCTION("""COMPUTED_VALUE"""),"79272169867")</f>
        <v>79272169867</v>
      </c>
      <c r="D1344" s="15" t="str">
        <f ca="1">IFERROR(__xludf.DUMMYFUNCTION("""COMPUTED_VALUE"""),"Россия")</f>
        <v>Россия</v>
      </c>
      <c r="E1344" s="14"/>
      <c r="F1344" s="8" t="str">
        <f ca="1">IFERROR(__xludf.DUMMYFUNCTION("""COMPUTED_VALUE"""),"- Тишина Челлендж (бесплатная часть)")</f>
        <v>- Тишина Челлендж (бесплатная часть)</v>
      </c>
      <c r="G1344" s="14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</row>
    <row r="1345" spans="1:26" ht="14.25">
      <c r="A1345" s="14" t="str">
        <f ca="1">IFERROR(__xludf.DUMMYFUNCTION("""COMPUTED_VALUE"""),"Monika Stirbienė")</f>
        <v>Monika Stirbienė</v>
      </c>
      <c r="B1345" s="14" t="str">
        <f ca="1">IFERROR(__xludf.DUMMYFUNCTION("""COMPUTED_VALUE"""),"monik.tumaite@gmail.com")</f>
        <v>monik.tumaite@gmail.com</v>
      </c>
      <c r="C1345" s="15" t="str">
        <f ca="1">IFERROR(__xludf.DUMMYFUNCTION("""COMPUTED_VALUE"""),"+37062634250")</f>
        <v>+37062634250</v>
      </c>
      <c r="D1345" s="15" t="str">
        <f ca="1">IFERROR(__xludf.DUMMYFUNCTION("""COMPUTED_VALUE"""),"Литва")</f>
        <v>Литва</v>
      </c>
      <c r="E1345" s="14"/>
      <c r="F1345" s="8" t="str">
        <f ca="1">IFERROR(__xludf.DUMMYFUNCTION("""COMPUTED_VALUE"""),"- АнтиЭго 2.0  29.3 - 12.04.2022 (поток 2)  70€")</f>
        <v>- АнтиЭго 2.0  29.3 - 12.04.2022 (поток 2)  70€</v>
      </c>
      <c r="G1345" s="14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</row>
    <row r="1346" spans="1:26" ht="25.5">
      <c r="A1346" s="14" t="str">
        <f ca="1">IFERROR(__xludf.DUMMYFUNCTION("""COMPUTED_VALUE"""),"Динора Точенова")</f>
        <v>Динора Точенова</v>
      </c>
      <c r="B1346" s="14" t="str">
        <f ca="1">IFERROR(__xludf.DUMMYFUNCTION("""COMPUTED_VALUE"""),"monklove@mail.ru")</f>
        <v>monklove@mail.ru</v>
      </c>
      <c r="C1346" s="15" t="str">
        <f ca="1">IFERROR(__xludf.DUMMYFUNCTION("""COMPUTED_VALUE"""),"87767450055")</f>
        <v>87767450055</v>
      </c>
      <c r="D1346" s="15"/>
      <c r="E1346" s="14"/>
      <c r="F134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346" s="14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</row>
    <row r="1347" spans="1:26" ht="14.25">
      <c r="A1347" s="14" t="str">
        <f ca="1">IFERROR(__xludf.DUMMYFUNCTION("""COMPUTED_VALUE"""),"Наталья Романова")</f>
        <v>Наталья Романова</v>
      </c>
      <c r="B1347" s="14" t="str">
        <f ca="1">IFERROR(__xludf.DUMMYFUNCTION("""COMPUTED_VALUE"""),"mood.convex01@icloud.com")</f>
        <v>mood.convex01@icloud.com</v>
      </c>
      <c r="C1347" s="15" t="str">
        <f ca="1">IFERROR(__xludf.DUMMYFUNCTION("""COMPUTED_VALUE"""),"+79859986838")</f>
        <v>+79859986838</v>
      </c>
      <c r="D1347" s="15" t="str">
        <f ca="1">IFERROR(__xludf.DUMMYFUNCTION("""COMPUTED_VALUE"""),"Россия")</f>
        <v>Россия</v>
      </c>
      <c r="E1347" s="14"/>
      <c r="F1347" s="8" t="str">
        <f ca="1">IFERROR(__xludf.DUMMYFUNCTION("""COMPUTED_VALUE"""),"- Заявка на СЪЕЗД+ФЕСТИВАЛЬ ""Мы вместе"" 3-8.01.22")</f>
        <v>- Заявка на СЪЕЗД+ФЕСТИВАЛЬ "Мы вместе" 3-8.01.22</v>
      </c>
      <c r="G1347" s="14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</row>
    <row r="1348" spans="1:26" ht="14.25">
      <c r="A1348" s="14" t="str">
        <f ca="1">IFERROR(__xludf.DUMMYFUNCTION("""COMPUTED_VALUE"""),"Елена Ефимова")</f>
        <v>Елена Ефимова</v>
      </c>
      <c r="B1348" s="14" t="str">
        <f ca="1">IFERROR(__xludf.DUMMYFUNCTION("""COMPUTED_VALUE"""),"morenita250685@gmail.com")</f>
        <v>morenita250685@gmail.com</v>
      </c>
      <c r="C1348" s="15" t="str">
        <f ca="1">IFERROR(__xludf.DUMMYFUNCTION("""COMPUTED_VALUE"""),"79005618183")</f>
        <v>79005618183</v>
      </c>
      <c r="D1348" s="15" t="str">
        <f ca="1">IFERROR(__xludf.DUMMYFUNCTION("""COMPUTED_VALUE"""),"Россия")</f>
        <v>Россия</v>
      </c>
      <c r="E1348" s="14"/>
      <c r="F1348" s="8" t="str">
        <f ca="1">IFERROR(__xludf.DUMMYFUNCTION("""COMPUTED_VALUE"""),"- Тишина Челлендж (бесплатная часть)")</f>
        <v>- Тишина Челлендж (бесплатная часть)</v>
      </c>
      <c r="G1348" s="14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</row>
    <row r="1349" spans="1:26" ht="14.25">
      <c r="A1349" s="14" t="str">
        <f ca="1">IFERROR(__xludf.DUMMYFUNCTION("""COMPUTED_VALUE"""),"Наташа Мо")</f>
        <v>Наташа Мо</v>
      </c>
      <c r="B1349" s="14" t="str">
        <f ca="1">IFERROR(__xludf.DUMMYFUNCTION("""COMPUTED_VALUE"""),"morozn696@gmail.com")</f>
        <v>morozn696@gmail.com</v>
      </c>
      <c r="C1349" s="15" t="str">
        <f ca="1">IFERROR(__xludf.DUMMYFUNCTION("""COMPUTED_VALUE"""),"0959174817")</f>
        <v>0959174817</v>
      </c>
      <c r="D1349" s="15" t="str">
        <f ca="1">IFERROR(__xludf.DUMMYFUNCTION("""COMPUTED_VALUE"""),"Украина")</f>
        <v>Украина</v>
      </c>
      <c r="E1349" s="14"/>
      <c r="F1349" s="8" t="str">
        <f ca="1">IFERROR(__xludf.DUMMYFUNCTION("""COMPUTED_VALUE"""),"- Вебинар все о ретрите 12.2.2022")</f>
        <v>- Вебинар все о ретрите 12.2.2022</v>
      </c>
      <c r="G1349" s="14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</row>
    <row r="1350" spans="1:26" ht="14.25">
      <c r="A1350" s="14" t="str">
        <f ca="1">IFERROR(__xludf.DUMMYFUNCTION("""COMPUTED_VALUE"""),"Александр Мосолов")</f>
        <v>Александр Мосолов</v>
      </c>
      <c r="B1350" s="14" t="str">
        <f ca="1">IFERROR(__xludf.DUMMYFUNCTION("""COMPUTED_VALUE"""),"mosolow.sasha@yandex.ru")</f>
        <v>mosolow.sasha@yandex.ru</v>
      </c>
      <c r="C1350" s="15" t="str">
        <f ca="1">IFERROR(__xludf.DUMMYFUNCTION("""COMPUTED_VALUE"""),", +79969751318")</f>
        <v>, +79969751318</v>
      </c>
      <c r="D1350" s="15" t="str">
        <f ca="1">IFERROR(__xludf.DUMMYFUNCTION("""COMPUTED_VALUE"""),"Россия")</f>
        <v>Россия</v>
      </c>
      <c r="E1350" s="14"/>
      <c r="F1350" s="8" t="str">
        <f ca="1">IFERROR(__xludf.DUMMYFUNCTION("""COMPUTED_VALUE"""),"Мероприятий не обнаружено")</f>
        <v>Мероприятий не обнаружено</v>
      </c>
      <c r="G1350" s="14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</row>
    <row r="1351" spans="1:26" ht="25.5">
      <c r="A1351" s="14" t="str">
        <f ca="1">IFERROR(__xludf.DUMMYFUNCTION("""COMPUTED_VALUE"""),"Юлия Гринфельд")</f>
        <v>Юлия Гринфельд</v>
      </c>
      <c r="B1351" s="14" t="str">
        <f ca="1">IFERROR(__xludf.DUMMYFUNCTION("""COMPUTED_VALUE"""),"moun23@yandex.ru")</f>
        <v>moun23@yandex.ru</v>
      </c>
      <c r="C1351" s="15" t="str">
        <f ca="1">IFERROR(__xludf.DUMMYFUNCTION("""COMPUTED_VALUE"""),"79217518672")</f>
        <v>79217518672</v>
      </c>
      <c r="D1351" s="15" t="str">
        <f ca="1">IFERROR(__xludf.DUMMYFUNCTION("""COMPUTED_VALUE"""),"Россия")</f>
        <v>Россия</v>
      </c>
      <c r="E1351" s="14"/>
      <c r="F1351" s="8" t="str">
        <f ca="1">IFERROR(__xludf.DUMMYFUNCTION("""COMPUTED_VALUE"""),"- Вводный вебинар 3.5.22 на Шаг к Пробуждению
- Тишина Челлендж (бесплатная часть)")</f>
        <v>- Вводный вебинар 3.5.22 на Шаг к Пробуждению
- Тишина Челлендж (бесплатная часть)</v>
      </c>
      <c r="G1351" s="14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</row>
    <row r="1352" spans="1:26" ht="14.25">
      <c r="A1352" s="14" t="str">
        <f ca="1">IFERROR(__xludf.DUMMYFUNCTION("""COMPUTED_VALUE"""),"Tair_ioga Zen")</f>
        <v>Tair_ioga Zen</v>
      </c>
      <c r="B1352" s="14" t="str">
        <f ca="1">IFERROR(__xludf.DUMMYFUNCTION("""COMPUTED_VALUE"""),"mr.baisartov@mail.ru")</f>
        <v>mr.baisartov@mail.ru</v>
      </c>
      <c r="C1352" s="15"/>
      <c r="D1352" s="15" t="str">
        <f ca="1">IFERROR(__xludf.DUMMYFUNCTION("""COMPUTED_VALUE"""),"Швеция")</f>
        <v>Швеция</v>
      </c>
      <c r="E1352" s="14"/>
      <c r="F1352" s="8" t="str">
        <f ca="1">IFERROR(__xludf.DUMMYFUNCTION("""COMPUTED_VALUE"""),"- Тишина Челлендж (бесплатная часть)")</f>
        <v>- Тишина Челлендж (бесплатная часть)</v>
      </c>
      <c r="G1352" s="14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</row>
    <row r="1353" spans="1:26" ht="25.5">
      <c r="A1353" s="14" t="str">
        <f ca="1">IFERROR(__xludf.DUMMYFUNCTION("""COMPUTED_VALUE"""),"Эльмира Хивренко")</f>
        <v>Эльмира Хивренко</v>
      </c>
      <c r="B1353" s="14" t="str">
        <f ca="1">IFERROR(__xludf.DUMMYFUNCTION("""COMPUTED_VALUE"""),"mrak8000@rambler.ru")</f>
        <v>mrak8000@rambler.ru</v>
      </c>
      <c r="C1353" s="15" t="str">
        <f ca="1">IFERROR(__xludf.DUMMYFUNCTION("""COMPUTED_VALUE"""),"+77764274593")</f>
        <v>+77764274593</v>
      </c>
      <c r="D1353" s="15"/>
      <c r="E1353" s="14"/>
      <c r="F135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353" s="14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</row>
    <row r="1354" spans="1:26" ht="14.25">
      <c r="A1354" s="14" t="str">
        <f ca="1">IFERROR(__xludf.DUMMYFUNCTION("""COMPUTED_VALUE"""),"Кристина Салих")</f>
        <v>Кристина Салих</v>
      </c>
      <c r="B1354" s="14" t="str">
        <f ca="1">IFERROR(__xludf.DUMMYFUNCTION("""COMPUTED_VALUE"""),"ms.larina2016@yandex.ri")</f>
        <v>ms.larina2016@yandex.ri</v>
      </c>
      <c r="C1354" s="15"/>
      <c r="D1354" s="15" t="str">
        <f ca="1">IFERROR(__xludf.DUMMYFUNCTION("""COMPUTED_VALUE"""),"Швеция")</f>
        <v>Швеция</v>
      </c>
      <c r="E1354" s="14"/>
      <c r="F1354" s="8" t="str">
        <f ca="1">IFERROR(__xludf.DUMMYFUNCTION("""COMPUTED_VALUE"""),"Мероприятий не обнаружено")</f>
        <v>Мероприятий не обнаружено</v>
      </c>
      <c r="G1354" s="14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</row>
    <row r="1355" spans="1:26" ht="14.25">
      <c r="A1355" s="14" t="str">
        <f ca="1">IFERROR(__xludf.DUMMYFUNCTION("""COMPUTED_VALUE"""),"Наталья Шипилова")</f>
        <v>Наталья Шипилова</v>
      </c>
      <c r="B1355" s="14" t="str">
        <f ca="1">IFERROR(__xludf.DUMMYFUNCTION("""COMPUTED_VALUE"""),"ms.nataly.77@mail.ru")</f>
        <v>ms.nataly.77@mail.ru</v>
      </c>
      <c r="C1355" s="15"/>
      <c r="D1355" s="15" t="str">
        <f ca="1">IFERROR(__xludf.DUMMYFUNCTION("""COMPUTED_VALUE"""),"Россия")</f>
        <v>Россия</v>
      </c>
      <c r="E1355" s="14"/>
      <c r="F1355" s="8" t="str">
        <f ca="1">IFERROR(__xludf.DUMMYFUNCTION("""COMPUTED_VALUE"""),"- Тишина Челлендж (бесплатная часть)")</f>
        <v>- Тишина Челлендж (бесплатная часть)</v>
      </c>
      <c r="G1355" s="14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</row>
    <row r="1356" spans="1:26" ht="25.5">
      <c r="A1356" s="14" t="str">
        <f ca="1">IFERROR(__xludf.DUMMYFUNCTION("""COMPUTED_VALUE"""),"Марина Сиказан")</f>
        <v>Марина Сиказан</v>
      </c>
      <c r="B1356" s="14" t="str">
        <f ca="1">IFERROR(__xludf.DUMMYFUNCTION("""COMPUTED_VALUE"""),"msikazan@gmail.com")</f>
        <v>msikazan@gmail.com</v>
      </c>
      <c r="C1356" s="15" t="str">
        <f ca="1">IFERROR(__xludf.DUMMYFUNCTION("""COMPUTED_VALUE"""),"+972547759594")</f>
        <v>+972547759594</v>
      </c>
      <c r="D1356" s="15" t="str">
        <f ca="1">IFERROR(__xludf.DUMMYFUNCTION("""COMPUTED_VALUE"""),"Израиль")</f>
        <v>Израиль</v>
      </c>
      <c r="E1356" s="14" t="str">
        <f ca="1">IFERROR(__xludf.DUMMYFUNCTION("""COMPUTED_VALUE"""),"@MarinaSikazan")</f>
        <v>@MarinaSikazan</v>
      </c>
      <c r="F1356" s="8" t="str">
        <f ca="1">IFERROR(__xludf.DUMMYFUNCTION("""COMPUTED_VALUE"""),"- Клуб пробуждения Друзья (2 уровень) - 3 месяца - скидка 7%
- Вебинар с Никитой Бородулиным 11.02.2022 часть1")</f>
        <v>- Клуб пробуждения Друзья (2 уровень) - 3 месяца - скидка 7%
- Вебинар с Никитой Бородулиным 11.02.2022 часть1</v>
      </c>
      <c r="G1356" s="14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</row>
    <row r="1357" spans="1:26" ht="14.25">
      <c r="A1357" s="14" t="str">
        <f ca="1">IFERROR(__xludf.DUMMYFUNCTION("""COMPUTED_VALUE"""),"msmoly1,  ")</f>
        <v xml:space="preserve">msmoly1,  </v>
      </c>
      <c r="B1357" s="14" t="str">
        <f ca="1">IFERROR(__xludf.DUMMYFUNCTION("""COMPUTED_VALUE"""),"msmoly1@wgu.edu")</f>
        <v>msmoly1@wgu.edu</v>
      </c>
      <c r="C1357" s="15"/>
      <c r="D1357" s="15"/>
      <c r="E1357" s="14"/>
      <c r="F1357" s="8" t="str">
        <f ca="1">IFERROR(__xludf.DUMMYFUNCTION("""COMPUTED_VALUE"""),"- USA Челлендж Тишина")</f>
        <v>- USA Челлендж Тишина</v>
      </c>
      <c r="G1357" s="14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</row>
    <row r="1358" spans="1:26" ht="14.25">
      <c r="A1358" s="14" t="str">
        <f ca="1">IFERROR(__xludf.DUMMYFUNCTION("""COMPUTED_VALUE"""),"Виталий Поводырев")</f>
        <v>Виталий Поводырев</v>
      </c>
      <c r="B1358" s="14" t="str">
        <f ca="1">IFERROR(__xludf.DUMMYFUNCTION("""COMPUTED_VALUE"""),"mtspp@yandex.ru")</f>
        <v>mtspp@yandex.ru</v>
      </c>
      <c r="C1358" s="15" t="str">
        <f ca="1">IFERROR(__xludf.DUMMYFUNCTION("""COMPUTED_VALUE"""),"+79172812746")</f>
        <v>+79172812746</v>
      </c>
      <c r="D1358" s="15" t="str">
        <f ca="1">IFERROR(__xludf.DUMMYFUNCTION("""COMPUTED_VALUE"""),"Россия")</f>
        <v>Россия</v>
      </c>
      <c r="E1358" s="14"/>
      <c r="F1358" s="8" t="str">
        <f ca="1">IFERROR(__xludf.DUMMYFUNCTION("""COMPUTED_VALUE"""),"- Тишина Челлендж (бесплатная часть)")</f>
        <v>- Тишина Челлендж (бесплатная часть)</v>
      </c>
      <c r="G1358" s="14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</row>
    <row r="1359" spans="1:26" ht="14.25">
      <c r="A1359" s="14" t="str">
        <f ca="1">IFERROR(__xludf.DUMMYFUNCTION("""COMPUTED_VALUE"""),"Мудите Русакова")</f>
        <v>Мудите Русакова</v>
      </c>
      <c r="B1359" s="14" t="str">
        <f ca="1">IFERROR(__xludf.DUMMYFUNCTION("""COMPUTED_VALUE"""),"muditeru@inbox.lv")</f>
        <v>muditeru@inbox.lv</v>
      </c>
      <c r="C1359" s="15" t="str">
        <f ca="1">IFERROR(__xludf.DUMMYFUNCTION("""COMPUTED_VALUE"""),"+37128330108")</f>
        <v>+37128330108</v>
      </c>
      <c r="D1359" s="15" t="str">
        <f ca="1">IFERROR(__xludf.DUMMYFUNCTION("""COMPUTED_VALUE"""),"Латвия")</f>
        <v>Латвия</v>
      </c>
      <c r="E1359" s="14"/>
      <c r="F1359" s="8" t="str">
        <f ca="1">IFERROR(__xludf.DUMMYFUNCTION("""COMPUTED_VALUE"""),"- Онлайн Интенсив 29-30 января 2022 Европа")</f>
        <v>- Онлайн Интенсив 29-30 января 2022 Европа</v>
      </c>
      <c r="G1359" s="14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</row>
    <row r="1360" spans="1:26" ht="14.25">
      <c r="A1360" s="14" t="str">
        <f ca="1">IFERROR(__xludf.DUMMYFUNCTION("""COMPUTED_VALUE"""),"Алуа Садуакасова")</f>
        <v>Алуа Садуакасова</v>
      </c>
      <c r="B1360" s="14" t="str">
        <f ca="1">IFERROR(__xludf.DUMMYFUNCTION("""COMPUTED_VALUE"""),"Mudzhaeva_ainura@mail.ru")</f>
        <v>Mudzhaeva_ainura@mail.ru</v>
      </c>
      <c r="C1360" s="15"/>
      <c r="D1360" s="15" t="str">
        <f ca="1">IFERROR(__xludf.DUMMYFUNCTION("""COMPUTED_VALUE"""),"Россия")</f>
        <v>Россия</v>
      </c>
      <c r="E1360" s="14"/>
      <c r="F1360" s="8" t="str">
        <f ca="1">IFERROR(__xludf.DUMMYFUNCTION("""COMPUTED_VALUE"""),"- Тишина Челлендж (бесплатная часть)")</f>
        <v>- Тишина Челлендж (бесплатная часть)</v>
      </c>
      <c r="G1360" s="14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</row>
    <row r="1361" spans="1:26" ht="25.5">
      <c r="A1361" s="14" t="str">
        <f ca="1">IFERROR(__xludf.DUMMYFUNCTION("""COMPUTED_VALUE"""),"Ināra Muižniece")</f>
        <v>Ināra Muižniece</v>
      </c>
      <c r="B1361" s="14" t="str">
        <f ca="1">IFERROR(__xludf.DUMMYFUNCTION("""COMPUTED_VALUE"""),"muizniece.inara@gmail.com")</f>
        <v>muizniece.inara@gmail.com</v>
      </c>
      <c r="C1361" s="15" t="str">
        <f ca="1">IFERROR(__xludf.DUMMYFUNCTION("""COMPUTED_VALUE"""),"29255202")</f>
        <v>29255202</v>
      </c>
      <c r="D1361" s="15" t="str">
        <f ca="1">IFERROR(__xludf.DUMMYFUNCTION("""COMPUTED_VALUE"""),"Латвия")</f>
        <v>Латвия</v>
      </c>
      <c r="E1361" s="14"/>
      <c r="F1361" s="8" t="str">
        <f ca="1">IFERROR(__xludf.DUMMYFUNCTION("""COMPUTED_VALUE"""),"- Шаг к Пробуждению №5 на латышском Латвия LV 11-18 декабря 2021 года ")</f>
        <v xml:space="preserve">- Шаг к Пробуждению №5 на латышском Латвия LV 11-18 декабря 2021 года </v>
      </c>
      <c r="G1361" s="14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</row>
    <row r="1362" spans="1:26" ht="25.5">
      <c r="A1362" s="14" t="str">
        <f ca="1">IFERROR(__xludf.DUMMYFUNCTION("""COMPUTED_VALUE"""),"Мария Лати")</f>
        <v>Мария Лати</v>
      </c>
      <c r="B1362" s="14" t="str">
        <f ca="1">IFERROR(__xludf.DUMMYFUNCTION("""COMPUTED_VALUE"""),"mukalat@mail.ru")</f>
        <v>mukalat@mail.ru</v>
      </c>
      <c r="C1362" s="15" t="str">
        <f ca="1">IFERROR(__xludf.DUMMYFUNCTION("""COMPUTED_VALUE"""),"+998935806883")</f>
        <v>+998935806883</v>
      </c>
      <c r="D1362" s="15" t="str">
        <f ca="1">IFERROR(__xludf.DUMMYFUNCTION("""COMPUTED_VALUE"""),"Узбекистан ")</f>
        <v xml:space="preserve">Узбекистан </v>
      </c>
      <c r="E1362" s="14"/>
      <c r="F136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362" s="14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</row>
    <row r="1363" spans="1:26" ht="14.25">
      <c r="A1363" s="14" t="str">
        <f ca="1">IFERROR(__xludf.DUMMYFUNCTION("""COMPUTED_VALUE"""),"Игорь Микич, ")</f>
        <v xml:space="preserve">Игорь Микич, </v>
      </c>
      <c r="B1363" s="14" t="str">
        <f ca="1">IFERROR(__xludf.DUMMYFUNCTION("""COMPUTED_VALUE"""),"mukuch.ihor@gmail.com")</f>
        <v>mukuch.ihor@gmail.com</v>
      </c>
      <c r="C1363" s="15" t="str">
        <f ca="1">IFERROR(__xludf.DUMMYFUNCTION("""COMPUTED_VALUE"""),"380977710948, ")</f>
        <v xml:space="preserve">380977710948, </v>
      </c>
      <c r="D1363" s="15"/>
      <c r="E1363" s="14"/>
      <c r="F1363" s="8" t="str">
        <f ca="1">IFERROR(__xludf.DUMMYFUNCTION("""COMPUTED_VALUE"""),"- Клуб пробуждения Друзья (2 уровень) - 1 месяц")</f>
        <v>- Клуб пробуждения Друзья (2 уровень) - 1 месяц</v>
      </c>
      <c r="G1363" s="14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</row>
    <row r="1364" spans="1:26" ht="25.5">
      <c r="A1364" s="14" t="str">
        <f ca="1">IFERROR(__xludf.DUMMYFUNCTION("""COMPUTED_VALUE"""),"Gulya Mukumova")</f>
        <v>Gulya Mukumova</v>
      </c>
      <c r="B1364" s="14" t="str">
        <f ca="1">IFERROR(__xludf.DUMMYFUNCTION("""COMPUTED_VALUE"""),"Mukumova9191@mail.ru")</f>
        <v>Mukumova9191@mail.ru</v>
      </c>
      <c r="C1364" s="15" t="str">
        <f ca="1">IFERROR(__xludf.DUMMYFUNCTION("""COMPUTED_VALUE"""),"+998904572002")</f>
        <v>+998904572002</v>
      </c>
      <c r="D1364" s="15"/>
      <c r="E1364" s="14"/>
      <c r="F136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364" s="14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</row>
    <row r="1365" spans="1:26" ht="14.25">
      <c r="A1365" s="14" t="str">
        <f ca="1">IFERROR(__xludf.DUMMYFUNCTION("""COMPUTED_VALUE"""),"Михаил Швецов")</f>
        <v>Михаил Швецов</v>
      </c>
      <c r="B1365" s="14" t="str">
        <f ca="1">IFERROR(__xludf.DUMMYFUNCTION("""COMPUTED_VALUE"""),"Multimish@mail.ru")</f>
        <v>Multimish@mail.ru</v>
      </c>
      <c r="C1365" s="15" t="str">
        <f ca="1">IFERROR(__xludf.DUMMYFUNCTION("""COMPUTED_VALUE"""),"79030566885")</f>
        <v>79030566885</v>
      </c>
      <c r="D1365" s="15" t="str">
        <f ca="1">IFERROR(__xludf.DUMMYFUNCTION("""COMPUTED_VALUE"""),"Россия")</f>
        <v>Россия</v>
      </c>
      <c r="E1365" s="14"/>
      <c r="F1365" s="8" t="str">
        <f ca="1">IFERROR(__xludf.DUMMYFUNCTION("""COMPUTED_VALUE"""),"- Тишина Челлендж (бесплатная часть)")</f>
        <v>- Тишина Челлендж (бесплатная часть)</v>
      </c>
      <c r="G1365" s="14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</row>
    <row r="1366" spans="1:26" ht="14.25">
      <c r="A1366" s="14" t="str">
        <f ca="1">IFERROR(__xludf.DUMMYFUNCTION("""COMPUTED_VALUE"""),"Наталья Муратова")</f>
        <v>Наталья Муратова</v>
      </c>
      <c r="B1366" s="14" t="str">
        <f ca="1">IFERROR(__xludf.DUMMYFUNCTION("""COMPUTED_VALUE"""),"Muratova.natasha79@mail.ru")</f>
        <v>Muratova.natasha79@mail.ru</v>
      </c>
      <c r="C1366" s="15" t="str">
        <f ca="1">IFERROR(__xludf.DUMMYFUNCTION("""COMPUTED_VALUE"""),", 79141717062")</f>
        <v>, 79141717062</v>
      </c>
      <c r="D1366" s="15" t="str">
        <f ca="1">IFERROR(__xludf.DUMMYFUNCTION("""COMPUTED_VALUE"""),"Россия")</f>
        <v>Россия</v>
      </c>
      <c r="E1366" s="14"/>
      <c r="F1366" s="8" t="str">
        <f ca="1">IFERROR(__xludf.DUMMYFUNCTION("""COMPUTED_VALUE"""),"Мероприятий не обнаружено")</f>
        <v>Мероприятий не обнаружено</v>
      </c>
      <c r="G1366" s="14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</row>
    <row r="1367" spans="1:26" ht="63.75">
      <c r="A1367" s="14" t="str">
        <f ca="1">IFERROR(__xludf.DUMMYFUNCTION("""COMPUTED_VALUE"""),"Ярослав Мусланов")</f>
        <v>Ярослав Мусланов</v>
      </c>
      <c r="B1367" s="14" t="str">
        <f ca="1">IFERROR(__xludf.DUMMYFUNCTION("""COMPUTED_VALUE"""),"muslanov@givinschool.org")</f>
        <v>muslanov@givinschool.org</v>
      </c>
      <c r="C1367" s="15" t="str">
        <f ca="1">IFERROR(__xludf.DUMMYFUNCTION("""COMPUTED_VALUE"""),"79006474256")</f>
        <v>79006474256</v>
      </c>
      <c r="D1367" s="15" t="str">
        <f ca="1">IFERROR(__xludf.DUMMYFUNCTION("""COMPUTED_VALUE"""),"Россия")</f>
        <v>Россия</v>
      </c>
      <c r="E1367" s="14"/>
      <c r="F1367" s="8" t="str">
        <f ca="1">IFERROR(__xludf.DUMMYFUNCTION("""COMPUTED_VALUE"""),"- КОНСПЕКТИРОВАНИЕ лекций ГЕНАДИЯ - Декабрь ""21
- КОНСПЕКТИРОВАНИЕ лекций ГЕНАДИЯ - Январь""22
- КОНСПЕКТИРОВАНИЕ лекций ГЕНАДИЯ - Февраль ""22
- КОНСПЕКТИРОВАНИЕ лекций ГЕНАДИЯ - Март ""22
- КОНСПЕКТИРОВАНИЕ лекций ГЕНАДИЯ - Апрель ""22")</f>
        <v>- КОНСПЕКТИРОВАНИЕ лекций ГЕНАДИЯ - Декабрь "21
- КОНСПЕКТИРОВАНИЕ лекций ГЕНАДИЯ - Январь"22
- КОНСПЕКТИРОВАНИЕ лекций ГЕНАДИЯ - Февраль "22
- КОНСПЕКТИРОВАНИЕ лекций ГЕНАДИЯ - Март "22
- КОНСПЕКТИРОВАНИЕ лекций ГЕНАДИЯ - Апрель "22</v>
      </c>
      <c r="G1367" s="14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</row>
    <row r="1368" spans="1:26" ht="14.25">
      <c r="A1368" s="14" t="str">
        <f ca="1">IFERROR(__xludf.DUMMYFUNCTION("""COMPUTED_VALUE"""),"Рухсора Мустофоева")</f>
        <v>Рухсора Мустофоева</v>
      </c>
      <c r="B1368" s="14" t="str">
        <f ca="1">IFERROR(__xludf.DUMMYFUNCTION("""COMPUTED_VALUE"""),"mustafaevaruxsora@gmail.com")</f>
        <v>mustafaevaruxsora@gmail.com</v>
      </c>
      <c r="C1368" s="15"/>
      <c r="D1368" s="15" t="str">
        <f ca="1">IFERROR(__xludf.DUMMYFUNCTION("""COMPUTED_VALUE"""),"Узбекистан")</f>
        <v>Узбекистан</v>
      </c>
      <c r="E1368" s="14"/>
      <c r="F1368" s="8" t="str">
        <f ca="1">IFERROR(__xludf.DUMMYFUNCTION("""COMPUTED_VALUE"""),"Мероприятий не обнаружено")</f>
        <v>Мероприятий не обнаружено</v>
      </c>
      <c r="G1368" s="14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</row>
    <row r="1369" spans="1:26" ht="25.5">
      <c r="A1369" s="14" t="str">
        <f ca="1">IFERROR(__xludf.DUMMYFUNCTION("""COMPUTED_VALUE"""),"Динара Муталиева")</f>
        <v>Динара Муталиева</v>
      </c>
      <c r="B1369" s="14" t="str">
        <f ca="1">IFERROR(__xludf.DUMMYFUNCTION("""COMPUTED_VALUE"""),"mutalieva.dm@gmail.com")</f>
        <v>mutalieva.dm@gmail.com</v>
      </c>
      <c r="C1369" s="15" t="str">
        <f ca="1">IFERROR(__xludf.DUMMYFUNCTION("""COMPUTED_VALUE"""),"87051837757")</f>
        <v>87051837757</v>
      </c>
      <c r="D1369" s="15"/>
      <c r="E1369" s="14"/>
      <c r="F136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369" s="14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</row>
    <row r="1370" spans="1:26" ht="25.5">
      <c r="A1370" s="14" t="str">
        <f ca="1">IFERROR(__xludf.DUMMYFUNCTION("""COMPUTED_VALUE"""),"Муяссар Асамова")</f>
        <v>Муяссар Асамова</v>
      </c>
      <c r="B1370" s="14" t="str">
        <f ca="1">IFERROR(__xludf.DUMMYFUNCTION("""COMPUTED_VALUE"""),"muyassar.asamova@icloud.com")</f>
        <v>muyassar.asamova@icloud.com</v>
      </c>
      <c r="C1370" s="15" t="str">
        <f ca="1">IFERROR(__xludf.DUMMYFUNCTION("""COMPUTED_VALUE"""),"998909002670")</f>
        <v>998909002670</v>
      </c>
      <c r="D1370" s="15"/>
      <c r="E1370" s="14"/>
      <c r="F137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370" s="14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</row>
    <row r="1371" spans="1:26" ht="14.25">
      <c r="A1371" s="14" t="str">
        <f ca="1">IFERROR(__xludf.DUMMYFUNCTION("""COMPUTED_VALUE"""),"Анастасия Симоненко")</f>
        <v>Анастасия Симоненко</v>
      </c>
      <c r="B1371" s="14" t="str">
        <f ca="1">IFERROR(__xludf.DUMMYFUNCTION("""COMPUTED_VALUE"""),"muzaslav@gmail.com")</f>
        <v>muzaslav@gmail.com</v>
      </c>
      <c r="C1371" s="15" t="str">
        <f ca="1">IFERROR(__xludf.DUMMYFUNCTION("""COMPUTED_VALUE"""),"79502225808")</f>
        <v>79502225808</v>
      </c>
      <c r="D1371" s="15" t="str">
        <f ca="1">IFERROR(__xludf.DUMMYFUNCTION("""COMPUTED_VALUE"""),"Россия")</f>
        <v>Россия</v>
      </c>
      <c r="E1371" s="14"/>
      <c r="F1371" s="8" t="str">
        <f ca="1">IFERROR(__xludf.DUMMYFUNCTION("""COMPUTED_VALUE"""),"- Однодневный ретрит Россия 14 мая 2022")</f>
        <v>- Однодневный ретрит Россия 14 мая 2022</v>
      </c>
      <c r="G1371" s="14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</row>
    <row r="1372" spans="1:26" ht="14.25">
      <c r="A1372" s="14" t="str">
        <f ca="1">IFERROR(__xludf.DUMMYFUNCTION("""COMPUTED_VALUE"""),"Маъруф Рахматов")</f>
        <v>Маъруф Рахматов</v>
      </c>
      <c r="B1372" s="14" t="str">
        <f ca="1">IFERROR(__xludf.DUMMYFUNCTION("""COMPUTED_VALUE"""),"mvsstudio7775@gmail.com")</f>
        <v>mvsstudio7775@gmail.com</v>
      </c>
      <c r="C1372" s="15" t="str">
        <f ca="1">IFERROR(__xludf.DUMMYFUNCTION("""COMPUTED_VALUE"""),"+998998398886")</f>
        <v>+998998398886</v>
      </c>
      <c r="D1372" s="15"/>
      <c r="E1372" s="14"/>
      <c r="F1372" s="8" t="str">
        <f ca="1">IFERROR(__xludf.DUMMYFUNCTION("""COMPUTED_VALUE"""),"- Клуб пробуждения Друзья (Региональный)")</f>
        <v>- Клуб пробуждения Друзья (Региональный)</v>
      </c>
      <c r="G1372" s="14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</row>
    <row r="1373" spans="1:26" ht="14.25">
      <c r="A1373" s="14" t="str">
        <f ca="1">IFERROR(__xludf.DUMMYFUNCTION("""COMPUTED_VALUE"""),"Надежда Мышьякова")</f>
        <v>Надежда Мышьякова</v>
      </c>
      <c r="B1373" s="14" t="str">
        <f ca="1">IFERROR(__xludf.DUMMYFUNCTION("""COMPUTED_VALUE"""),"my.nadezhda@mail.ru")</f>
        <v>my.nadezhda@mail.ru</v>
      </c>
      <c r="C1373" s="15" t="str">
        <f ca="1">IFERROR(__xludf.DUMMYFUNCTION("""COMPUTED_VALUE"""),", 79052975793")</f>
        <v>, 79052975793</v>
      </c>
      <c r="D1373" s="15" t="str">
        <f ca="1">IFERROR(__xludf.DUMMYFUNCTION("""COMPUTED_VALUE"""),"Россия")</f>
        <v>Россия</v>
      </c>
      <c r="E1373" s="14"/>
      <c r="F1373" s="8" t="str">
        <f ca="1">IFERROR(__xludf.DUMMYFUNCTION("""COMPUTED_VALUE"""),"Мероприятий не обнаружено")</f>
        <v>Мероприятий не обнаружено</v>
      </c>
      <c r="G1373" s="14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</row>
    <row r="1374" spans="1:26" ht="14.25">
      <c r="A1374" s="14" t="str">
        <f ca="1">IFERROR(__xludf.DUMMYFUNCTION("""COMPUTED_VALUE"""),"Елена Ярулина")</f>
        <v>Елена Ярулина</v>
      </c>
      <c r="B1374" s="14" t="str">
        <f ca="1">IFERROR(__xludf.DUMMYFUNCTION("""COMPUTED_VALUE"""),"myes8234@yandex.ru")</f>
        <v>myes8234@yandex.ru</v>
      </c>
      <c r="C1374" s="15" t="str">
        <f ca="1">IFERROR(__xludf.DUMMYFUNCTION("""COMPUTED_VALUE"""),"79154106422")</f>
        <v>79154106422</v>
      </c>
      <c r="D1374" s="15" t="str">
        <f ca="1">IFERROR(__xludf.DUMMYFUNCTION("""COMPUTED_VALUE"""),"Россия")</f>
        <v>Россия</v>
      </c>
      <c r="E1374" s="14"/>
      <c r="F1374" s="8" t="str">
        <f ca="1">IFERROR(__xludf.DUMMYFUNCTION("""COMPUTED_VALUE"""),"- Тишина Челлендж (бесплатная часть)")</f>
        <v>- Тишина Челлендж (бесплатная часть)</v>
      </c>
      <c r="G1374" s="14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</row>
    <row r="1375" spans="1:26" ht="14.25">
      <c r="A1375" s="14" t="str">
        <f ca="1">IFERROR(__xludf.DUMMYFUNCTION("""COMPUTED_VALUE"""),"Алина Павлова")</f>
        <v>Алина Павлова</v>
      </c>
      <c r="B1375" s="14" t="str">
        <f ca="1">IFERROR(__xludf.DUMMYFUNCTION("""COMPUTED_VALUE"""),"Mylovingheart77alina@yandex.ru")</f>
        <v>Mylovingheart77alina@yandex.ru</v>
      </c>
      <c r="C1375" s="15" t="str">
        <f ca="1">IFERROR(__xludf.DUMMYFUNCTION("""COMPUTED_VALUE"""),"79897443977")</f>
        <v>79897443977</v>
      </c>
      <c r="D1375" s="15" t="str">
        <f ca="1">IFERROR(__xludf.DUMMYFUNCTION("""COMPUTED_VALUE"""),"Россия")</f>
        <v>Россия</v>
      </c>
      <c r="E1375" s="14"/>
      <c r="F1375" s="8" t="str">
        <f ca="1">IFERROR(__xludf.DUMMYFUNCTION("""COMPUTED_VALUE"""),"- Вебинар все о ретрите 12.2.2022")</f>
        <v>- Вебинар все о ретрите 12.2.2022</v>
      </c>
      <c r="G1375" s="14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</row>
    <row r="1376" spans="1:26" ht="14.25">
      <c r="A1376" s="14" t="str">
        <f ca="1">IFERROR(__xludf.DUMMYFUNCTION("""COMPUTED_VALUE"""),"Джамиля Кулешова")</f>
        <v>Джамиля Кулешова</v>
      </c>
      <c r="B1376" s="14" t="str">
        <f ca="1">IFERROR(__xludf.DUMMYFUNCTION("""COMPUTED_VALUE"""),"myprosperity2018@gmail.com")</f>
        <v>myprosperity2018@gmail.com</v>
      </c>
      <c r="C1376" s="15" t="str">
        <f ca="1">IFERROR(__xludf.DUMMYFUNCTION("""COMPUTED_VALUE"""),"79680146965")</f>
        <v>79680146965</v>
      </c>
      <c r="D1376" s="15" t="str">
        <f ca="1">IFERROR(__xludf.DUMMYFUNCTION("""COMPUTED_VALUE"""),"Россия")</f>
        <v>Россия</v>
      </c>
      <c r="E1376" s="14"/>
      <c r="F1376" s="8" t="str">
        <f ca="1">IFERROR(__xludf.DUMMYFUNCTION("""COMPUTED_VALUE"""),"- Тишина Челлендж (бесплатная часть)")</f>
        <v>- Тишина Челлендж (бесплатная часть)</v>
      </c>
      <c r="G1376" s="14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</row>
    <row r="1377" spans="1:26" ht="14.25">
      <c r="A1377" s="14" t="str">
        <f ca="1">IFERROR(__xludf.DUMMYFUNCTION("""COMPUTED_VALUE"""),"Юрий Морозов")</f>
        <v>Юрий Морозов</v>
      </c>
      <c r="B1377" s="14" t="str">
        <f ca="1">IFERROR(__xludf.DUMMYFUNCTION("""COMPUTED_VALUE"""),"myweblord@mail.com")</f>
        <v>myweblord@mail.com</v>
      </c>
      <c r="C1377" s="15" t="str">
        <f ca="1">IFERROR(__xludf.DUMMYFUNCTION("""COMPUTED_VALUE"""),", +37126172166")</f>
        <v>, +37126172166</v>
      </c>
      <c r="D1377" s="15" t="str">
        <f ca="1">IFERROR(__xludf.DUMMYFUNCTION("""COMPUTED_VALUE"""),"Латвия")</f>
        <v>Латвия</v>
      </c>
      <c r="E1377" s="14"/>
      <c r="F1377" s="8" t="str">
        <f ca="1">IFERROR(__xludf.DUMMYFUNCTION("""COMPUTED_VALUE"""),"Мероприятий не обнаружено")</f>
        <v>Мероприятий не обнаружено</v>
      </c>
      <c r="G1377" s="14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</row>
    <row r="1378" spans="1:26" ht="14.25">
      <c r="A1378" s="14" t="str">
        <f ca="1">IFERROR(__xludf.DUMMYFUNCTION("""COMPUTED_VALUE"""),"Мария Шутко")</f>
        <v>Мария Шутко</v>
      </c>
      <c r="B1378" s="14" t="str">
        <f ca="1">IFERROR(__xludf.DUMMYFUNCTION("""COMPUTED_VALUE"""),"mzgonnikova@yandex.ru")</f>
        <v>mzgonnikova@yandex.ru</v>
      </c>
      <c r="C1378" s="15" t="str">
        <f ca="1">IFERROR(__xludf.DUMMYFUNCTION("""COMPUTED_VALUE"""),"+79500061919")</f>
        <v>+79500061919</v>
      </c>
      <c r="D1378" s="15" t="str">
        <f ca="1">IFERROR(__xludf.DUMMYFUNCTION("""COMPUTED_VALUE"""),"Россия")</f>
        <v>Россия</v>
      </c>
      <c r="E1378" s="14"/>
      <c r="F1378" s="8" t="str">
        <f ca="1">IFERROR(__xludf.DUMMYFUNCTION("""COMPUTED_VALUE"""),"- Регулярная практика тишины в Москве ")</f>
        <v xml:space="preserve">- Регулярная практика тишины в Москве </v>
      </c>
      <c r="G1378" s="14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</row>
    <row r="1379" spans="1:26" ht="14.25">
      <c r="A1379" s="14" t="str">
        <f ca="1">IFERROR(__xludf.DUMMYFUNCTION("""COMPUTED_VALUE"""),"Наталья Анварова")</f>
        <v>Наталья Анварова</v>
      </c>
      <c r="B1379" s="14" t="str">
        <f ca="1">IFERROR(__xludf.DUMMYFUNCTION("""COMPUTED_VALUE"""),"n-anvarova@mail.ru")</f>
        <v>n-anvarova@mail.ru</v>
      </c>
      <c r="C1379" s="15"/>
      <c r="D1379" s="15" t="str">
        <f ca="1">IFERROR(__xludf.DUMMYFUNCTION("""COMPUTED_VALUE"""),"Украина")</f>
        <v>Украина</v>
      </c>
      <c r="E1379" s="14"/>
      <c r="F1379" s="8" t="str">
        <f ca="1">IFERROR(__xludf.DUMMYFUNCTION("""COMPUTED_VALUE"""),"- Тишина Челлендж (бесплатная часть)")</f>
        <v>- Тишина Челлендж (бесплатная часть)</v>
      </c>
      <c r="G1379" s="14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</row>
    <row r="1380" spans="1:26" ht="25.5">
      <c r="A1380" s="14" t="str">
        <f ca="1">IFERROR(__xludf.DUMMYFUNCTION("""COMPUTED_VALUE"""),"Надежда Довгалева")</f>
        <v>Надежда Довгалева</v>
      </c>
      <c r="B1380" s="14" t="str">
        <f ca="1">IFERROR(__xludf.DUMMYFUNCTION("""COMPUTED_VALUE"""),"n-dovgaleva@bk.ru")</f>
        <v>n-dovgaleva@bk.ru</v>
      </c>
      <c r="C1380" s="15" t="str">
        <f ca="1">IFERROR(__xludf.DUMMYFUNCTION("""COMPUTED_VALUE"""),"79112424205")</f>
        <v>79112424205</v>
      </c>
      <c r="D1380" s="15" t="str">
        <f ca="1">IFERROR(__xludf.DUMMYFUNCTION("""COMPUTED_VALUE"""),"Россия")</f>
        <v>Россия</v>
      </c>
      <c r="E1380" s="14"/>
      <c r="F1380" s="8" t="str">
        <f ca="1">IFERROR(__xludf.DUMMYFUNCTION("""COMPUTED_VALUE"""),"- Вебинар с Никитой Бородулиным 11.02.2022 часть1
- Челлендж Тишины")</f>
        <v>- Вебинар с Никитой Бородулиным 11.02.2022 часть1
- Челлендж Тишины</v>
      </c>
      <c r="G1380" s="14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</row>
    <row r="1381" spans="1:26" ht="25.5">
      <c r="A1381" s="14" t="str">
        <f ca="1">IFERROR(__xludf.DUMMYFUNCTION("""COMPUTED_VALUE"""),"Наталья Ерошкина")</f>
        <v>Наталья Ерошкина</v>
      </c>
      <c r="B1381" s="14" t="str">
        <f ca="1">IFERROR(__xludf.DUMMYFUNCTION("""COMPUTED_VALUE"""),"n-eroshkina@mail.ru")</f>
        <v>n-eroshkina@mail.ru</v>
      </c>
      <c r="C1381" s="15" t="str">
        <f ca="1">IFERROR(__xludf.DUMMYFUNCTION("""COMPUTED_VALUE"""),"+79085805263")</f>
        <v>+79085805263</v>
      </c>
      <c r="D1381" s="15" t="str">
        <f ca="1">IFERROR(__xludf.DUMMYFUNCTION("""COMPUTED_VALUE"""),"Россия")</f>
        <v>Россия</v>
      </c>
      <c r="E1381" s="14"/>
      <c r="F1381" s="8" t="str">
        <f ca="1">IFERROR(__xludf.DUMMYFUNCTION("""COMPUTED_VALUE"""),"- Вебинар все о ретрите 12.2.2022
- Практика тишины Магнитогорск 19.02.2022")</f>
        <v>- Вебинар все о ретрите 12.2.2022
- Практика тишины Магнитогорск 19.02.2022</v>
      </c>
      <c r="G1381" s="14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</row>
    <row r="1382" spans="1:26" ht="25.5">
      <c r="A1382" s="14" t="str">
        <f ca="1">IFERROR(__xludf.DUMMYFUNCTION("""COMPUTED_VALUE"""),"Naz Naz")</f>
        <v>Naz Naz</v>
      </c>
      <c r="B1382" s="14" t="str">
        <f ca="1">IFERROR(__xludf.DUMMYFUNCTION("""COMPUTED_VALUE"""),"N.aitkazina@gmail.com")</f>
        <v>N.aitkazina@gmail.com</v>
      </c>
      <c r="C1382" s="15" t="str">
        <f ca="1">IFERROR(__xludf.DUMMYFUNCTION("""COMPUTED_VALUE"""),"87017286886")</f>
        <v>87017286886</v>
      </c>
      <c r="D1382" s="15" t="str">
        <f ca="1">IFERROR(__xludf.DUMMYFUNCTION("""COMPUTED_VALUE"""),"Казахстан")</f>
        <v>Казахстан</v>
      </c>
      <c r="E1382" s="14"/>
      <c r="F138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382" s="14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</row>
    <row r="1383" spans="1:26" ht="14.25">
      <c r="A1383" s="14" t="str">
        <f ca="1">IFERROR(__xludf.DUMMYFUNCTION("""COMPUTED_VALUE"""),"Наталья Берликова")</f>
        <v>Наталья Берликова</v>
      </c>
      <c r="B1383" s="14" t="str">
        <f ca="1">IFERROR(__xludf.DUMMYFUNCTION("""COMPUTED_VALUE"""),"N.berlikova@mail.ru")</f>
        <v>N.berlikova@mail.ru</v>
      </c>
      <c r="C1383" s="15" t="str">
        <f ca="1">IFERROR(__xludf.DUMMYFUNCTION("""COMPUTED_VALUE"""),"79030763911")</f>
        <v>79030763911</v>
      </c>
      <c r="D1383" s="15" t="str">
        <f ca="1">IFERROR(__xludf.DUMMYFUNCTION("""COMPUTED_VALUE"""),"Россия")</f>
        <v>Россия</v>
      </c>
      <c r="E1383" s="14"/>
      <c r="F1383" s="8" t="str">
        <f ca="1">IFERROR(__xludf.DUMMYFUNCTION("""COMPUTED_VALUE"""),"- Тишина Челлендж (бесплатная часть)")</f>
        <v>- Тишина Челлендж (бесплатная часть)</v>
      </c>
      <c r="G1383" s="14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</row>
    <row r="1384" spans="1:26" ht="63.75">
      <c r="A1384" s="14" t="str">
        <f ca="1">IFERROR(__xludf.DUMMYFUNCTION("""COMPUTED_VALUE"""),"Нина Фалеева")</f>
        <v>Нина Фалеева</v>
      </c>
      <c r="B1384" s="14" t="str">
        <f ca="1">IFERROR(__xludf.DUMMYFUNCTION("""COMPUTED_VALUE"""),"n.faleeva@rambler.ru")</f>
        <v>n.faleeva@rambler.ru</v>
      </c>
      <c r="C1384" s="15" t="str">
        <f ca="1">IFERROR(__xludf.DUMMYFUNCTION("""COMPUTED_VALUE"""),"+79145419144")</f>
        <v>+79145419144</v>
      </c>
      <c r="D1384" s="15" t="str">
        <f ca="1">IFERROR(__xludf.DUMMYFUNCTION("""COMPUTED_VALUE"""),"Россия")</f>
        <v>Россия</v>
      </c>
      <c r="E1384" s="14"/>
      <c r="F1384" s="8" t="str">
        <f ca="1">IFERROR(__xludf.DUMMYFUNCTION("""COMPUTED_VALUE"""),"- Онлайн Интенсив Дальний Восток 25-27.02.2022 
- Чайная встреча - Сочи-Хабаровск 19.2.2022
- Сообщество «Дальний Восток»
- Онлайн Интенсив Дальний Восток 25-27.03.2022 
- Клуб пробуждения Друзья (2 уровень) - 1 месяц")</f>
        <v>- Онлайн Интенсив Дальний Восток 25-27.02.2022 
- Чайная встреча - Сочи-Хабаровск 19.2.2022
- Сообщество «Дальний Восток»
- Онлайн Интенсив Дальний Восток 25-27.03.2022 
- Клуб пробуждения Друзья (2 уровень) - 1 месяц</v>
      </c>
      <c r="G1384" s="14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</row>
    <row r="1385" spans="1:26" ht="14.25">
      <c r="A1385" s="14" t="str">
        <f ca="1">IFERROR(__xludf.DUMMYFUNCTION("""COMPUTED_VALUE"""),"Наталья Хлопова")</f>
        <v>Наталья Хлопова</v>
      </c>
      <c r="B1385" s="14" t="str">
        <f ca="1">IFERROR(__xludf.DUMMYFUNCTION("""COMPUTED_VALUE"""),"n.khlopova@yandex.ru")</f>
        <v>n.khlopova@yandex.ru</v>
      </c>
      <c r="C1385" s="15" t="str">
        <f ca="1">IFERROR(__xludf.DUMMYFUNCTION("""COMPUTED_VALUE"""),"79852379972")</f>
        <v>79852379972</v>
      </c>
      <c r="D1385" s="15" t="str">
        <f ca="1">IFERROR(__xludf.DUMMYFUNCTION("""COMPUTED_VALUE"""),"Россия")</f>
        <v>Россия</v>
      </c>
      <c r="E1385" s="14"/>
      <c r="F1385" s="8" t="str">
        <f ca="1">IFERROR(__xludf.DUMMYFUNCTION("""COMPUTED_VALUE"""),"- Вебинар все о ретрите 12.2.2022")</f>
        <v>- Вебинар все о ретрите 12.2.2022</v>
      </c>
      <c r="G1385" s="14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</row>
    <row r="1386" spans="1:26" ht="25.5">
      <c r="A1386" s="14" t="str">
        <f ca="1">IFERROR(__xludf.DUMMYFUNCTION("""COMPUTED_VALUE"""),"Нигина Нурмухамедова")</f>
        <v>Нигина Нурмухамедова</v>
      </c>
      <c r="B1386" s="14" t="str">
        <f ca="1">IFERROR(__xludf.DUMMYFUNCTION("""COMPUTED_VALUE"""),"n.nurmukh92@gmail.com")</f>
        <v>n.nurmukh92@gmail.com</v>
      </c>
      <c r="C1386" s="15" t="str">
        <f ca="1">IFERROR(__xludf.DUMMYFUNCTION("""COMPUTED_VALUE"""),"+998983383575")</f>
        <v>+998983383575</v>
      </c>
      <c r="D1386" s="15"/>
      <c r="E1386" s="14"/>
      <c r="F138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386" s="14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</row>
    <row r="1387" spans="1:26" ht="14.25">
      <c r="A1387" s="14" t="str">
        <f ca="1">IFERROR(__xludf.DUMMYFUNCTION("""COMPUTED_VALUE"""),"Надежда Полукарова")</f>
        <v>Надежда Полукарова</v>
      </c>
      <c r="B1387" s="14" t="str">
        <f ca="1">IFERROR(__xludf.DUMMYFUNCTION("""COMPUTED_VALUE"""),"n.polukarova@bk.ru")</f>
        <v>n.polukarova@bk.ru</v>
      </c>
      <c r="C1387" s="15" t="str">
        <f ca="1">IFERROR(__xludf.DUMMYFUNCTION("""COMPUTED_VALUE"""),"+79885374962")</f>
        <v>+79885374962</v>
      </c>
      <c r="D1387" s="15" t="str">
        <f ca="1">IFERROR(__xludf.DUMMYFUNCTION("""COMPUTED_VALUE"""),"Россия")</f>
        <v>Россия</v>
      </c>
      <c r="E1387" s="14"/>
      <c r="F1387" s="8" t="str">
        <f ca="1">IFERROR(__xludf.DUMMYFUNCTION("""COMPUTED_VALUE"""),"- Вводный вебинар 3.5.22 на Шаг к Пробуждению")</f>
        <v>- Вводный вебинар 3.5.22 на Шаг к Пробуждению</v>
      </c>
      <c r="G1387" s="14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</row>
    <row r="1388" spans="1:26" ht="25.5">
      <c r="A1388" s="14" t="str">
        <f ca="1">IFERROR(__xludf.DUMMYFUNCTION("""COMPUTED_VALUE"""),"Наталья Старенко")</f>
        <v>Наталья Старенко</v>
      </c>
      <c r="B1388" s="14" t="str">
        <f ca="1">IFERROR(__xludf.DUMMYFUNCTION("""COMPUTED_VALUE"""),"n.starenko@mail.ru")</f>
        <v>n.starenko@mail.ru</v>
      </c>
      <c r="C1388" s="15" t="str">
        <f ca="1">IFERROR(__xludf.DUMMYFUNCTION("""COMPUTED_VALUE"""),"+77776257601")</f>
        <v>+77776257601</v>
      </c>
      <c r="D1388" s="15" t="str">
        <f ca="1">IFERROR(__xludf.DUMMYFUNCTION("""COMPUTED_VALUE"""),"Казахстан")</f>
        <v>Казахстан</v>
      </c>
      <c r="E1388" s="14"/>
      <c r="F1388" s="8" t="str">
        <f ca="1">IFERROR(__xludf.DUMMYFUNCTION("""COMPUTED_VALUE"""),"-  Курс Пробуждение. Начало.
- Тишина Челлендж (бесплатная часть)")</f>
        <v>-  Курс Пробуждение. Начало.
- Тишина Челлендж (бесплатная часть)</v>
      </c>
      <c r="G1388" s="14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</row>
    <row r="1389" spans="1:26" ht="25.5">
      <c r="A1389" s="14" t="str">
        <f ca="1">IFERROR(__xludf.DUMMYFUNCTION("""COMPUTED_VALUE"""),"Nelli Taylor")</f>
        <v>Nelli Taylor</v>
      </c>
      <c r="B1389" s="14" t="str">
        <f ca="1">IFERROR(__xludf.DUMMYFUNCTION("""COMPUTED_VALUE"""),"n.voehringer@gmx.de")</f>
        <v>n.voehringer@gmx.de</v>
      </c>
      <c r="C1389" s="15" t="str">
        <f ca="1">IFERROR(__xludf.DUMMYFUNCTION("""COMPUTED_VALUE"""),"+491737637432")</f>
        <v>+491737637432</v>
      </c>
      <c r="D1389" s="15" t="str">
        <f ca="1">IFERROR(__xludf.DUMMYFUNCTION("""COMPUTED_VALUE"""),"Germany")</f>
        <v>Germany</v>
      </c>
      <c r="E1389" s="14" t="str">
        <f ca="1">IFERROR(__xludf.DUMMYFUNCTION("""COMPUTED_VALUE"""),"@Nelli8")</f>
        <v>@Nelli8</v>
      </c>
      <c r="F1389" s="8" t="str">
        <f ca="1">IFERROR(__xludf.DUMMYFUNCTION("""COMPUTED_VALUE"""),"- Ретрит в Германии 30 апреля-7 мая 2022
- Заявка на звонок для курса ""Парадентальная медитация""")</f>
        <v>- Ретрит в Германии 30 апреля-7 мая 2022
- Заявка на звонок для курса "Парадентальная медитация"</v>
      </c>
      <c r="G1389" s="14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</row>
    <row r="1390" spans="1:26" ht="14.25">
      <c r="A1390" s="14" t="str">
        <f ca="1">IFERROR(__xludf.DUMMYFUNCTION("""COMPUTED_VALUE"""),"Элеонора Валькова")</f>
        <v>Элеонора Валькова</v>
      </c>
      <c r="B1390" s="14" t="str">
        <f ca="1">IFERROR(__xludf.DUMMYFUNCTION("""COMPUTED_VALUE"""),"n0ra69@yandex.ru")</f>
        <v>n0ra69@yandex.ru</v>
      </c>
      <c r="C1390" s="15"/>
      <c r="D1390" s="15" t="str">
        <f ca="1">IFERROR(__xludf.DUMMYFUNCTION("""COMPUTED_VALUE"""),"Россия")</f>
        <v>Россия</v>
      </c>
      <c r="E1390" s="14"/>
      <c r="F1390" s="8" t="str">
        <f ca="1">IFERROR(__xludf.DUMMYFUNCTION("""COMPUTED_VALUE"""),"- Тишина Челлендж (бесплатная часть)")</f>
        <v>- Тишина Челлендж (бесплатная часть)</v>
      </c>
      <c r="G1390" s="14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</row>
    <row r="1391" spans="1:26" ht="14.25">
      <c r="A1391" s="14" t="str">
        <f ca="1">IFERROR(__xludf.DUMMYFUNCTION("""COMPUTED_VALUE"""),"Нина Бигашева")</f>
        <v>Нина Бигашева</v>
      </c>
      <c r="B1391" s="14" t="str">
        <f ca="1">IFERROR(__xludf.DUMMYFUNCTION("""COMPUTED_VALUE"""),"n31031942@yandex.ru")</f>
        <v>n31031942@yandex.ru</v>
      </c>
      <c r="C1391" s="15" t="str">
        <f ca="1">IFERROR(__xludf.DUMMYFUNCTION("""COMPUTED_VALUE"""),"+79687417072")</f>
        <v>+79687417072</v>
      </c>
      <c r="D1391" s="15" t="str">
        <f ca="1">IFERROR(__xludf.DUMMYFUNCTION("""COMPUTED_VALUE"""),"Россия")</f>
        <v>Россия</v>
      </c>
      <c r="E1391" s="14"/>
      <c r="F1391" s="8" t="str">
        <f ca="1">IFERROR(__xludf.DUMMYFUNCTION("""COMPUTED_VALUE"""),"- Тишина Челлендж (бесплатная часть)")</f>
        <v>- Тишина Челлендж (бесплатная часть)</v>
      </c>
      <c r="G1391" s="14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</row>
    <row r="1392" spans="1:26" ht="14.25">
      <c r="A1392" s="14" t="str">
        <f ca="1">IFERROR(__xludf.DUMMYFUNCTION("""COMPUTED_VALUE"""),"nadgoet,  ")</f>
        <v xml:space="preserve">nadgoet,  </v>
      </c>
      <c r="B1392" s="14" t="str">
        <f ca="1">IFERROR(__xludf.DUMMYFUNCTION("""COMPUTED_VALUE"""),"nadgoet@gmail.com")</f>
        <v>nadgoet@gmail.com</v>
      </c>
      <c r="C1392" s="15"/>
      <c r="D1392" s="15"/>
      <c r="E1392" s="14"/>
      <c r="F1392" s="8" t="str">
        <f ca="1">IFERROR(__xludf.DUMMYFUNCTION("""COMPUTED_VALUE"""),"- USA Челлендж Тишина")</f>
        <v>- USA Челлендж Тишина</v>
      </c>
      <c r="G1392" s="14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</row>
    <row r="1393" spans="1:26" ht="14.25">
      <c r="A1393" s="14" t="str">
        <f ca="1">IFERROR(__xludf.DUMMYFUNCTION("""COMPUTED_VALUE"""),"НАДЯ РОТА")</f>
        <v>НАДЯ РОТА</v>
      </c>
      <c r="B1393" s="14" t="str">
        <f ca="1">IFERROR(__xludf.DUMMYFUNCTION("""COMPUTED_VALUE"""),"nadia@rotanet.com")</f>
        <v>nadia@rotanet.com</v>
      </c>
      <c r="C1393" s="15" t="str">
        <f ca="1">IFERROR(__xludf.DUMMYFUNCTION("""COMPUTED_VALUE"""),", 74158199151")</f>
        <v>, 74158199151</v>
      </c>
      <c r="D1393" s="15" t="str">
        <f ca="1">IFERROR(__xludf.DUMMYFUNCTION("""COMPUTED_VALUE"""),"США")</f>
        <v>США</v>
      </c>
      <c r="E1393" s="14" t="str">
        <f ca="1">IFERROR(__xludf.DUMMYFUNCTION("""COMPUTED_VALUE"""),"@nadiarota")</f>
        <v>@nadiarota</v>
      </c>
      <c r="F1393" s="8" t="str">
        <f ca="1">IFERROR(__xludf.DUMMYFUNCTION("""COMPUTED_VALUE"""),"Мероприятий не обнаружено")</f>
        <v>Мероприятий не обнаружено</v>
      </c>
      <c r="G1393" s="14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</row>
    <row r="1394" spans="1:26" ht="14.25">
      <c r="A1394" s="14" t="str">
        <f ca="1">IFERROR(__xludf.DUMMYFUNCTION("""COMPUTED_VALUE"""),"Надежда  Чунаева, Надежда Чунаева")</f>
        <v>Надежда  Чунаева, Надежда Чунаева</v>
      </c>
      <c r="B1394" s="14" t="str">
        <f ca="1">IFERROR(__xludf.DUMMYFUNCTION("""COMPUTED_VALUE"""),"nadin_chunaeva@mail.ru")</f>
        <v>nadin_chunaeva@mail.ru</v>
      </c>
      <c r="C1394" s="15" t="str">
        <f ca="1">IFERROR(__xludf.DUMMYFUNCTION("""COMPUTED_VALUE"""),"79052320935")</f>
        <v>79052320935</v>
      </c>
      <c r="D1394" s="15" t="str">
        <f ca="1">IFERROR(__xludf.DUMMYFUNCTION("""COMPUTED_VALUE"""),"Канада")</f>
        <v>Канада</v>
      </c>
      <c r="E1394" s="14"/>
      <c r="F1394" s="8" t="str">
        <f ca="1">IFERROR(__xludf.DUMMYFUNCTION("""COMPUTED_VALUE"""),"- Челлендж Тишины")</f>
        <v>- Челлендж Тишины</v>
      </c>
      <c r="G1394" s="14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</row>
    <row r="1395" spans="1:26" ht="25.5">
      <c r="A1395" s="14" t="str">
        <f ca="1">IFERROR(__xludf.DUMMYFUNCTION("""COMPUTED_VALUE"""),"Надежда Лашкарбекова")</f>
        <v>Надежда Лашкарбекова</v>
      </c>
      <c r="B1395" s="14" t="str">
        <f ca="1">IFERROR(__xludf.DUMMYFUNCTION("""COMPUTED_VALUE"""),"nadin.lashkarbekova@gmail.com")</f>
        <v>nadin.lashkarbekova@gmail.com</v>
      </c>
      <c r="C1395" s="15" t="str">
        <f ca="1">IFERROR(__xludf.DUMMYFUNCTION("""COMPUTED_VALUE"""),"993731615")</f>
        <v>993731615</v>
      </c>
      <c r="D1395" s="15" t="str">
        <f ca="1">IFERROR(__xludf.DUMMYFUNCTION("""COMPUTED_VALUE"""),"Узбекистан")</f>
        <v>Узбекистан</v>
      </c>
      <c r="E1395" s="14"/>
      <c r="F139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395" s="14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</row>
    <row r="1396" spans="1:26" ht="25.5">
      <c r="A1396" s="14" t="str">
        <f ca="1">IFERROR(__xludf.DUMMYFUNCTION("""COMPUTED_VALUE"""),"ЭЛЯ Надирова")</f>
        <v>ЭЛЯ Надирова</v>
      </c>
      <c r="B1396" s="14" t="str">
        <f ca="1">IFERROR(__xludf.DUMMYFUNCTION("""COMPUTED_VALUE"""),"nadirovaelnora@gmail.com")</f>
        <v>nadirovaelnora@gmail.com</v>
      </c>
      <c r="C1396" s="15" t="str">
        <f ca="1">IFERROR(__xludf.DUMMYFUNCTION("""COMPUTED_VALUE"""),"+998909580057")</f>
        <v>+998909580057</v>
      </c>
      <c r="D1396" s="15"/>
      <c r="E1396" s="14"/>
      <c r="F139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396" s="14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</row>
    <row r="1397" spans="1:26" ht="14.25">
      <c r="A1397" s="14" t="str">
        <f ca="1">IFERROR(__xludf.DUMMYFUNCTION("""COMPUTED_VALUE"""),"nadja_kromm,  ")</f>
        <v xml:space="preserve">nadja_kromm,  </v>
      </c>
      <c r="B1397" s="14" t="str">
        <f ca="1">IFERROR(__xludf.DUMMYFUNCTION("""COMPUTED_VALUE"""),"nadja_kromm@mail.ru")</f>
        <v>nadja_kromm@mail.ru</v>
      </c>
      <c r="C1397" s="15"/>
      <c r="D1397" s="15" t="str">
        <f ca="1">IFERROR(__xludf.DUMMYFUNCTION("""COMPUTED_VALUE"""),"США")</f>
        <v>США</v>
      </c>
      <c r="E1397" s="14"/>
      <c r="F1397" s="8" t="str">
        <f ca="1">IFERROR(__xludf.DUMMYFUNCTION("""COMPUTED_VALUE"""),"- USA Челлендж Тишина")</f>
        <v>- USA Челлендж Тишина</v>
      </c>
      <c r="G1397" s="14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</row>
    <row r="1398" spans="1:26" ht="25.5">
      <c r="A1398" s="14" t="str">
        <f ca="1">IFERROR(__xludf.DUMMYFUNCTION("""COMPUTED_VALUE"""),"Надежда Иванова")</f>
        <v>Надежда Иванова</v>
      </c>
      <c r="B1398" s="14" t="str">
        <f ca="1">IFERROR(__xludf.DUMMYFUNCTION("""COMPUTED_VALUE"""),"nadusha_1303@mail.ru")</f>
        <v>nadusha_1303@mail.ru</v>
      </c>
      <c r="C1398" s="15" t="str">
        <f ca="1">IFERROR(__xludf.DUMMYFUNCTION("""COMPUTED_VALUE"""),"87027159558")</f>
        <v>87027159558</v>
      </c>
      <c r="D1398" s="15"/>
      <c r="E1398" s="14"/>
      <c r="F139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398" s="14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</row>
    <row r="1399" spans="1:26" ht="14.25">
      <c r="A1399" s="14" t="str">
        <f ca="1">IFERROR(__xludf.DUMMYFUNCTION("""COMPUTED_VALUE"""),"Нафиса Джафарова")</f>
        <v>Нафиса Джафарова</v>
      </c>
      <c r="B1399" s="14" t="str">
        <f ca="1">IFERROR(__xludf.DUMMYFUNCTION("""COMPUTED_VALUE"""),"nafisa_djafarova@mail.ru")</f>
        <v>nafisa_djafarova@mail.ru</v>
      </c>
      <c r="C1399" s="15" t="str">
        <f ca="1">IFERROR(__xludf.DUMMYFUNCTION("""COMPUTED_VALUE"""),"+998946577112")</f>
        <v>+998946577112</v>
      </c>
      <c r="D1399" s="15" t="str">
        <f ca="1">IFERROR(__xludf.DUMMYFUNCTION("""COMPUTED_VALUE"""),"Узбекистан")</f>
        <v>Узбекистан</v>
      </c>
      <c r="E1399" s="14"/>
      <c r="F1399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1399" s="14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</row>
    <row r="1400" spans="1:26" ht="25.5">
      <c r="A1400" s="14" t="str">
        <f ca="1">IFERROR(__xludf.DUMMYFUNCTION("""COMPUTED_VALUE"""),"Нафиса Рисбаева")</f>
        <v>Нафиса Рисбаева</v>
      </c>
      <c r="B1400" s="14" t="str">
        <f ca="1">IFERROR(__xludf.DUMMYFUNCTION("""COMPUTED_VALUE"""),"nafisarisbaeva369@gmail.com")</f>
        <v>nafisarisbaeva369@gmail.com</v>
      </c>
      <c r="C1400" s="15" t="str">
        <f ca="1">IFERROR(__xludf.DUMMYFUNCTION("""COMPUTED_VALUE"""),"998972485031")</f>
        <v>998972485031</v>
      </c>
      <c r="D1400" s="15" t="str">
        <f ca="1">IFERROR(__xludf.DUMMYFUNCTION("""COMPUTED_VALUE"""),"Узбекистан")</f>
        <v>Узбекистан</v>
      </c>
      <c r="E1400" s="14" t="str">
        <f ca="1">IFERROR(__xludf.DUMMYFUNCTION("""COMPUTED_VALUE"""),"Nafis_love369")</f>
        <v>Nafis_love369</v>
      </c>
      <c r="F1400" s="8" t="str">
        <f ca="1">IFERROR(__xludf.DUMMYFUNCTION("""COMPUTED_VALUE"""),"- Вебинар с Никитой Бородулиным 11.02.2022 часть1
- Тишина Челлендж (бесплатная часть)")</f>
        <v>- Вебинар с Никитой Бородулиным 11.02.2022 часть1
- Тишина Челлендж (бесплатная часть)</v>
      </c>
      <c r="G1400" s="14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</row>
    <row r="1401" spans="1:26" ht="14.25">
      <c r="A1401" s="14" t="str">
        <f ca="1">IFERROR(__xludf.DUMMYFUNCTION("""COMPUTED_VALUE"""),"Наина Бурухина")</f>
        <v>Наина Бурухина</v>
      </c>
      <c r="B1401" s="14" t="str">
        <f ca="1">IFERROR(__xludf.DUMMYFUNCTION("""COMPUTED_VALUE"""),"naina14@inbox.ru")</f>
        <v>naina14@inbox.ru</v>
      </c>
      <c r="C1401" s="15" t="str">
        <f ca="1">IFERROR(__xludf.DUMMYFUNCTION("""COMPUTED_VALUE"""),", 87768487447")</f>
        <v>, 87768487447</v>
      </c>
      <c r="D1401" s="15" t="str">
        <f ca="1">IFERROR(__xludf.DUMMYFUNCTION("""COMPUTED_VALUE"""),"Казахстан")</f>
        <v>Казахстан</v>
      </c>
      <c r="E1401" s="14"/>
      <c r="F1401" s="8" t="str">
        <f ca="1">IFERROR(__xludf.DUMMYFUNCTION("""COMPUTED_VALUE"""),"Мероприятий не обнаружено")</f>
        <v>Мероприятий не обнаружено</v>
      </c>
      <c r="G1401" s="14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</row>
    <row r="1402" spans="1:26" ht="25.5">
      <c r="A1402" s="14" t="str">
        <f ca="1">IFERROR(__xludf.DUMMYFUNCTION("""COMPUTED_VALUE"""),"Наргиза Бахрамова")</f>
        <v>Наргиза Бахрамова</v>
      </c>
      <c r="B1402" s="14" t="str">
        <f ca="1">IFERROR(__xludf.DUMMYFUNCTION("""COMPUTED_VALUE"""),"nargiza.ett@gmail.com")</f>
        <v>nargiza.ett@gmail.com</v>
      </c>
      <c r="C1402" s="15" t="str">
        <f ca="1">IFERROR(__xludf.DUMMYFUNCTION("""COMPUTED_VALUE"""),"+998997803804")</f>
        <v>+998997803804</v>
      </c>
      <c r="D1402" s="15"/>
      <c r="E1402" s="14"/>
      <c r="F140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402" s="14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</row>
    <row r="1403" spans="1:26" ht="25.5">
      <c r="A1403" s="14" t="str">
        <f ca="1">IFERROR(__xludf.DUMMYFUNCTION("""COMPUTED_VALUE"""),"Наргиза Касимова")</f>
        <v>Наргиза Касимова</v>
      </c>
      <c r="B1403" s="14" t="str">
        <f ca="1">IFERROR(__xludf.DUMMYFUNCTION("""COMPUTED_VALUE"""),"nargizakasimova002@gmail.com")</f>
        <v>nargizakasimova002@gmail.com</v>
      </c>
      <c r="C1403" s="15" t="str">
        <f ca="1">IFERROR(__xludf.DUMMYFUNCTION("""COMPUTED_VALUE"""),"+998901260180")</f>
        <v>+998901260180</v>
      </c>
      <c r="D1403" s="15"/>
      <c r="E1403" s="14"/>
      <c r="F140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403" s="14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</row>
    <row r="1404" spans="1:26" ht="14.25">
      <c r="A1404" s="14" t="str">
        <f ca="1">IFERROR(__xludf.DUMMYFUNCTION("""COMPUTED_VALUE"""),"Рина Лисица")</f>
        <v>Рина Лисица</v>
      </c>
      <c r="B1404" s="14" t="str">
        <f ca="1">IFERROR(__xludf.DUMMYFUNCTION("""COMPUTED_VALUE"""),"naru_rus.frv@bk.ru")</f>
        <v>naru_rus.frv@bk.ru</v>
      </c>
      <c r="C1404" s="15" t="str">
        <f ca="1">IFERROR(__xludf.DUMMYFUNCTION("""COMPUTED_VALUE"""),"87712448577")</f>
        <v>87712448577</v>
      </c>
      <c r="D1404" s="15" t="str">
        <f ca="1">IFERROR(__xludf.DUMMYFUNCTION("""COMPUTED_VALUE"""),"Казахстан")</f>
        <v>Казахстан</v>
      </c>
      <c r="E1404" s="14"/>
      <c r="F1404" s="8" t="str">
        <f ca="1">IFERROR(__xludf.DUMMYFUNCTION("""COMPUTED_VALUE"""),"- Тишина Челлендж (бесплатная часть)")</f>
        <v>- Тишина Челлендж (бесплатная часть)</v>
      </c>
      <c r="G1404" s="14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</row>
    <row r="1405" spans="1:26" ht="14.25">
      <c r="A1405" s="14" t="str">
        <f ca="1">IFERROR(__xludf.DUMMYFUNCTION("""COMPUTED_VALUE"""),"Анастасия Плотникова")</f>
        <v>Анастасия Плотникова</v>
      </c>
      <c r="B1405" s="14" t="str">
        <f ca="1">IFERROR(__xludf.DUMMYFUNCTION("""COMPUTED_VALUE"""),"nastasiaplotnikova@icloud.com")</f>
        <v>nastasiaplotnikova@icloud.com</v>
      </c>
      <c r="C1405" s="15" t="str">
        <f ca="1">IFERROR(__xludf.DUMMYFUNCTION("""COMPUTED_VALUE"""),"+79284174172")</f>
        <v>+79284174172</v>
      </c>
      <c r="D1405" s="15" t="str">
        <f ca="1">IFERROR(__xludf.DUMMYFUNCTION("""COMPUTED_VALUE"""),"Россия")</f>
        <v>Россия</v>
      </c>
      <c r="E1405" s="14"/>
      <c r="F1405" s="8" t="str">
        <f ca="1">IFERROR(__xludf.DUMMYFUNCTION("""COMPUTED_VALUE"""),"- Практика тишины Екатеринбург 18.2 2022")</f>
        <v>- Практика тишины Екатеринбург 18.2 2022</v>
      </c>
      <c r="G1405" s="14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</row>
    <row r="1406" spans="1:26" ht="14.25">
      <c r="A1406" s="14" t="str">
        <f ca="1">IFERROR(__xludf.DUMMYFUNCTION("""COMPUTED_VALUE"""),"Анастасия Редько")</f>
        <v>Анастасия Редько</v>
      </c>
      <c r="B1406" s="14" t="str">
        <f ca="1">IFERROR(__xludf.DUMMYFUNCTION("""COMPUTED_VALUE"""),"Nastasya025@mail.ru")</f>
        <v>Nastasya025@mail.ru</v>
      </c>
      <c r="C1406" s="15" t="str">
        <f ca="1">IFERROR(__xludf.DUMMYFUNCTION("""COMPUTED_VALUE"""),"79103681391")</f>
        <v>79103681391</v>
      </c>
      <c r="D1406" s="15" t="str">
        <f ca="1">IFERROR(__xludf.DUMMYFUNCTION("""COMPUTED_VALUE"""),"Россия")</f>
        <v>Россия</v>
      </c>
      <c r="E1406" s="14"/>
      <c r="F1406" s="8" t="str">
        <f ca="1">IFERROR(__xludf.DUMMYFUNCTION("""COMPUTED_VALUE"""),"- Тишина Челлендж (бесплатная часть)")</f>
        <v>- Тишина Челлендж (бесплатная часть)</v>
      </c>
      <c r="G1406" s="14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</row>
    <row r="1407" spans="1:26" ht="14.25">
      <c r="A1407" s="14" t="str">
        <f ca="1">IFERROR(__xludf.DUMMYFUNCTION("""COMPUTED_VALUE"""),"Анастасия Белянина")</f>
        <v>Анастасия Белянина</v>
      </c>
      <c r="B1407" s="14" t="str">
        <f ca="1">IFERROR(__xludf.DUMMYFUNCTION("""COMPUTED_VALUE"""),"Nastena27@yandex.ru")</f>
        <v>Nastena27@yandex.ru</v>
      </c>
      <c r="C1407" s="15" t="str">
        <f ca="1">IFERROR(__xludf.DUMMYFUNCTION("""COMPUTED_VALUE"""),"79082634355")</f>
        <v>79082634355</v>
      </c>
      <c r="D1407" s="15" t="str">
        <f ca="1">IFERROR(__xludf.DUMMYFUNCTION("""COMPUTED_VALUE"""),"Россия")</f>
        <v>Россия</v>
      </c>
      <c r="E1407" s="14"/>
      <c r="F1407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1407" s="14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</row>
    <row r="1408" spans="1:26" ht="14.25">
      <c r="A1408" s="14" t="str">
        <f ca="1">IFERROR(__xludf.DUMMYFUNCTION("""COMPUTED_VALUE"""),"Анастасия Малько")</f>
        <v>Анастасия Малько</v>
      </c>
      <c r="B1408" s="14" t="str">
        <f ca="1">IFERROR(__xludf.DUMMYFUNCTION("""COMPUTED_VALUE"""),"nastmalko1540@gmail.com")</f>
        <v>nastmalko1540@gmail.com</v>
      </c>
      <c r="C1408" s="15"/>
      <c r="D1408" s="15" t="str">
        <f ca="1">IFERROR(__xludf.DUMMYFUNCTION("""COMPUTED_VALUE"""),"Беларусь")</f>
        <v>Беларусь</v>
      </c>
      <c r="E1408" s="14"/>
      <c r="F1408" s="8" t="str">
        <f ca="1">IFERROR(__xludf.DUMMYFUNCTION("""COMPUTED_VALUE"""),"- Базовая бесплатная часть")</f>
        <v>- Базовая бесплатная часть</v>
      </c>
      <c r="G1408" s="14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</row>
    <row r="1409" spans="1:26" ht="14.25">
      <c r="A1409" s="14" t="str">
        <f ca="1">IFERROR(__xludf.DUMMYFUNCTION("""COMPUTED_VALUE"""),"Анастасия Малевич")</f>
        <v>Анастасия Малевич</v>
      </c>
      <c r="B1409" s="14" t="str">
        <f ca="1">IFERROR(__xludf.DUMMYFUNCTION("""COMPUTED_VALUE"""),"Nastya_sati@mail.ru")</f>
        <v>Nastya_sati@mail.ru</v>
      </c>
      <c r="C1409" s="15"/>
      <c r="D1409" s="15" t="str">
        <f ca="1">IFERROR(__xludf.DUMMYFUNCTION("""COMPUTED_VALUE"""),"Беларусь")</f>
        <v>Беларусь</v>
      </c>
      <c r="E1409" s="14"/>
      <c r="F1409" s="8" t="str">
        <f ca="1">IFERROR(__xludf.DUMMYFUNCTION("""COMPUTED_VALUE"""),"- Базовая бесплатная часть")</f>
        <v>- Базовая бесплатная часть</v>
      </c>
      <c r="G1409" s="14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</row>
    <row r="1410" spans="1:26" ht="14.25">
      <c r="A1410" s="14" t="str">
        <f ca="1">IFERROR(__xludf.DUMMYFUNCTION("""COMPUTED_VALUE"""),"Anastasiya Kovba")</f>
        <v>Anastasiya Kovba</v>
      </c>
      <c r="B1410" s="14" t="str">
        <f ca="1">IFERROR(__xludf.DUMMYFUNCTION("""COMPUTED_VALUE"""),"Nastya.kobba@gmail.com")</f>
        <v>Nastya.kobba@gmail.com</v>
      </c>
      <c r="C1410" s="15" t="str">
        <f ca="1">IFERROR(__xludf.DUMMYFUNCTION("""COMPUTED_VALUE"""),", +998911334880")</f>
        <v>, +998911334880</v>
      </c>
      <c r="D1410" s="15"/>
      <c r="E1410" s="14"/>
      <c r="F1410" s="8" t="str">
        <f ca="1">IFERROR(__xludf.DUMMYFUNCTION("""COMPUTED_VALUE"""),"Мероприятий не обнаружено")</f>
        <v>Мероприятий не обнаружено</v>
      </c>
      <c r="G1410" s="14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</row>
    <row r="1411" spans="1:26" ht="14.25">
      <c r="A1411" s="14" t="str">
        <f ca="1">IFERROR(__xludf.DUMMYFUNCTION("""COMPUTED_VALUE"""),"Анастасия Григорьева")</f>
        <v>Анастасия Григорьева</v>
      </c>
      <c r="B1411" s="14" t="str">
        <f ca="1">IFERROR(__xludf.DUMMYFUNCTION("""COMPUTED_VALUE"""),"nastysha4ka0207@gmail.com")</f>
        <v>nastysha4ka0207@gmail.com</v>
      </c>
      <c r="C1411" s="15" t="str">
        <f ca="1">IFERROR(__xludf.DUMMYFUNCTION("""COMPUTED_VALUE"""),"+375297078999")</f>
        <v>+375297078999</v>
      </c>
      <c r="D1411" s="15" t="str">
        <f ca="1">IFERROR(__xludf.DUMMYFUNCTION("""COMPUTED_VALUE"""),"Беларусь")</f>
        <v>Беларусь</v>
      </c>
      <c r="E1411" s="14"/>
      <c r="F1411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1411" s="14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</row>
    <row r="1412" spans="1:26" ht="14.25">
      <c r="A1412" s="14" t="str">
        <f ca="1">IFERROR(__xludf.DUMMYFUNCTION("""COMPUTED_VALUE"""),"Наталия Берёзкина")</f>
        <v>Наталия Берёзкина</v>
      </c>
      <c r="B1412" s="14" t="str">
        <f ca="1">IFERROR(__xludf.DUMMYFUNCTION("""COMPUTED_VALUE"""),"nata.berezkina@internet.ru")</f>
        <v>nata.berezkina@internet.ru</v>
      </c>
      <c r="C1412" s="15" t="str">
        <f ca="1">IFERROR(__xludf.DUMMYFUNCTION("""COMPUTED_VALUE"""),", +375292910069")</f>
        <v>, +375292910069</v>
      </c>
      <c r="D1412" s="15"/>
      <c r="E1412" s="14"/>
      <c r="F1412" s="8" t="str">
        <f ca="1">IFERROR(__xludf.DUMMYFUNCTION("""COMPUTED_VALUE"""),"Мероприятий не обнаружено")</f>
        <v>Мероприятий не обнаружено</v>
      </c>
      <c r="G1412" s="14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</row>
    <row r="1413" spans="1:26" ht="14.25">
      <c r="A1413" s="14" t="str">
        <f ca="1">IFERROR(__xludf.DUMMYFUNCTION("""COMPUTED_VALUE"""),"Наталья Макеева")</f>
        <v>Наталья Макеева</v>
      </c>
      <c r="B1413" s="14" t="str">
        <f ca="1">IFERROR(__xludf.DUMMYFUNCTION("""COMPUTED_VALUE"""),"natal_makeeva_78@mail.ru")</f>
        <v>natal_makeeva_78@mail.ru</v>
      </c>
      <c r="C1413" s="15" t="str">
        <f ca="1">IFERROR(__xludf.DUMMYFUNCTION("""COMPUTED_VALUE"""),"79122204953")</f>
        <v>79122204953</v>
      </c>
      <c r="D1413" s="15" t="str">
        <f ca="1">IFERROR(__xludf.DUMMYFUNCTION("""COMPUTED_VALUE"""),"Россия")</f>
        <v>Россия</v>
      </c>
      <c r="E1413" s="14"/>
      <c r="F1413" s="8" t="str">
        <f ca="1">IFERROR(__xludf.DUMMYFUNCTION("""COMPUTED_VALUE"""),"- Тишина Челлендж (бесплатная часть)")</f>
        <v>- Тишина Челлендж (бесплатная часть)</v>
      </c>
      <c r="G1413" s="14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</row>
    <row r="1414" spans="1:26" ht="14.25">
      <c r="A1414" s="14" t="str">
        <f ca="1">IFERROR(__xludf.DUMMYFUNCTION("""COMPUTED_VALUE"""),"Наталья Колпашникова")</f>
        <v>Наталья Колпашникова</v>
      </c>
      <c r="B1414" s="14" t="str">
        <f ca="1">IFERROR(__xludf.DUMMYFUNCTION("""COMPUTED_VALUE"""),"natalakolpasnikova01@gmail.com")</f>
        <v>natalakolpasnikova01@gmail.com</v>
      </c>
      <c r="C1414" s="15" t="str">
        <f ca="1">IFERROR(__xludf.DUMMYFUNCTION("""COMPUTED_VALUE"""),"79093760214")</f>
        <v>79093760214</v>
      </c>
      <c r="D1414" s="15" t="str">
        <f ca="1">IFERROR(__xludf.DUMMYFUNCTION("""COMPUTED_VALUE"""),"Россия")</f>
        <v>Россия</v>
      </c>
      <c r="E1414" s="14"/>
      <c r="F1414" s="8" t="str">
        <f ca="1">IFERROR(__xludf.DUMMYFUNCTION("""COMPUTED_VALUE"""),"- Тишина Челлендж (бесплатная часть)")</f>
        <v>- Тишина Челлендж (бесплатная часть)</v>
      </c>
      <c r="G1414" s="14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</row>
    <row r="1415" spans="1:26" ht="14.25">
      <c r="A1415" s="14" t="str">
        <f ca="1">IFERROR(__xludf.DUMMYFUNCTION("""COMPUTED_VALUE"""),"Наталья Пасынкова")</f>
        <v>Наталья Пасынкова</v>
      </c>
      <c r="B1415" s="14" t="str">
        <f ca="1">IFERROR(__xludf.DUMMYFUNCTION("""COMPUTED_VALUE"""),"Natalapasik@gmail.com")</f>
        <v>Natalapasik@gmail.com</v>
      </c>
      <c r="C1415" s="15" t="str">
        <f ca="1">IFERROR(__xludf.DUMMYFUNCTION("""COMPUTED_VALUE"""),"79536901649")</f>
        <v>79536901649</v>
      </c>
      <c r="D1415" s="15" t="str">
        <f ca="1">IFERROR(__xludf.DUMMYFUNCTION("""COMPUTED_VALUE"""),"Россия")</f>
        <v>Россия</v>
      </c>
      <c r="E1415" s="14"/>
      <c r="F1415" s="8" t="str">
        <f ca="1">IFERROR(__xludf.DUMMYFUNCTION("""COMPUTED_VALUE"""),"- Тишина Челлендж (бесплатная часть)")</f>
        <v>- Тишина Челлендж (бесплатная часть)</v>
      </c>
      <c r="G1415" s="14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</row>
    <row r="1416" spans="1:26" ht="14.25">
      <c r="A1416" s="14" t="str">
        <f ca="1">IFERROR(__xludf.DUMMYFUNCTION("""COMPUTED_VALUE"""),"Наталья Юрьевна")</f>
        <v>Наталья Юрьевна</v>
      </c>
      <c r="B1416" s="14" t="str">
        <f ca="1">IFERROR(__xludf.DUMMYFUNCTION("""COMPUTED_VALUE"""),"natalasamutkina@gmail.com")</f>
        <v>natalasamutkina@gmail.com</v>
      </c>
      <c r="C1416" s="15" t="str">
        <f ca="1">IFERROR(__xludf.DUMMYFUNCTION("""COMPUTED_VALUE"""),"79821408635")</f>
        <v>79821408635</v>
      </c>
      <c r="D1416" s="15" t="str">
        <f ca="1">IFERROR(__xludf.DUMMYFUNCTION("""COMPUTED_VALUE"""),"Россия")</f>
        <v>Россия</v>
      </c>
      <c r="E1416" s="14"/>
      <c r="F1416" s="8" t="str">
        <f ca="1">IFERROR(__xludf.DUMMYFUNCTION("""COMPUTED_VALUE"""),"- Тишина Челлендж (бесплатная часть)")</f>
        <v>- Тишина Челлендж (бесплатная часть)</v>
      </c>
      <c r="G1416" s="14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</row>
    <row r="1417" spans="1:26" ht="14.25">
      <c r="A1417" s="14" t="str">
        <f ca="1">IFERROR(__xludf.DUMMYFUNCTION("""COMPUTED_VALUE"""),"Наталья Моджиевская")</f>
        <v>Наталья Моджиевская</v>
      </c>
      <c r="B1417" s="14" t="str">
        <f ca="1">IFERROR(__xludf.DUMMYFUNCTION("""COMPUTED_VALUE"""),"Natali.modzhievskaya@gmail.com")</f>
        <v>Natali.modzhievskaya@gmail.com</v>
      </c>
      <c r="C1417" s="15" t="str">
        <f ca="1">IFERROR(__xludf.DUMMYFUNCTION("""COMPUTED_VALUE"""),"+79161790603")</f>
        <v>+79161790603</v>
      </c>
      <c r="D1417" s="15" t="str">
        <f ca="1">IFERROR(__xludf.DUMMYFUNCTION("""COMPUTED_VALUE"""),"США")</f>
        <v>США</v>
      </c>
      <c r="E1417" s="14"/>
      <c r="F1417" s="8" t="str">
        <f ca="1">IFERROR(__xludf.DUMMYFUNCTION("""COMPUTED_VALUE"""),"- Интенсив 15-17 апреля Москва")</f>
        <v>- Интенсив 15-17 апреля Москва</v>
      </c>
      <c r="G1417" s="14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</row>
    <row r="1418" spans="1:26" ht="25.5">
      <c r="A1418" s="14" t="str">
        <f ca="1">IFERROR(__xludf.DUMMYFUNCTION("""COMPUTED_VALUE"""),"Наталья Прокудина")</f>
        <v>Наталья Прокудина</v>
      </c>
      <c r="B1418" s="14" t="str">
        <f ca="1">IFERROR(__xludf.DUMMYFUNCTION("""COMPUTED_VALUE"""),"natali0921@rambler.ru")</f>
        <v>natali0921@rambler.ru</v>
      </c>
      <c r="C1418" s="15" t="str">
        <f ca="1">IFERROR(__xludf.DUMMYFUNCTION("""COMPUTED_VALUE"""),"+79181051592")</f>
        <v>+79181051592</v>
      </c>
      <c r="D1418" s="15" t="str">
        <f ca="1">IFERROR(__xludf.DUMMYFUNCTION("""COMPUTED_VALUE"""),"Россия")</f>
        <v>Россия</v>
      </c>
      <c r="E1418" s="14"/>
      <c r="F1418" s="8" t="str">
        <f ca="1">IFERROR(__xludf.DUMMYFUNCTION("""COMPUTED_VALUE"""),"- Осознанная суббота Сочи регулярное
- Вебинар с Никитой Бородулиным 11.02.2022 часть1")</f>
        <v>- Осознанная суббота Сочи регулярное
- Вебинар с Никитой Бородулиным 11.02.2022 часть1</v>
      </c>
      <c r="G1418" s="14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</row>
    <row r="1419" spans="1:26" ht="25.5">
      <c r="A1419" s="14" t="str">
        <f ca="1">IFERROR(__xludf.DUMMYFUNCTION("""COMPUTED_VALUE"""),"Наталья Сагай")</f>
        <v>Наталья Сагай</v>
      </c>
      <c r="B1419" s="14" t="str">
        <f ca="1">IFERROR(__xludf.DUMMYFUNCTION("""COMPUTED_VALUE"""),"natali2602777@mail.ru")</f>
        <v>natali2602777@mail.ru</v>
      </c>
      <c r="C1419" s="15" t="str">
        <f ca="1">IFERROR(__xludf.DUMMYFUNCTION("""COMPUTED_VALUE"""),"87769978147")</f>
        <v>87769978147</v>
      </c>
      <c r="D1419" s="15"/>
      <c r="E1419" s="14"/>
      <c r="F141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419" s="14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</row>
    <row r="1420" spans="1:26" ht="14.25">
      <c r="A1420" s="14" t="str">
        <f ca="1">IFERROR(__xludf.DUMMYFUNCTION("""COMPUTED_VALUE"""),"Наталия Грэзвик")</f>
        <v>Наталия Грэзвик</v>
      </c>
      <c r="B1420" s="14" t="str">
        <f ca="1">IFERROR(__xludf.DUMMYFUNCTION("""COMPUTED_VALUE"""),"natalia.grasvik@gmail.com")</f>
        <v>natalia.grasvik@gmail.com</v>
      </c>
      <c r="C1420" s="15" t="str">
        <f ca="1">IFERROR(__xludf.DUMMYFUNCTION("""COMPUTED_VALUE"""),"46702302444")</f>
        <v>46702302444</v>
      </c>
      <c r="D1420" s="15" t="str">
        <f ca="1">IFERROR(__xludf.DUMMYFUNCTION("""COMPUTED_VALUE"""),"Швеция")</f>
        <v>Швеция</v>
      </c>
      <c r="E1420" s="14"/>
      <c r="F1420" s="8" t="str">
        <f ca="1">IFERROR(__xludf.DUMMYFUNCTION("""COMPUTED_VALUE"""),"- Вебинар-батл Я уже все знаю! Мне не нужна Школа 9.01.2022")</f>
        <v>- Вебинар-батл Я уже все знаю! Мне не нужна Школа 9.01.2022</v>
      </c>
      <c r="G1420" s="14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</row>
    <row r="1421" spans="1:26" ht="14.25">
      <c r="A1421" s="14" t="str">
        <f ca="1">IFERROR(__xludf.DUMMYFUNCTION("""COMPUTED_VALUE""")," ")</f>
        <v xml:space="preserve"> </v>
      </c>
      <c r="B1421" s="14" t="str">
        <f ca="1">IFERROR(__xludf.DUMMYFUNCTION("""COMPUTED_VALUE"""),"nataliakultchitsks@gmail.com")</f>
        <v>nataliakultchitsks@gmail.com</v>
      </c>
      <c r="C1421" s="15"/>
      <c r="D1421" s="15"/>
      <c r="E1421" s="14"/>
      <c r="F1421" s="8" t="str">
        <f ca="1">IFERROR(__xludf.DUMMYFUNCTION("""COMPUTED_VALUE"""),"Мероприятий не обнаружено")</f>
        <v>Мероприятий не обнаружено</v>
      </c>
      <c r="G1421" s="14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</row>
    <row r="1422" spans="1:26" ht="51">
      <c r="A1422" s="14" t="str">
        <f ca="1">IFERROR(__xludf.DUMMYFUNCTION("""COMPUTED_VALUE"""),"Наталья Ульянова")</f>
        <v>Наталья Ульянова</v>
      </c>
      <c r="B1422" s="14" t="str">
        <f ca="1">IFERROR(__xludf.DUMMYFUNCTION("""COMPUTED_VALUE"""),"nataliaulyanova77@icloud.com")</f>
        <v>nataliaulyanova77@icloud.com</v>
      </c>
      <c r="C1422" s="15" t="str">
        <f ca="1">IFERROR(__xludf.DUMMYFUNCTION("""COMPUTED_VALUE"""),"+79095810073")</f>
        <v>+79095810073</v>
      </c>
      <c r="D1422" s="15" t="str">
        <f ca="1">IFERROR(__xludf.DUMMYFUNCTION("""COMPUTED_VALUE"""),"Россия")</f>
        <v>Россия</v>
      </c>
      <c r="E1422" s="14"/>
      <c r="F1422" s="8" t="str">
        <f ca="1">IFERROR(__xludf.DUMMYFUNCTION("""COMPUTED_VALUE"""),"- Вебинар-батл Я уже все знаю! Мне не нужна Школа 9.01.2022
- Практика Тишины общая платная
- Вебинар с Никитой Бородулиным 11.02.2022 часть1
- Ретрит в РЦ Сочи май 2022 (Оплата до 17 апреля)")</f>
        <v>- Вебинар-батл Я уже все знаю! Мне не нужна Школа 9.01.2022
- Практика Тишины общая платная
- Вебинар с Никитой Бородулиным 11.02.2022 часть1
- Ретрит в РЦ Сочи май 2022 (Оплата до 17 апреля)</v>
      </c>
      <c r="G1422" s="14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</row>
    <row r="1423" spans="1:26" ht="14.25">
      <c r="A1423" s="14" t="str">
        <f ca="1">IFERROR(__xludf.DUMMYFUNCTION("""COMPUTED_VALUE"""),"Наталья Давыдова")</f>
        <v>Наталья Давыдова</v>
      </c>
      <c r="B1423" s="14" t="str">
        <f ca="1">IFERROR(__xludf.DUMMYFUNCTION("""COMPUTED_VALUE"""),"Natalidavydova@yandex.ru")</f>
        <v>Natalidavydova@yandex.ru</v>
      </c>
      <c r="C1423" s="15" t="str">
        <f ca="1">IFERROR(__xludf.DUMMYFUNCTION("""COMPUTED_VALUE"""),", 79166475291")</f>
        <v>, 79166475291</v>
      </c>
      <c r="D1423" s="15" t="str">
        <f ca="1">IFERROR(__xludf.DUMMYFUNCTION("""COMPUTED_VALUE"""),"Россия")</f>
        <v>Россия</v>
      </c>
      <c r="E1423" s="14"/>
      <c r="F1423" s="8" t="str">
        <f ca="1">IFERROR(__xludf.DUMMYFUNCTION("""COMPUTED_VALUE"""),"Мероприятий не обнаружено")</f>
        <v>Мероприятий не обнаружено</v>
      </c>
      <c r="G1423" s="14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</row>
    <row r="1424" spans="1:26" ht="14.25">
      <c r="A1424" s="14" t="str">
        <f ca="1">IFERROR(__xludf.DUMMYFUNCTION("""COMPUTED_VALUE"""),"Наталья Давыдова тест, ")</f>
        <v xml:space="preserve">Наталья Давыдова тест, </v>
      </c>
      <c r="B1424" s="14" t="str">
        <f ca="1">IFERROR(__xludf.DUMMYFUNCTION("""COMPUTED_VALUE"""),"Natalidavydova2013@yandex.ru")</f>
        <v>Natalidavydova2013@yandex.ru</v>
      </c>
      <c r="C1424" s="15" t="str">
        <f ca="1">IFERROR(__xludf.DUMMYFUNCTION("""COMPUTED_VALUE"""),"+79166475291, ")</f>
        <v xml:space="preserve">+79166475291, </v>
      </c>
      <c r="D1424" s="15"/>
      <c r="E1424" s="14"/>
      <c r="F1424" s="8" t="str">
        <f ca="1">IFERROR(__xludf.DUMMYFUNCTION("""COMPUTED_VALUE"""),"- USA Челлендж Тишина")</f>
        <v>- USA Челлендж Тишина</v>
      </c>
      <c r="G1424" s="14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</row>
    <row r="1425" spans="1:26" ht="14.25">
      <c r="A1425" s="14" t="str">
        <f ca="1">IFERROR(__xludf.DUMMYFUNCTION("""COMPUTED_VALUE"""),"nataliya.banit,  ")</f>
        <v xml:space="preserve">nataliya.banit,  </v>
      </c>
      <c r="B1425" s="14" t="str">
        <f ca="1">IFERROR(__xludf.DUMMYFUNCTION("""COMPUTED_VALUE"""),"nataliya.banit@gmail.com")</f>
        <v>nataliya.banit@gmail.com</v>
      </c>
      <c r="C1425" s="15"/>
      <c r="D1425" s="15"/>
      <c r="E1425" s="14"/>
      <c r="F1425" s="8" t="str">
        <f ca="1">IFERROR(__xludf.DUMMYFUNCTION("""COMPUTED_VALUE"""),"- USA Челлендж Тишина")</f>
        <v>- USA Челлендж Тишина</v>
      </c>
      <c r="G1425" s="14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</row>
    <row r="1426" spans="1:26" ht="25.5">
      <c r="A1426" s="14" t="str">
        <f ca="1">IFERROR(__xludf.DUMMYFUNCTION("""COMPUTED_VALUE"""),"Наталья Малыш")</f>
        <v>Наталья Малыш</v>
      </c>
      <c r="B1426" s="14" t="str">
        <f ca="1">IFERROR(__xludf.DUMMYFUNCTION("""COMPUTED_VALUE"""),"nataly.sh8@gmail.com")</f>
        <v>nataly.sh8@gmail.com</v>
      </c>
      <c r="C1426" s="15" t="str">
        <f ca="1">IFERROR(__xludf.DUMMYFUNCTION("""COMPUTED_VALUE"""),"+972504757104")</f>
        <v>+972504757104</v>
      </c>
      <c r="D1426" s="15" t="str">
        <f ca="1">IFERROR(__xludf.DUMMYFUNCTION("""COMPUTED_VALUE"""),"Израиль")</f>
        <v>Израиль</v>
      </c>
      <c r="E1426" s="14"/>
      <c r="F1426" s="8" t="str">
        <f ca="1">IFERROR(__xludf.DUMMYFUNCTION("""COMPUTED_VALUE"""),"- Вебинар с Никитой Бородулиным 11.02.2022 часть1
- Интенсив онлайн 11-13.02.2022")</f>
        <v>- Вебинар с Никитой Бородулиным 11.02.2022 часть1
- Интенсив онлайн 11-13.02.2022</v>
      </c>
      <c r="G1426" s="14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</row>
    <row r="1427" spans="1:26" ht="25.5">
      <c r="A1427" s="14" t="str">
        <f ca="1">IFERROR(__xludf.DUMMYFUNCTION("""COMPUTED_VALUE"""),"Наталья Антропова")</f>
        <v>Наталья Антропова</v>
      </c>
      <c r="B1427" s="14" t="str">
        <f ca="1">IFERROR(__xludf.DUMMYFUNCTION("""COMPUTED_VALUE"""),"Nataly869@mail.ru")</f>
        <v>Nataly869@mail.ru</v>
      </c>
      <c r="C1427" s="15" t="str">
        <f ca="1">IFERROR(__xludf.DUMMYFUNCTION("""COMPUTED_VALUE"""),"87055065829")</f>
        <v>87055065829</v>
      </c>
      <c r="D1427" s="15"/>
      <c r="E1427" s="14"/>
      <c r="F142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427" s="14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</row>
    <row r="1428" spans="1:26" ht="14.25">
      <c r="A1428" s="14" t="str">
        <f ca="1">IFERROR(__xludf.DUMMYFUNCTION("""COMPUTED_VALUE"""),"Наталья Миайлова")</f>
        <v>Наталья Миайлова</v>
      </c>
      <c r="B1428" s="14" t="str">
        <f ca="1">IFERROR(__xludf.DUMMYFUNCTION("""COMPUTED_VALUE"""),"natamix25@mail.ru")</f>
        <v>natamix25@mail.ru</v>
      </c>
      <c r="C1428" s="15" t="str">
        <f ca="1">IFERROR(__xludf.DUMMYFUNCTION("""COMPUTED_VALUE"""),"79000818980")</f>
        <v>79000818980</v>
      </c>
      <c r="D1428" s="15" t="str">
        <f ca="1">IFERROR(__xludf.DUMMYFUNCTION("""COMPUTED_VALUE"""),"Россия")</f>
        <v>Россия</v>
      </c>
      <c r="E1428" s="14"/>
      <c r="F1428" s="8" t="str">
        <f ca="1">IFERROR(__xludf.DUMMYFUNCTION("""COMPUTED_VALUE"""),"- Базовая бесплатная часть")</f>
        <v>- Базовая бесплатная часть</v>
      </c>
      <c r="G1428" s="14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</row>
    <row r="1429" spans="1:26" ht="25.5">
      <c r="A1429" s="14" t="str">
        <f ca="1">IFERROR(__xludf.DUMMYFUNCTION("""COMPUTED_VALUE"""),"Наталья Боровикова")</f>
        <v>Наталья Боровикова</v>
      </c>
      <c r="B1429" s="14" t="str">
        <f ca="1">IFERROR(__xludf.DUMMYFUNCTION("""COMPUTED_VALUE"""),"natapolo7_05@mail.ru")</f>
        <v>natapolo7_05@mail.ru</v>
      </c>
      <c r="C1429" s="15" t="str">
        <f ca="1">IFERROR(__xludf.DUMMYFUNCTION("""COMPUTED_VALUE"""),"87051863347")</f>
        <v>87051863347</v>
      </c>
      <c r="D1429" s="15" t="str">
        <f ca="1">IFERROR(__xludf.DUMMYFUNCTION("""COMPUTED_VALUE"""),"Россия")</f>
        <v>Россия</v>
      </c>
      <c r="E1429" s="14"/>
      <c r="F142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429" s="14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</row>
    <row r="1430" spans="1:26" ht="38.25">
      <c r="A1430" s="14" t="str">
        <f ca="1">IFERROR(__xludf.DUMMYFUNCTION("""COMPUTED_VALUE"""),"Наталья Бабина")</f>
        <v>Наталья Бабина</v>
      </c>
      <c r="B1430" s="14" t="str">
        <f ca="1">IFERROR(__xludf.DUMMYFUNCTION("""COMPUTED_VALUE"""),"natasha-n-ba@yandex.ru")</f>
        <v>natasha-n-ba@yandex.ru</v>
      </c>
      <c r="C1430" s="15" t="str">
        <f ca="1">IFERROR(__xludf.DUMMYFUNCTION("""COMPUTED_VALUE"""),"+79041648182")</f>
        <v>+79041648182</v>
      </c>
      <c r="D1430" s="15" t="str">
        <f ca="1">IFERROR(__xludf.DUMMYFUNCTION("""COMPUTED_VALUE"""),"Россия")</f>
        <v>Россия</v>
      </c>
      <c r="E1430" s="14"/>
      <c r="F1430" s="8" t="str">
        <f ca="1">IFERROR(__xludf.DUMMYFUNCTION("""COMPUTED_VALUE"""),"- Практика Тишины в Екатеринбурге 8 занятий
- Однодневный ретрит Россия 14 мая 2022
- Тишина Челлендж (бесплатная часть)")</f>
        <v>- Практика Тишины в Екатеринбурге 8 занятий
- Однодневный ретрит Россия 14 мая 2022
- Тишина Челлендж (бесплатная часть)</v>
      </c>
      <c r="G1430" s="14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</row>
    <row r="1431" spans="1:26" ht="14.25">
      <c r="A1431" s="14" t="str">
        <f ca="1">IFERROR(__xludf.DUMMYFUNCTION("""COMPUTED_VALUE"""),"Наталья Сафина")</f>
        <v>Наталья Сафина</v>
      </c>
      <c r="B1431" s="14" t="str">
        <f ca="1">IFERROR(__xludf.DUMMYFUNCTION("""COMPUTED_VALUE"""),"natashadefender@mail.ru")</f>
        <v>natashadefender@mail.ru</v>
      </c>
      <c r="C1431" s="15" t="str">
        <f ca="1">IFERROR(__xludf.DUMMYFUNCTION("""COMPUTED_VALUE"""),"+79141751866")</f>
        <v>+79141751866</v>
      </c>
      <c r="D1431" s="15" t="str">
        <f ca="1">IFERROR(__xludf.DUMMYFUNCTION("""COMPUTED_VALUE"""),"Россия")</f>
        <v>Россия</v>
      </c>
      <c r="E1431" s="14"/>
      <c r="F1431" s="8" t="str">
        <f ca="1">IFERROR(__xludf.DUMMYFUNCTION("""COMPUTED_VALUE"""),"- Ретрит Дальний Восток Хабаровск 3-8.5.2022")</f>
        <v>- Ретрит Дальний Восток Хабаровск 3-8.5.2022</v>
      </c>
      <c r="G1431" s="14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</row>
    <row r="1432" spans="1:26" ht="14.25">
      <c r="A1432" s="14" t="str">
        <f ca="1">IFERROR(__xludf.DUMMYFUNCTION("""COMPUTED_VALUE"""),"natellasarkisyanmba,  ")</f>
        <v xml:space="preserve">natellasarkisyanmba,  </v>
      </c>
      <c r="B1432" s="14" t="str">
        <f ca="1">IFERROR(__xludf.DUMMYFUNCTION("""COMPUTED_VALUE"""),"natellasarkisyanmba@gmail.com")</f>
        <v>natellasarkisyanmba@gmail.com</v>
      </c>
      <c r="C1432" s="15"/>
      <c r="D1432" s="15"/>
      <c r="E1432" s="14"/>
      <c r="F1432" s="8" t="str">
        <f ca="1">IFERROR(__xludf.DUMMYFUNCTION("""COMPUTED_VALUE"""),"- USA Челлендж Тишина")</f>
        <v>- USA Челлендж Тишина</v>
      </c>
      <c r="G1432" s="14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</row>
    <row r="1433" spans="1:26" ht="14.25">
      <c r="A1433" s="14" t="str">
        <f ca="1">IFERROR(__xludf.DUMMYFUNCTION("""COMPUTED_VALUE"""),"Наталина Раздобреева")</f>
        <v>Наталина Раздобреева</v>
      </c>
      <c r="B1433" s="14" t="str">
        <f ca="1">IFERROR(__xludf.DUMMYFUNCTION("""COMPUTED_VALUE"""),"natjella@mail.ru")</f>
        <v>natjella@mail.ru</v>
      </c>
      <c r="C1433" s="15" t="str">
        <f ca="1">IFERROR(__xludf.DUMMYFUNCTION("""COMPUTED_VALUE"""),"+79384708054")</f>
        <v>+79384708054</v>
      </c>
      <c r="D1433" s="15" t="str">
        <f ca="1">IFERROR(__xludf.DUMMYFUNCTION("""COMPUTED_VALUE"""),"Россия")</f>
        <v>Россия</v>
      </c>
      <c r="E1433" s="14"/>
      <c r="F1433" s="8" t="str">
        <f ca="1">IFERROR(__xludf.DUMMYFUNCTION("""COMPUTED_VALUE"""),"- Однодневный ретрит Россия 14 мая 2022")</f>
        <v>- Однодневный ретрит Россия 14 мая 2022</v>
      </c>
      <c r="G1433" s="14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</row>
    <row r="1434" spans="1:26" ht="25.5">
      <c r="A1434" s="14" t="str">
        <f ca="1">IFERROR(__xludf.DUMMYFUNCTION("""COMPUTED_VALUE"""),"Натэлла Мусина")</f>
        <v>Натэлла Мусина</v>
      </c>
      <c r="B1434" s="14" t="str">
        <f ca="1">IFERROR(__xludf.DUMMYFUNCTION("""COMPUTED_VALUE"""),"natmus@rambler.ru")</f>
        <v>natmus@rambler.ru</v>
      </c>
      <c r="C1434" s="15" t="str">
        <f ca="1">IFERROR(__xludf.DUMMYFUNCTION("""COMPUTED_VALUE"""),"79872840454")</f>
        <v>79872840454</v>
      </c>
      <c r="D1434" s="15" t="str">
        <f ca="1">IFERROR(__xludf.DUMMYFUNCTION("""COMPUTED_VALUE"""),"Россия")</f>
        <v>Россия</v>
      </c>
      <c r="E1434" s="14"/>
      <c r="F1434" s="8" t="str">
        <f ca="1">IFERROR(__xludf.DUMMYFUNCTION("""COMPUTED_VALUE"""),"- Тишина Челлендж (бесплатная часть)
- Однодневный онлайн ретрит Россия 14 мая 2022")</f>
        <v>- Тишина Челлендж (бесплатная часть)
- Однодневный онлайн ретрит Россия 14 мая 2022</v>
      </c>
      <c r="G1434" s="14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</row>
    <row r="1435" spans="1:26" ht="25.5">
      <c r="A1435" s="14" t="str">
        <f ca="1">IFERROR(__xludf.DUMMYFUNCTION("""COMPUTED_VALUE"""),"Навбахор Хамроева")</f>
        <v>Навбахор Хамроева</v>
      </c>
      <c r="B1435" s="14" t="str">
        <f ca="1">IFERROR(__xludf.DUMMYFUNCTION("""COMPUTED_VALUE"""),"navbahorhamraeva21@gmail.com")</f>
        <v>navbahorhamraeva21@gmail.com</v>
      </c>
      <c r="C1435" s="15" t="str">
        <f ca="1">IFERROR(__xludf.DUMMYFUNCTION("""COMPUTED_VALUE"""),"+998905017151")</f>
        <v>+998905017151</v>
      </c>
      <c r="D1435" s="15"/>
      <c r="E1435" s="14"/>
      <c r="F143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435" s="14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</row>
    <row r="1436" spans="1:26" ht="63.75">
      <c r="A1436" s="14" t="str">
        <f ca="1">IFERROR(__xludf.DUMMYFUNCTION("""COMPUTED_VALUE"""),"Мария Архипова")</f>
        <v>Мария Архипова</v>
      </c>
      <c r="B1436" s="14" t="str">
        <f ca="1">IFERROR(__xludf.DUMMYFUNCTION("""COMPUTED_VALUE"""),"nawemarusa@gmail.com")</f>
        <v>nawemarusa@gmail.com</v>
      </c>
      <c r="C1436" s="15" t="str">
        <f ca="1">IFERROR(__xludf.DUMMYFUNCTION("""COMPUTED_VALUE"""),"+79046899319")</f>
        <v>+79046899319</v>
      </c>
      <c r="D1436" s="15" t="str">
        <f ca="1">IFERROR(__xludf.DUMMYFUNCTION("""COMPUTED_VALUE"""),"Россия")</f>
        <v>Россия</v>
      </c>
      <c r="E1436" s="14"/>
      <c r="F1436" s="8" t="str">
        <f ca="1">IFERROR(__xludf.DUMMYFUNCTION("""COMPUTED_VALUE"""),"- Заявка на СЪЕЗД+ФЕСТИВАЛЬ ""Мы вместе"" 3-8.01.22
- Онлайн курс Шаг к Пробуждению №15 29.1-8.02.22 Пакет стандартный
- Вебинар все о ретрите 12.2.2022
- Выездной ретрит Воронеж-Липецк 25-27.2.2022")</f>
        <v>- Заявка на СЪЕЗД+ФЕСТИВАЛЬ "Мы вместе" 3-8.01.22
- Онлайн курс Шаг к Пробуждению №15 29.1-8.02.22 Пакет стандартный
- Вебинар все о ретрите 12.2.2022
- Выездной ретрит Воронеж-Липецк 25-27.2.2022</v>
      </c>
      <c r="G1436" s="14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</row>
    <row r="1437" spans="1:26" ht="14.25">
      <c r="A1437" s="14" t="str">
        <f ca="1">IFERROR(__xludf.DUMMYFUNCTION("""COMPUTED_VALUE"""),"Екатерина Найдич")</f>
        <v>Екатерина Найдич</v>
      </c>
      <c r="B1437" s="14" t="str">
        <f ca="1">IFERROR(__xludf.DUMMYFUNCTION("""COMPUTED_VALUE"""),"Naydich2020@mail.ru")</f>
        <v>Naydich2020@mail.ru</v>
      </c>
      <c r="C1437" s="15" t="str">
        <f ca="1">IFERROR(__xludf.DUMMYFUNCTION("""COMPUTED_VALUE"""),", +37377767771")</f>
        <v>, +37377767771</v>
      </c>
      <c r="D1437" s="15" t="str">
        <f ca="1">IFERROR(__xludf.DUMMYFUNCTION("""COMPUTED_VALUE"""),"Молдова")</f>
        <v>Молдова</v>
      </c>
      <c r="E1437" s="14"/>
      <c r="F1437" s="8" t="str">
        <f ca="1">IFERROR(__xludf.DUMMYFUNCTION("""COMPUTED_VALUE"""),"Мероприятий не обнаружено")</f>
        <v>Мероприятий не обнаружено</v>
      </c>
      <c r="G1437" s="14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</row>
    <row r="1438" spans="1:26" ht="14.25">
      <c r="A1438" s="14" t="str">
        <f ca="1">IFERROR(__xludf.DUMMYFUNCTION("""COMPUTED_VALUE"""),"naziagajsina236,  ")</f>
        <v xml:space="preserve">naziagajsina236,  </v>
      </c>
      <c r="B1438" s="14" t="str">
        <f ca="1">IFERROR(__xludf.DUMMYFUNCTION("""COMPUTED_VALUE"""),"naziagajsina236@gmail.com")</f>
        <v>naziagajsina236@gmail.com</v>
      </c>
      <c r="C1438" s="15"/>
      <c r="D1438" s="15" t="str">
        <f ca="1">IFERROR(__xludf.DUMMYFUNCTION("""COMPUTED_VALUE"""),"Россия")</f>
        <v>Россия</v>
      </c>
      <c r="E1438" s="14"/>
      <c r="F1438" s="8" t="str">
        <f ca="1">IFERROR(__xludf.DUMMYFUNCTION("""COMPUTED_VALUE"""),"- Базовая бесплатная часть")</f>
        <v>- Базовая бесплатная часть</v>
      </c>
      <c r="G1438" s="14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</row>
    <row r="1439" spans="1:26" ht="25.5">
      <c r="A1439" s="14" t="str">
        <f ca="1">IFERROR(__xludf.DUMMYFUNCTION("""COMPUTED_VALUE"""),"Нина Румянцева")</f>
        <v>Нина Румянцева</v>
      </c>
      <c r="B1439" s="14" t="str">
        <f ca="1">IFERROR(__xludf.DUMMYFUNCTION("""COMPUTED_VALUE"""),"Nb-r999@rambler.ru")</f>
        <v>Nb-r999@rambler.ru</v>
      </c>
      <c r="C1439" s="15" t="str">
        <f ca="1">IFERROR(__xludf.DUMMYFUNCTION("""COMPUTED_VALUE"""),"79101491131")</f>
        <v>79101491131</v>
      </c>
      <c r="D1439" s="15" t="str">
        <f ca="1">IFERROR(__xludf.DUMMYFUNCTION("""COMPUTED_VALUE"""),"Россия")</f>
        <v>Россия</v>
      </c>
      <c r="E1439" s="14"/>
      <c r="F1439" s="8" t="str">
        <f ca="1">IFERROR(__xludf.DUMMYFUNCTION("""COMPUTED_VALUE"""),"- Вебинар с Никитой Бородулиным 11.02.2022 часть1
- Базовая бесплатная часть")</f>
        <v>- Вебинар с Никитой Бородулиным 11.02.2022 часть1
- Базовая бесплатная часть</v>
      </c>
      <c r="G1439" s="14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</row>
    <row r="1440" spans="1:26" ht="14.25">
      <c r="A1440" s="14" t="str">
        <f ca="1">IFERROR(__xludf.DUMMYFUNCTION("""COMPUTED_VALUE"""),"ncskincontrol,  ")</f>
        <v xml:space="preserve">ncskincontrol,  </v>
      </c>
      <c r="B1440" s="14" t="str">
        <f ca="1">IFERROR(__xludf.DUMMYFUNCTION("""COMPUTED_VALUE"""),"ncskincontrol@gmail.com")</f>
        <v>ncskincontrol@gmail.com</v>
      </c>
      <c r="C1440" s="15"/>
      <c r="D1440" s="15"/>
      <c r="E1440" s="14"/>
      <c r="F1440" s="8" t="str">
        <f ca="1">IFERROR(__xludf.DUMMYFUNCTION("""COMPUTED_VALUE"""),"- USA Челлендж Тишина")</f>
        <v>- USA Челлендж Тишина</v>
      </c>
      <c r="G1440" s="14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</row>
    <row r="1441" spans="1:26" ht="25.5">
      <c r="A1441" s="14" t="str">
        <f ca="1">IFERROR(__xludf.DUMMYFUNCTION("""COMPUTED_VALUE"""),"Natulya Shakirova")</f>
        <v>Natulya Shakirova</v>
      </c>
      <c r="B1441" s="14" t="str">
        <f ca="1">IFERROR(__xludf.DUMMYFUNCTION("""COMPUTED_VALUE"""),"ndelinks@gmail.com")</f>
        <v>ndelinks@gmail.com</v>
      </c>
      <c r="C1441" s="15" t="str">
        <f ca="1">IFERROR(__xludf.DUMMYFUNCTION("""COMPUTED_VALUE"""),"+998911320927")</f>
        <v>+998911320927</v>
      </c>
      <c r="D1441" s="15"/>
      <c r="E1441" s="14"/>
      <c r="F144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441" s="14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</row>
    <row r="1442" spans="1:26" ht="25.5">
      <c r="A1442" s="14" t="str">
        <f ca="1">IFERROR(__xludf.DUMMYFUNCTION("""COMPUTED_VALUE"""),"tom Бабкина")</f>
        <v>tom Бабкина</v>
      </c>
      <c r="B1442" s="14" t="str">
        <f ca="1">IFERROR(__xludf.DUMMYFUNCTION("""COMPUTED_VALUE"""),"negus65@yandex.ru")</f>
        <v>negus65@yandex.ru</v>
      </c>
      <c r="C1442" s="15" t="str">
        <f ca="1">IFERROR(__xludf.DUMMYFUNCTION("""COMPUTED_VALUE"""),"+79882456057")</f>
        <v>+79882456057</v>
      </c>
      <c r="D1442" s="15" t="str">
        <f ca="1">IFERROR(__xludf.DUMMYFUNCTION("""COMPUTED_VALUE"""),"Россия")</f>
        <v>Россия</v>
      </c>
      <c r="E1442" s="14"/>
      <c r="F1442" s="8" t="str">
        <f ca="1">IFERROR(__xludf.DUMMYFUNCTION("""COMPUTED_VALUE"""),"- Онлайн курс Шаг к Пробуждению №15 29.1-8.02.22 Пакет стандартный")</f>
        <v>- Онлайн курс Шаг к Пробуждению №15 29.1-8.02.22 Пакет стандартный</v>
      </c>
      <c r="G1442" s="14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</row>
    <row r="1443" spans="1:26" ht="14.25">
      <c r="A1443" s="14" t="str">
        <f ca="1">IFERROR(__xludf.DUMMYFUNCTION("""COMPUTED_VALUE"""),"Нелли Л")</f>
        <v>Нелли Л</v>
      </c>
      <c r="B1443" s="14" t="str">
        <f ca="1">IFERROR(__xludf.DUMMYFUNCTION("""COMPUTED_VALUE"""),"nelly.lee777@gmail.com")</f>
        <v>nelly.lee777@gmail.com</v>
      </c>
      <c r="C1443" s="15"/>
      <c r="D1443" s="15" t="str">
        <f ca="1">IFERROR(__xludf.DUMMYFUNCTION("""COMPUTED_VALUE"""),"Швеция")</f>
        <v>Швеция</v>
      </c>
      <c r="E1443" s="14"/>
      <c r="F1443" s="8" t="str">
        <f ca="1">IFERROR(__xludf.DUMMYFUNCTION("""COMPUTED_VALUE"""),"- Тишина Челлендж (бесплатная часть)")</f>
        <v>- Тишина Челлендж (бесплатная часть)</v>
      </c>
      <c r="G1443" s="14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</row>
    <row r="1444" spans="1:26" ht="14.25">
      <c r="A1444" s="14" t="str">
        <f ca="1">IFERROR(__xludf.DUMMYFUNCTION("""COMPUTED_VALUE"""),"Вероника Нари")</f>
        <v>Вероника Нари</v>
      </c>
      <c r="B1444" s="14" t="str">
        <f ca="1">IFERROR(__xludf.DUMMYFUNCTION("""COMPUTED_VALUE"""),"nerronika@mail.ru")</f>
        <v>nerronika@mail.ru</v>
      </c>
      <c r="C1444" s="15"/>
      <c r="D1444" s="15" t="str">
        <f ca="1">IFERROR(__xludf.DUMMYFUNCTION("""COMPUTED_VALUE"""),"Швеция")</f>
        <v>Швеция</v>
      </c>
      <c r="E1444" s="14"/>
      <c r="F1444" s="8" t="str">
        <f ca="1">IFERROR(__xludf.DUMMYFUNCTION("""COMPUTED_VALUE"""),"- Тишина Челлендж (бесплатная часть)")</f>
        <v>- Тишина Челлендж (бесплатная часть)</v>
      </c>
      <c r="G1444" s="14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</row>
    <row r="1445" spans="1:26" ht="25.5">
      <c r="A1445" s="14" t="str">
        <f ca="1">IFERROR(__xludf.DUMMYFUNCTION("""COMPUTED_VALUE"""),"Наталья Кулишова")</f>
        <v>Наталья Кулишова</v>
      </c>
      <c r="B1445" s="14" t="str">
        <f ca="1">IFERROR(__xludf.DUMMYFUNCTION("""COMPUTED_VALUE"""),"Net-67@mail.ru")</f>
        <v>Net-67@mail.ru</v>
      </c>
      <c r="C1445" s="15" t="str">
        <f ca="1">IFERROR(__xludf.DUMMYFUNCTION("""COMPUTED_VALUE"""),"+79153580960")</f>
        <v>+79153580960</v>
      </c>
      <c r="D1445" s="15" t="str">
        <f ca="1">IFERROR(__xludf.DUMMYFUNCTION("""COMPUTED_VALUE"""),"Россия")</f>
        <v>Россия</v>
      </c>
      <c r="E1445" s="14" t="str">
        <f ca="1">IFERROR(__xludf.DUMMYFUNCTION("""COMPUTED_VALUE"""),"Наталья Кулишова")</f>
        <v>Наталья Кулишова</v>
      </c>
      <c r="F1445" s="8" t="str">
        <f ca="1">IFERROR(__xludf.DUMMYFUNCTION("""COMPUTED_VALUE"""),"- Практика Тишины общая платная
- Вебинар с Никитой Бородулиным 11.02.2022 часть1")</f>
        <v>- Практика Тишины общая платная
- Вебинар с Никитой Бородулиным 11.02.2022 часть1</v>
      </c>
      <c r="G1445" s="14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</row>
    <row r="1446" spans="1:26" ht="25.5">
      <c r="A1446" s="14" t="str">
        <f ca="1">IFERROR(__xludf.DUMMYFUNCTION("""COMPUTED_VALUE"""),"Диана Пак")</f>
        <v>Диана Пак</v>
      </c>
      <c r="B1446" s="14" t="str">
        <f ca="1">IFERROR(__xludf.DUMMYFUNCTION("""COMPUTED_VALUE"""),"netakayakakvsedi@gmail.com")</f>
        <v>netakayakakvsedi@gmail.com</v>
      </c>
      <c r="C1446" s="15" t="str">
        <f ca="1">IFERROR(__xludf.DUMMYFUNCTION("""COMPUTED_VALUE"""),"+998903919333")</f>
        <v>+998903919333</v>
      </c>
      <c r="D1446" s="15"/>
      <c r="E1446" s="14"/>
      <c r="F144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446" s="14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</row>
    <row r="1447" spans="1:26" ht="14.25">
      <c r="A1447" s="14" t="str">
        <f ca="1">IFERROR(__xludf.DUMMYFUNCTION("""COMPUTED_VALUE"""),"Наталья Нецветаева")</f>
        <v>Наталья Нецветаева</v>
      </c>
      <c r="B1447" s="14" t="str">
        <f ca="1">IFERROR(__xludf.DUMMYFUNCTION("""COMPUTED_VALUE"""),"Netsvetaeva_n@mail.ru")</f>
        <v>Netsvetaeva_n@mail.ru</v>
      </c>
      <c r="C1447" s="15"/>
      <c r="D1447" s="15" t="str">
        <f ca="1">IFERROR(__xludf.DUMMYFUNCTION("""COMPUTED_VALUE"""),"Франция")</f>
        <v>Франция</v>
      </c>
      <c r="E1447" s="14"/>
      <c r="F1447" s="8" t="str">
        <f ca="1">IFERROR(__xludf.DUMMYFUNCTION("""COMPUTED_VALUE"""),"- Тишина Челлендж (бесплатная часть)")</f>
        <v>- Тишина Челлендж (бесплатная часть)</v>
      </c>
      <c r="G1447" s="14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</row>
    <row r="1448" spans="1:26" ht="25.5">
      <c r="A1448" s="14" t="str">
        <f ca="1">IFERROR(__xludf.DUMMYFUNCTION("""COMPUTED_VALUE"""),"Наталья К")</f>
        <v>Наталья К</v>
      </c>
      <c r="B1448" s="14" t="str">
        <f ca="1">IFERROR(__xludf.DUMMYFUNCTION("""COMPUTED_VALUE"""),"new_bliznyashka@mail.ru")</f>
        <v>new_bliznyashka@mail.ru</v>
      </c>
      <c r="C1448" s="15" t="str">
        <f ca="1">IFERROR(__xludf.DUMMYFUNCTION("""COMPUTED_VALUE"""),"87075505852")</f>
        <v>87075505852</v>
      </c>
      <c r="D1448" s="15"/>
      <c r="E1448" s="14"/>
      <c r="F144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448" s="14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</row>
    <row r="1449" spans="1:26" ht="25.5">
      <c r="A1449" s="14" t="str">
        <f ca="1">IFERROR(__xludf.DUMMYFUNCTION("""COMPUTED_VALUE"""),"Нина Суворова")</f>
        <v>Нина Суворова</v>
      </c>
      <c r="B1449" s="14" t="str">
        <f ca="1">IFERROR(__xludf.DUMMYFUNCTION("""COMPUTED_VALUE"""),"newsnina_2013@mail.ru")</f>
        <v>newsnina_2013@mail.ru</v>
      </c>
      <c r="C1449" s="15" t="str">
        <f ca="1">IFERROR(__xludf.DUMMYFUNCTION("""COMPUTED_VALUE"""),"+79858164964")</f>
        <v>+79858164964</v>
      </c>
      <c r="D1449" s="15" t="str">
        <f ca="1">IFERROR(__xludf.DUMMYFUNCTION("""COMPUTED_VALUE"""),"Россия")</f>
        <v>Россия</v>
      </c>
      <c r="E1449" s="14"/>
      <c r="F1449" s="8" t="str">
        <f ca="1">IFERROR(__xludf.DUMMYFUNCTION("""COMPUTED_VALUE"""),"- Интенсив 15-17 апреля Москва
- Ретрит в РЦ Сочи май 2022 (Оплата до 17 апреля)")</f>
        <v>- Интенсив 15-17 апреля Москва
- Ретрит в РЦ Сочи май 2022 (Оплата до 17 апреля)</v>
      </c>
      <c r="G1449" s="14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</row>
    <row r="1450" spans="1:26" ht="14.25">
      <c r="A1450" s="14" t="str">
        <f ca="1">IFERROR(__xludf.DUMMYFUNCTION("""COMPUTED_VALUE"""),"Сергей Агибалов")</f>
        <v>Сергей Агибалов</v>
      </c>
      <c r="B1450" s="14" t="str">
        <f ca="1">IFERROR(__xludf.DUMMYFUNCTION("""COMPUTED_VALUE"""),"next08@mail.ru")</f>
        <v>next08@mail.ru</v>
      </c>
      <c r="C1450" s="15" t="str">
        <f ca="1">IFERROR(__xludf.DUMMYFUNCTION("""COMPUTED_VALUE"""),"+79522150390")</f>
        <v>+79522150390</v>
      </c>
      <c r="D1450" s="15"/>
      <c r="E1450" s="14"/>
      <c r="F1450" s="8" t="str">
        <f ca="1">IFERROR(__xludf.DUMMYFUNCTION("""COMPUTED_VALUE"""),"- Партнерская программа")</f>
        <v>- Партнерская программа</v>
      </c>
      <c r="G1450" s="14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</row>
    <row r="1451" spans="1:26" ht="25.5">
      <c r="A1451" s="14" t="str">
        <f ca="1">IFERROR(__xludf.DUMMYFUNCTION("""COMPUTED_VALUE"""),"Анастасия Дербенёва")</f>
        <v>Анастасия Дербенёва</v>
      </c>
      <c r="B1451" s="14" t="str">
        <f ca="1">IFERROR(__xludf.DUMMYFUNCTION("""COMPUTED_VALUE"""),"nice.nastenych@mail.ru")</f>
        <v>nice.nastenych@mail.ru</v>
      </c>
      <c r="C1451" s="15" t="str">
        <f ca="1">IFERROR(__xludf.DUMMYFUNCTION("""COMPUTED_VALUE"""),"+79525000549")</f>
        <v>+79525000549</v>
      </c>
      <c r="D1451" s="15" t="str">
        <f ca="1">IFERROR(__xludf.DUMMYFUNCTION("""COMPUTED_VALUE"""),"Россия")</f>
        <v>Россия</v>
      </c>
      <c r="E1451" s="14"/>
      <c r="F1451" s="8" t="str">
        <f ca="1">IFERROR(__xludf.DUMMYFUNCTION("""COMPUTED_VALUE"""),"- Онлайн курс Шаг к Пробуждению №15 29.1-8.02.22 Пакет стандартный")</f>
        <v>- Онлайн курс Шаг к Пробуждению №15 29.1-8.02.22 Пакет стандартный</v>
      </c>
      <c r="G1451" s="14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</row>
    <row r="1452" spans="1:26" ht="25.5">
      <c r="A1452" s="14" t="str">
        <f ca="1">IFERROR(__xludf.DUMMYFUNCTION("""COMPUTED_VALUE"""),"роман Белдиман")</f>
        <v>роман Белдиман</v>
      </c>
      <c r="B1452" s="14" t="str">
        <f ca="1">IFERROR(__xludf.DUMMYFUNCTION("""COMPUTED_VALUE"""),"nicolai.roma@mail.ru")</f>
        <v>nicolai.roma@mail.ru</v>
      </c>
      <c r="C1452" s="15" t="str">
        <f ca="1">IFERROR(__xludf.DUMMYFUNCTION("""COMPUTED_VALUE"""),"+37367388333")</f>
        <v>+37367388333</v>
      </c>
      <c r="D1452" s="15" t="str">
        <f ca="1">IFERROR(__xludf.DUMMYFUNCTION("""COMPUTED_VALUE"""),"Молдавия")</f>
        <v>Молдавия</v>
      </c>
      <c r="E1452" s="14"/>
      <c r="F1452" s="8" t="str">
        <f ca="1">IFERROR(__xludf.DUMMYFUNCTION("""COMPUTED_VALUE"""),"- Беседа - сатсанг с Екатериной Сосниной: Счастье внутри нас 15.1.22")</f>
        <v>- Беседа - сатсанг с Екатериной Сосниной: Счастье внутри нас 15.1.22</v>
      </c>
      <c r="G1452" s="14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</row>
    <row r="1453" spans="1:26" ht="25.5">
      <c r="A1453" s="14" t="str">
        <f ca="1">IFERROR(__xludf.DUMMYFUNCTION("""COMPUTED_VALUE"""),"Нигора Khamroqulova")</f>
        <v>Нигора Khamroqulova</v>
      </c>
      <c r="B1453" s="14" t="str">
        <f ca="1">IFERROR(__xludf.DUMMYFUNCTION("""COMPUTED_VALUE"""),"nigora_1106@mail.ru")</f>
        <v>nigora_1106@mail.ru</v>
      </c>
      <c r="C1453" s="15" t="str">
        <f ca="1">IFERROR(__xludf.DUMMYFUNCTION("""COMPUTED_VALUE"""),"+998915309889")</f>
        <v>+998915309889</v>
      </c>
      <c r="D1453" s="15"/>
      <c r="E1453" s="14"/>
      <c r="F145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453" s="14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</row>
    <row r="1454" spans="1:26" ht="14.25">
      <c r="A1454" s="14" t="str">
        <f ca="1">IFERROR(__xludf.DUMMYFUNCTION("""COMPUTED_VALUE"""),"Николай Трихминов")</f>
        <v>Николай Трихминов</v>
      </c>
      <c r="B1454" s="14" t="str">
        <f ca="1">IFERROR(__xludf.DUMMYFUNCTION("""COMPUTED_VALUE"""),"nik4488@mail.ru")</f>
        <v>nik4488@mail.ru</v>
      </c>
      <c r="C1454" s="15" t="str">
        <f ca="1">IFERROR(__xludf.DUMMYFUNCTION("""COMPUTED_VALUE"""),"+79851129147")</f>
        <v>+79851129147</v>
      </c>
      <c r="D1454" s="15" t="str">
        <f ca="1">IFERROR(__xludf.DUMMYFUNCTION("""COMPUTED_VALUE"""),"РФ")</f>
        <v>РФ</v>
      </c>
      <c r="E1454" s="14"/>
      <c r="F1454" s="8" t="str">
        <f ca="1">IFERROR(__xludf.DUMMYFUNCTION("""COMPUTED_VALUE"""),"- Ретрит в РЦ Сочи май 2022 (Оплата до 17 апреля)")</f>
        <v>- Ретрит в РЦ Сочи май 2022 (Оплата до 17 апреля)</v>
      </c>
      <c r="G1454" s="14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</row>
    <row r="1455" spans="1:26" ht="25.5">
      <c r="A1455" s="14" t="str">
        <f ca="1">IFERROR(__xludf.DUMMYFUNCTION("""COMPUTED_VALUE"""),"Вероника Ковальчук")</f>
        <v>Вероника Ковальчук</v>
      </c>
      <c r="B1455" s="14" t="str">
        <f ca="1">IFERROR(__xludf.DUMMYFUNCTION("""COMPUTED_VALUE"""),"nika_dasha@mail.ru")</f>
        <v>nika_dasha@mail.ru</v>
      </c>
      <c r="C1455" s="15" t="str">
        <f ca="1">IFERROR(__xludf.DUMMYFUNCTION("""COMPUTED_VALUE"""),"+77021811288")</f>
        <v>+77021811288</v>
      </c>
      <c r="D1455" s="15"/>
      <c r="E1455" s="14"/>
      <c r="F145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455" s="14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</row>
    <row r="1456" spans="1:26" ht="14.25">
      <c r="A1456" s="14" t="str">
        <f ca="1">IFERROR(__xludf.DUMMYFUNCTION("""COMPUTED_VALUE"""),"nikaiv,  ")</f>
        <v xml:space="preserve">nikaiv,  </v>
      </c>
      <c r="B1456" s="14" t="str">
        <f ca="1">IFERROR(__xludf.DUMMYFUNCTION("""COMPUTED_VALUE"""),"nikaiv@yahoo.com")</f>
        <v>nikaiv@yahoo.com</v>
      </c>
      <c r="C1456" s="15"/>
      <c r="D1456" s="15"/>
      <c r="E1456" s="14"/>
      <c r="F1456" s="8" t="str">
        <f ca="1">IFERROR(__xludf.DUMMYFUNCTION("""COMPUTED_VALUE"""),"- USA Челлендж Тишина")</f>
        <v>- USA Челлендж Тишина</v>
      </c>
      <c r="G1456" s="14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</row>
    <row r="1457" spans="1:26" ht="14.25">
      <c r="A1457" s="14" t="str">
        <f ca="1">IFERROR(__xludf.DUMMYFUNCTION("""COMPUTED_VALUE"""),"Ева Ласточкина")</f>
        <v>Ева Ласточкина</v>
      </c>
      <c r="B1457" s="14" t="str">
        <f ca="1">IFERROR(__xludf.DUMMYFUNCTION("""COMPUTED_VALUE"""),"nikakun181@gmail.com")</f>
        <v>nikakun181@gmail.com</v>
      </c>
      <c r="C1457" s="15" t="str">
        <f ca="1">IFERROR(__xludf.DUMMYFUNCTION("""COMPUTED_VALUE"""),"+37291621001")</f>
        <v>+37291621001</v>
      </c>
      <c r="D1457" s="15" t="str">
        <f ca="1">IFERROR(__xludf.DUMMYFUNCTION("""COMPUTED_VALUE"""),"Беларусь")</f>
        <v>Беларусь</v>
      </c>
      <c r="E1457" s="14"/>
      <c r="F1457" s="8" t="str">
        <f ca="1">IFERROR(__xludf.DUMMYFUNCTION("""COMPUTED_VALUE"""),"- Живая ""Практика Тишины"" Минск (регулярные занятия)")</f>
        <v>- Живая "Практика Тишины" Минск (регулярные занятия)</v>
      </c>
      <c r="G1457" s="14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</row>
    <row r="1458" spans="1:26" ht="14.25">
      <c r="A1458" s="14" t="str">
        <f ca="1">IFERROR(__xludf.DUMMYFUNCTION("""COMPUTED_VALUE"""),"Николай Козырин")</f>
        <v>Николай Козырин</v>
      </c>
      <c r="B1458" s="14" t="str">
        <f ca="1">IFERROR(__xludf.DUMMYFUNCTION("""COMPUTED_VALUE"""),"Nikas_@mail.ru")</f>
        <v>Nikas_@mail.ru</v>
      </c>
      <c r="C1458" s="15"/>
      <c r="D1458" s="15" t="str">
        <f ca="1">IFERROR(__xludf.DUMMYFUNCTION("""COMPUTED_VALUE"""),"Россия")</f>
        <v>Россия</v>
      </c>
      <c r="E1458" s="14"/>
      <c r="F1458" s="8" t="str">
        <f ca="1">IFERROR(__xludf.DUMMYFUNCTION("""COMPUTED_VALUE"""),"- Тишина Челлендж (бесплатная часть)")</f>
        <v>- Тишина Челлендж (бесплатная часть)</v>
      </c>
      <c r="G1458" s="14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</row>
    <row r="1459" spans="1:26" ht="14.25">
      <c r="A1459" s="14" t="str">
        <f ca="1">IFERROR(__xludf.DUMMYFUNCTION("""COMPUTED_VALUE"""),"Никита Никачев")</f>
        <v>Никита Никачев</v>
      </c>
      <c r="B1459" s="14" t="str">
        <f ca="1">IFERROR(__xludf.DUMMYFUNCTION("""COMPUTED_VALUE"""),"nikita.nikachev@mail.ru")</f>
        <v>nikita.nikachev@mail.ru</v>
      </c>
      <c r="C1459" s="15" t="str">
        <f ca="1">IFERROR(__xludf.DUMMYFUNCTION("""COMPUTED_VALUE"""),"+79997883306")</f>
        <v>+79997883306</v>
      </c>
      <c r="D1459" s="15" t="str">
        <f ca="1">IFERROR(__xludf.DUMMYFUNCTION("""COMPUTED_VALUE"""),"Россия")</f>
        <v>Россия</v>
      </c>
      <c r="E1459" s="14"/>
      <c r="F1459" s="8" t="str">
        <f ca="1">IFERROR(__xludf.DUMMYFUNCTION("""COMPUTED_VALUE"""),"- Заявка на СЪЕЗД+ФЕСТИВАЛЬ ""Мы вместе"" 3-8.01.22")</f>
        <v>- Заявка на СЪЕЗД+ФЕСТИВАЛЬ "Мы вместе" 3-8.01.22</v>
      </c>
      <c r="G1459" s="14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</row>
    <row r="1460" spans="1:26" ht="25.5">
      <c r="A1460" s="14" t="str">
        <f ca="1">IFERROR(__xludf.DUMMYFUNCTION("""COMPUTED_VALUE"""),"Niklas Milling, ")</f>
        <v xml:space="preserve">Niklas Milling, </v>
      </c>
      <c r="B1460" s="14" t="str">
        <f ca="1">IFERROR(__xludf.DUMMYFUNCTION("""COMPUTED_VALUE"""),"Niklas.m.nielsen@gmail.com")</f>
        <v>Niklas.m.nielsen@gmail.com</v>
      </c>
      <c r="C1460" s="15" t="str">
        <f ca="1">IFERROR(__xludf.DUMMYFUNCTION("""COMPUTED_VALUE"""),"004551894087, ")</f>
        <v xml:space="preserve">004551894087, </v>
      </c>
      <c r="D1460" s="15"/>
      <c r="E1460" s="14"/>
      <c r="F1460" s="8" t="str">
        <f ca="1">IFERROR(__xludf.DUMMYFUNCTION("""COMPUTED_VALUE"""),"- КОНСПЕКТИРОВАНИЕ лекций ГЕНАДИЯ - December ""21
- КОНСПЕКТИРОВАНИЕ лекций ГЕНАДИЯ - January""22")</f>
        <v>- КОНСПЕКТИРОВАНИЕ лекций ГЕНАДИЯ - December "21
- КОНСПЕКТИРОВАНИЕ лекций ГЕНАДИЯ - January"22</v>
      </c>
      <c r="G1460" s="14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</row>
    <row r="1461" spans="1:26" ht="25.5">
      <c r="A1461" s="14" t="str">
        <f ca="1">IFERROR(__xludf.DUMMYFUNCTION("""COMPUTED_VALUE"""),"Ник Т")</f>
        <v>Ник Т</v>
      </c>
      <c r="B1461" s="14" t="str">
        <f ca="1">IFERROR(__xludf.DUMMYFUNCTION("""COMPUTED_VALUE"""),"nikniknik1358@gmail.com")</f>
        <v>nikniknik1358@gmail.com</v>
      </c>
      <c r="C1461" s="15" t="str">
        <f ca="1">IFERROR(__xludf.DUMMYFUNCTION("""COMPUTED_VALUE"""),"+77055585333")</f>
        <v>+77055585333</v>
      </c>
      <c r="D1461" s="15" t="str">
        <f ca="1">IFERROR(__xludf.DUMMYFUNCTION("""COMPUTED_VALUE"""),"Казахстан")</f>
        <v>Казахстан</v>
      </c>
      <c r="E1461" s="14"/>
      <c r="F1461" s="8" t="str">
        <f ca="1">IFERROR(__xludf.DUMMYFUNCTION("""COMPUTED_VALUE"""),"- Живая ""Практика тишины"" Алматы (регулярные занятия)
- Практика Тишины общая платная")</f>
        <v>- Живая "Практика тишины" Алматы (регулярные занятия)
- Практика Тишины общая платная</v>
      </c>
      <c r="G1461" s="14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</row>
    <row r="1462" spans="1:26" ht="14.25">
      <c r="A1462" s="14" t="str">
        <f ca="1">IFERROR(__xludf.DUMMYFUNCTION("""COMPUTED_VALUE"""),"Николай Андреев")</f>
        <v>Николай Андреев</v>
      </c>
      <c r="B1462" s="14" t="str">
        <f ca="1">IFERROR(__xludf.DUMMYFUNCTION("""COMPUTED_VALUE"""),"Nikolay.vasekin@gmail.com")</f>
        <v>Nikolay.vasekin@gmail.com</v>
      </c>
      <c r="C1462" s="15" t="str">
        <f ca="1">IFERROR(__xludf.DUMMYFUNCTION("""COMPUTED_VALUE"""),"+375297771619")</f>
        <v>+375297771619</v>
      </c>
      <c r="D1462" s="15" t="str">
        <f ca="1">IFERROR(__xludf.DUMMYFUNCTION("""COMPUTED_VALUE"""),"Беларусь")</f>
        <v>Беларусь</v>
      </c>
      <c r="E1462" s="14"/>
      <c r="F1462" s="8" t="str">
        <f ca="1">IFERROR(__xludf.DUMMYFUNCTION("""COMPUTED_VALUE"""),"- Чайная встреча в Минске 8.1.22")</f>
        <v>- Чайная встреча в Минске 8.1.22</v>
      </c>
      <c r="G1462" s="14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</row>
    <row r="1463" spans="1:26" ht="14.25">
      <c r="A1463" s="14" t="str">
        <f ca="1">IFERROR(__xludf.DUMMYFUNCTION("""COMPUTED_VALUE"""),"nikolskaya190470,  ")</f>
        <v xml:space="preserve">nikolskaya190470,  </v>
      </c>
      <c r="B1463" s="14" t="str">
        <f ca="1">IFERROR(__xludf.DUMMYFUNCTION("""COMPUTED_VALUE"""),"nikolskaya190470@yandex.ru")</f>
        <v>nikolskaya190470@yandex.ru</v>
      </c>
      <c r="C1463" s="15"/>
      <c r="D1463" s="15"/>
      <c r="E1463" s="14"/>
      <c r="F1463" s="8" t="str">
        <f ca="1">IFERROR(__xludf.DUMMYFUNCTION("""COMPUTED_VALUE"""),"- Челлендж Тишины")</f>
        <v>- Челлендж Тишины</v>
      </c>
      <c r="G1463" s="14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</row>
    <row r="1464" spans="1:26" ht="25.5">
      <c r="A1464" s="14" t="str">
        <f ca="1">IFERROR(__xludf.DUMMYFUNCTION("""COMPUTED_VALUE"""),"Константин Никульшин")</f>
        <v>Константин Никульшин</v>
      </c>
      <c r="B1464" s="14" t="str">
        <f ca="1">IFERROR(__xludf.DUMMYFUNCTION("""COMPUTED_VALUE"""),"nikson000@yandex.ru")</f>
        <v>nikson000@yandex.ru</v>
      </c>
      <c r="C1464" s="15" t="str">
        <f ca="1">IFERROR(__xludf.DUMMYFUNCTION("""COMPUTED_VALUE"""),"+79009041615")</f>
        <v>+79009041615</v>
      </c>
      <c r="D1464" s="15" t="str">
        <f ca="1">IFERROR(__xludf.DUMMYFUNCTION("""COMPUTED_VALUE"""),"Россия")</f>
        <v>Россия</v>
      </c>
      <c r="E1464" s="14" t="str">
        <f ca="1">IFERROR(__xludf.DUMMYFUNCTION("""COMPUTED_VALUE"""),"@lazy_kos")</f>
        <v>@lazy_kos</v>
      </c>
      <c r="F1464" s="8" t="str">
        <f ca="1">IFERROR(__xludf.DUMMYFUNCTION("""COMPUTED_VALUE"""),"- Заявка на звонок для курса ""Парадентальная медитация""
- Однодневный онлайн ретрит Россия 14 мая 2022")</f>
        <v>- Заявка на звонок для курса "Парадентальная медитация"
- Однодневный онлайн ретрит Россия 14 мая 2022</v>
      </c>
      <c r="G1464" s="14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</row>
    <row r="1465" spans="1:26" ht="25.5">
      <c r="A1465" s="14" t="str">
        <f ca="1">IFERROR(__xludf.DUMMYFUNCTION("""COMPUTED_VALUE"""),"Nilufar Abdullaeva")</f>
        <v>Nilufar Abdullaeva</v>
      </c>
      <c r="B1465" s="14" t="str">
        <f ca="1">IFERROR(__xludf.DUMMYFUNCTION("""COMPUTED_VALUE"""),"Nilu-k@mail.ru")</f>
        <v>Nilu-k@mail.ru</v>
      </c>
      <c r="C1465" s="15" t="str">
        <f ca="1">IFERROR(__xludf.DUMMYFUNCTION("""COMPUTED_VALUE"""),"+998906271000")</f>
        <v>+998906271000</v>
      </c>
      <c r="D1465" s="15" t="str">
        <f ca="1">IFERROR(__xludf.DUMMYFUNCTION("""COMPUTED_VALUE"""),"Uzbekistan ")</f>
        <v xml:space="preserve">Uzbekistan </v>
      </c>
      <c r="E1465" s="14"/>
      <c r="F146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465" s="14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</row>
    <row r="1466" spans="1:26" ht="25.5">
      <c r="A1466" s="14" t="str">
        <f ca="1">IFERROR(__xludf.DUMMYFUNCTION("""COMPUTED_VALUE"""),"Нилуфар Шакарова")</f>
        <v>Нилуфар Шакарова</v>
      </c>
      <c r="B1466" s="14" t="str">
        <f ca="1">IFERROR(__xludf.DUMMYFUNCTION("""COMPUTED_VALUE"""),"Nilufarshakarova2@gmail.com")</f>
        <v>Nilufarshakarova2@gmail.com</v>
      </c>
      <c r="C1466" s="15" t="str">
        <f ca="1">IFERROR(__xludf.DUMMYFUNCTION("""COMPUTED_VALUE"""),"998803516")</f>
        <v>998803516</v>
      </c>
      <c r="D1466" s="15"/>
      <c r="E1466" s="14"/>
      <c r="F146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466" s="14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</row>
    <row r="1467" spans="1:26" ht="14.25">
      <c r="A1467" s="14" t="str">
        <f ca="1">IFERROR(__xludf.DUMMYFUNCTION("""COMPUTED_VALUE"""),"Надежда Яблонская")</f>
        <v>Надежда Яблонская</v>
      </c>
      <c r="B1467" s="14" t="str">
        <f ca="1">IFERROR(__xludf.DUMMYFUNCTION("""COMPUTED_VALUE"""),"nimphy@mail.ru")</f>
        <v>nimphy@mail.ru</v>
      </c>
      <c r="C1467" s="15" t="str">
        <f ca="1">IFERROR(__xludf.DUMMYFUNCTION("""COMPUTED_VALUE"""),"79265822993")</f>
        <v>79265822993</v>
      </c>
      <c r="D1467" s="15" t="str">
        <f ca="1">IFERROR(__xludf.DUMMYFUNCTION("""COMPUTED_VALUE"""),"Россия")</f>
        <v>Россия</v>
      </c>
      <c r="E1467" s="14"/>
      <c r="F1467" s="8" t="str">
        <f ca="1">IFERROR(__xludf.DUMMYFUNCTION("""COMPUTED_VALUE"""),"- Регулярная практика тишины в Москве ")</f>
        <v xml:space="preserve">- Регулярная практика тишины в Москве </v>
      </c>
      <c r="G1467" s="14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</row>
    <row r="1468" spans="1:26" ht="14.25">
      <c r="A1468" s="14" t="str">
        <f ca="1">IFERROR(__xludf.DUMMYFUNCTION("""COMPUTED_VALUE"""),"Нина Демидова")</f>
        <v>Нина Демидова</v>
      </c>
      <c r="B1468" s="14" t="str">
        <f ca="1">IFERROR(__xludf.DUMMYFUNCTION("""COMPUTED_VALUE"""),"ninademidova275@gmail.com")</f>
        <v>ninademidova275@gmail.com</v>
      </c>
      <c r="C1468" s="15" t="str">
        <f ca="1">IFERROR(__xludf.DUMMYFUNCTION("""COMPUTED_VALUE"""),"+79374267398")</f>
        <v>+79374267398</v>
      </c>
      <c r="D1468" s="15" t="str">
        <f ca="1">IFERROR(__xludf.DUMMYFUNCTION("""COMPUTED_VALUE"""),"Россия")</f>
        <v>Россия</v>
      </c>
      <c r="E1468" s="14"/>
      <c r="F1468" s="8" t="str">
        <f ca="1">IFERROR(__xludf.DUMMYFUNCTION("""COMPUTED_VALUE"""),"- Вебинар-батл Я уже все знаю! Мне не нужна Школа 9.01.2022")</f>
        <v>- Вебинар-батл Я уже все знаю! Мне не нужна Школа 9.01.2022</v>
      </c>
      <c r="G1468" s="14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</row>
    <row r="1469" spans="1:26" ht="14.25">
      <c r="A1469" s="14" t="str">
        <f ca="1">IFERROR(__xludf.DUMMYFUNCTION("""COMPUTED_VALUE"""),"нина мокина")</f>
        <v>нина мокина</v>
      </c>
      <c r="B1469" s="14" t="str">
        <f ca="1">IFERROR(__xludf.DUMMYFUNCTION("""COMPUTED_VALUE"""),"ninamokina60@mail.ru")</f>
        <v>ninamokina60@mail.ru</v>
      </c>
      <c r="C1469" s="15" t="str">
        <f ca="1">IFERROR(__xludf.DUMMYFUNCTION("""COMPUTED_VALUE"""),"+89156467549")</f>
        <v>+89156467549</v>
      </c>
      <c r="D1469" s="15" t="str">
        <f ca="1">IFERROR(__xludf.DUMMYFUNCTION("""COMPUTED_VALUE"""),"Россия")</f>
        <v>Россия</v>
      </c>
      <c r="E1469" s="14"/>
      <c r="F1469" s="8" t="str">
        <f ca="1">IFERROR(__xludf.DUMMYFUNCTION("""COMPUTED_VALUE"""),"- Партнерская программа")</f>
        <v>- Партнерская программа</v>
      </c>
      <c r="G1469" s="14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</row>
    <row r="1470" spans="1:26" ht="14.25">
      <c r="A1470" s="14" t="str">
        <f ca="1">IFERROR(__xludf.DUMMYFUNCTION("""COMPUTED_VALUE"""),"Елена Нирав")</f>
        <v>Елена Нирав</v>
      </c>
      <c r="B1470" s="14" t="str">
        <f ca="1">IFERROR(__xludf.DUMMYFUNCTION("""COMPUTED_VALUE"""),"niravelena@gmail.com")</f>
        <v>niravelena@gmail.com</v>
      </c>
      <c r="C1470" s="15" t="str">
        <f ca="1">IFERROR(__xludf.DUMMYFUNCTION("""COMPUTED_VALUE"""),"+380673384321")</f>
        <v>+380673384321</v>
      </c>
      <c r="D1470" s="15" t="str">
        <f ca="1">IFERROR(__xludf.DUMMYFUNCTION("""COMPUTED_VALUE"""),"Украина")</f>
        <v>Украина</v>
      </c>
      <c r="E1470" s="14"/>
      <c r="F1470" s="8" t="str">
        <f ca="1">IFERROR(__xludf.DUMMYFUNCTION("""COMPUTED_VALUE"""),"- Интенсив онлайн 11-13.02.2022")</f>
        <v>- Интенсив онлайн 11-13.02.2022</v>
      </c>
      <c r="G1470" s="14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</row>
    <row r="1471" spans="1:26" ht="25.5">
      <c r="A1471" s="14" t="str">
        <f ca="1">IFERROR(__xludf.DUMMYFUNCTION("""COMPUTED_VALUE"""),"Ниссо Халимова")</f>
        <v>Ниссо Халимова</v>
      </c>
      <c r="B1471" s="14" t="str">
        <f ca="1">IFERROR(__xludf.DUMMYFUNCTION("""COMPUTED_VALUE"""),"nissan8024@mail.ru")</f>
        <v>nissan8024@mail.ru</v>
      </c>
      <c r="C1471" s="15" t="str">
        <f ca="1">IFERROR(__xludf.DUMMYFUNCTION("""COMPUTED_VALUE"""),"+998935307253")</f>
        <v>+998935307253</v>
      </c>
      <c r="D1471" s="15" t="str">
        <f ca="1">IFERROR(__xludf.DUMMYFUNCTION("""COMPUTED_VALUE"""),"Узбекистан")</f>
        <v>Узбекистан</v>
      </c>
      <c r="E1471" s="14"/>
      <c r="F147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471" s="14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</row>
    <row r="1472" spans="1:26" ht="14.25">
      <c r="A1472" s="14" t="str">
        <f ca="1">IFERROR(__xludf.DUMMYFUNCTION("""COMPUTED_VALUE"""),"Наталья Ткаченко")</f>
        <v>Наталья Ткаченко</v>
      </c>
      <c r="B1472" s="14" t="str">
        <f ca="1">IFERROR(__xludf.DUMMYFUNCTION("""COMPUTED_VALUE"""),"niva.nata@gmail.com")</f>
        <v>niva.nata@gmail.com</v>
      </c>
      <c r="C1472" s="15" t="str">
        <f ca="1">IFERROR(__xludf.DUMMYFUNCTION("""COMPUTED_VALUE"""),"79625032228")</f>
        <v>79625032228</v>
      </c>
      <c r="D1472" s="15" t="str">
        <f ca="1">IFERROR(__xludf.DUMMYFUNCTION("""COMPUTED_VALUE"""),"Россия")</f>
        <v>Россия</v>
      </c>
      <c r="E1472" s="14"/>
      <c r="F1472" s="8" t="str">
        <f ca="1">IFERROR(__xludf.DUMMYFUNCTION("""COMPUTED_VALUE"""),"- Практика Тишины Хабаровск")</f>
        <v>- Практика Тишины Хабаровск</v>
      </c>
      <c r="G1472" s="14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</row>
    <row r="1473" spans="1:26" ht="25.5">
      <c r="A1473" s="14" t="str">
        <f ca="1">IFERROR(__xludf.DUMMYFUNCTION("""COMPUTED_VALUE"""),"Шаира Ниёзова")</f>
        <v>Шаира Ниёзова</v>
      </c>
      <c r="B1473" s="14" t="str">
        <f ca="1">IFERROR(__xludf.DUMMYFUNCTION("""COMPUTED_VALUE"""),"Niyizova.shaira318@gmail.com")</f>
        <v>Niyizova.shaira318@gmail.com</v>
      </c>
      <c r="C1473" s="15" t="str">
        <f ca="1">IFERROR(__xludf.DUMMYFUNCTION("""COMPUTED_VALUE"""),"998909013123")</f>
        <v>998909013123</v>
      </c>
      <c r="D1473" s="15"/>
      <c r="E1473" s="14"/>
      <c r="F147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473" s="14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</row>
    <row r="1474" spans="1:26" ht="14.25">
      <c r="A1474" s="14" t="str">
        <f ca="1">IFERROR(__xludf.DUMMYFUNCTION("""COMPUTED_VALUE"""),"Наталья Iz")</f>
        <v>Наталья Iz</v>
      </c>
      <c r="B1474" s="14" t="str">
        <f ca="1">IFERROR(__xludf.DUMMYFUNCTION("""COMPUTED_VALUE"""),"nizyumova@gmail.com")</f>
        <v>nizyumova@gmail.com</v>
      </c>
      <c r="C1474" s="15"/>
      <c r="D1474" s="15" t="str">
        <f ca="1">IFERROR(__xludf.DUMMYFUNCTION("""COMPUTED_VALUE"""),"Финляндия")</f>
        <v>Финляндия</v>
      </c>
      <c r="E1474" s="14"/>
      <c r="F1474" s="8" t="str">
        <f ca="1">IFERROR(__xludf.DUMMYFUNCTION("""COMPUTED_VALUE"""),"Мероприятий не обнаружено")</f>
        <v>Мероприятий не обнаружено</v>
      </c>
      <c r="G1474" s="14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</row>
    <row r="1475" spans="1:26" ht="14.25">
      <c r="A1475" s="14" t="str">
        <f ca="1">IFERROR(__xludf.DUMMYFUNCTION("""COMPUTED_VALUE"""),"nataliia smith-klymentiieva")</f>
        <v>nataliia smith-klymentiieva</v>
      </c>
      <c r="B1475" s="14" t="str">
        <f ca="1">IFERROR(__xludf.DUMMYFUNCTION("""COMPUTED_VALUE"""),"nklymentina@gmail.com")</f>
        <v>nklymentina@gmail.com</v>
      </c>
      <c r="C1475" s="15" t="str">
        <f ca="1">IFERROR(__xludf.DUMMYFUNCTION("""COMPUTED_VALUE"""),"79257556776")</f>
        <v>79257556776</v>
      </c>
      <c r="D1475" s="15" t="str">
        <f ca="1">IFERROR(__xludf.DUMMYFUNCTION("""COMPUTED_VALUE"""),"United States")</f>
        <v>United States</v>
      </c>
      <c r="E1475" s="14"/>
      <c r="F1475" s="8" t="str">
        <f ca="1">IFERROR(__xludf.DUMMYFUNCTION("""COMPUTED_VALUE"""),"- USA Челлендж Тишина")</f>
        <v>- USA Челлендж Тишина</v>
      </c>
      <c r="G1475" s="14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</row>
    <row r="1476" spans="1:26" ht="14.25">
      <c r="A1476" s="14" t="str">
        <f ca="1">IFERROR(__xludf.DUMMYFUNCTION("""COMPUTED_VALUE"""),"nomadexpress96,  ")</f>
        <v xml:space="preserve">nomadexpress96,  </v>
      </c>
      <c r="B1476" s="14" t="str">
        <f ca="1">IFERROR(__xludf.DUMMYFUNCTION("""COMPUTED_VALUE"""),"nomadexpress96@gmail.com")</f>
        <v>nomadexpress96@gmail.com</v>
      </c>
      <c r="C1476" s="15"/>
      <c r="D1476" s="15"/>
      <c r="E1476" s="14"/>
      <c r="F1476" s="8" t="str">
        <f ca="1">IFERROR(__xludf.DUMMYFUNCTION("""COMPUTED_VALUE"""),"- USA Челлендж Тишина")</f>
        <v>- USA Челлендж Тишина</v>
      </c>
      <c r="G1476" s="14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</row>
    <row r="1477" spans="1:26" ht="25.5">
      <c r="A1477" s="14" t="str">
        <f ca="1">IFERROR(__xludf.DUMMYFUNCTION("""COMPUTED_VALUE"""),"Лайли Норбутаева")</f>
        <v>Лайли Норбутаева</v>
      </c>
      <c r="B1477" s="14" t="str">
        <f ca="1">IFERROR(__xludf.DUMMYFUNCTION("""COMPUTED_VALUE"""),"norbutaevalayli@gmail.com")</f>
        <v>norbutaevalayli@gmail.com</v>
      </c>
      <c r="C1477" s="15" t="str">
        <f ca="1">IFERROR(__xludf.DUMMYFUNCTION("""COMPUTED_VALUE"""),"909971429")</f>
        <v>909971429</v>
      </c>
      <c r="D1477" s="15"/>
      <c r="E1477" s="14"/>
      <c r="F147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477" s="14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</row>
    <row r="1478" spans="1:26" ht="14.25">
      <c r="A1478" s="14" t="str">
        <f ca="1">IFERROR(__xludf.DUMMYFUNCTION("""COMPUTED_VALUE"""),"Хафиза Наркучкарова")</f>
        <v>Хафиза Наркучкарова</v>
      </c>
      <c r="B1478" s="14" t="str">
        <f ca="1">IFERROR(__xludf.DUMMYFUNCTION("""COMPUTED_VALUE"""),"norkuchkarovakhafiza@gmail.com")</f>
        <v>norkuchkarovakhafiza@gmail.com</v>
      </c>
      <c r="C1478" s="15" t="str">
        <f ca="1">IFERROR(__xludf.DUMMYFUNCTION("""COMPUTED_VALUE"""),", 998946393576")</f>
        <v>, 998946393576</v>
      </c>
      <c r="D1478" s="15"/>
      <c r="E1478" s="14"/>
      <c r="F1478" s="8" t="str">
        <f ca="1">IFERROR(__xludf.DUMMYFUNCTION("""COMPUTED_VALUE"""),"Мероприятий не обнаружено")</f>
        <v>Мероприятий не обнаружено</v>
      </c>
      <c r="G1478" s="14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</row>
    <row r="1479" spans="1:26" ht="14.25">
      <c r="A1479" s="14" t="str">
        <f ca="1">IFERROR(__xludf.DUMMYFUNCTION("""COMPUTED_VALUE"""),"Oksana Nosenko")</f>
        <v>Oksana Nosenko</v>
      </c>
      <c r="B1479" s="14" t="str">
        <f ca="1">IFERROR(__xludf.DUMMYFUNCTION("""COMPUTED_VALUE"""),"Nosenko0269@mail.ru")</f>
        <v>Nosenko0269@mail.ru</v>
      </c>
      <c r="C1479" s="15" t="str">
        <f ca="1">IFERROR(__xludf.DUMMYFUNCTION("""COMPUTED_VALUE"""),"380933357778")</f>
        <v>380933357778</v>
      </c>
      <c r="D1479" s="15" t="str">
        <f ca="1">IFERROR(__xludf.DUMMYFUNCTION("""COMPUTED_VALUE"""),"США")</f>
        <v>США</v>
      </c>
      <c r="E1479" s="14"/>
      <c r="F1479" s="8" t="str">
        <f ca="1">IFERROR(__xludf.DUMMYFUNCTION("""COMPUTED_VALUE"""),"- Вебинар все о ретрите 12.2.2022")</f>
        <v>- Вебинар все о ретрите 12.2.2022</v>
      </c>
      <c r="G1479" s="14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</row>
    <row r="1480" spans="1:26" ht="14.25">
      <c r="A1480" s="14" t="str">
        <f ca="1">IFERROR(__xludf.DUMMYFUNCTION("""COMPUTED_VALUE"""),"Юлия Новожидлва")</f>
        <v>Юлия Новожидлва</v>
      </c>
      <c r="B1480" s="14" t="str">
        <f ca="1">IFERROR(__xludf.DUMMYFUNCTION("""COMPUTED_VALUE"""),"novozidlvaulia@gmail.com")</f>
        <v>novozidlvaulia@gmail.com</v>
      </c>
      <c r="C1480" s="15" t="str">
        <f ca="1">IFERROR(__xludf.DUMMYFUNCTION("""COMPUTED_VALUE"""),"79671939811")</f>
        <v>79671939811</v>
      </c>
      <c r="D1480" s="15" t="str">
        <f ca="1">IFERROR(__xludf.DUMMYFUNCTION("""COMPUTED_VALUE"""),"Россия")</f>
        <v>Россия</v>
      </c>
      <c r="E1480" s="14"/>
      <c r="F1480" s="8" t="str">
        <f ca="1">IFERROR(__xludf.DUMMYFUNCTION("""COMPUTED_VALUE"""),"- Тишина Челлендж (бесплатная часть)")</f>
        <v>- Тишина Челлендж (бесплатная часть)</v>
      </c>
      <c r="G1480" s="14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</row>
    <row r="1481" spans="1:26" ht="25.5">
      <c r="A1481" s="14" t="str">
        <f ca="1">IFERROR(__xludf.DUMMYFUNCTION("""COMPUTED_VALUE"""),"Назокат Мамадалиева")</f>
        <v>Назокат Мамадалиева</v>
      </c>
      <c r="B1481" s="14" t="str">
        <f ca="1">IFERROR(__xludf.DUMMYFUNCTION("""COMPUTED_VALUE"""),"nozi_1594@mail.ru")</f>
        <v>nozi_1594@mail.ru</v>
      </c>
      <c r="C1481" s="15" t="str">
        <f ca="1">IFERROR(__xludf.DUMMYFUNCTION("""COMPUTED_VALUE"""),"+998971710617")</f>
        <v>+998971710617</v>
      </c>
      <c r="D1481" s="15"/>
      <c r="E1481" s="14"/>
      <c r="F148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481" s="14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</row>
    <row r="1482" spans="1:26" ht="25.5">
      <c r="A1482" s="14" t="str">
        <f ca="1">IFERROR(__xludf.DUMMYFUNCTION("""COMPUTED_VALUE"""),"Nozigul Anxel")</f>
        <v>Nozigul Anxel</v>
      </c>
      <c r="B1482" s="14" t="str">
        <f ca="1">IFERROR(__xludf.DUMMYFUNCTION("""COMPUTED_VALUE"""),"nozigulsafarova056@gmail.com")</f>
        <v>nozigulsafarova056@gmail.com</v>
      </c>
      <c r="C1482" s="15" t="str">
        <f ca="1">IFERROR(__xludf.DUMMYFUNCTION("""COMPUTED_VALUE"""),"998933175838")</f>
        <v>998933175838</v>
      </c>
      <c r="D1482" s="15"/>
      <c r="E1482" s="14"/>
      <c r="F148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482" s="14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</row>
    <row r="1483" spans="1:26" ht="25.5">
      <c r="A1483" s="14" t="str">
        <f ca="1">IFERROR(__xludf.DUMMYFUNCTION("""COMPUTED_VALUE"""),"Шахноза Якупова")</f>
        <v>Шахноза Якупова</v>
      </c>
      <c r="B1483" s="14" t="str">
        <f ca="1">IFERROR(__xludf.DUMMYFUNCTION("""COMPUTED_VALUE"""),"noziksermatova@gmail.com")</f>
        <v>noziksermatova@gmail.com</v>
      </c>
      <c r="C1483" s="15" t="str">
        <f ca="1">IFERROR(__xludf.DUMMYFUNCTION("""COMPUTED_VALUE"""),"998990400163")</f>
        <v>998990400163</v>
      </c>
      <c r="D1483" s="15"/>
      <c r="E1483" s="14"/>
      <c r="F148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483" s="14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</row>
    <row r="1484" spans="1:26" ht="14.25">
      <c r="A1484" s="14" t="str">
        <f ca="1">IFERROR(__xludf.DUMMYFUNCTION("""COMPUTED_VALUE"""),"np8881,  ")</f>
        <v xml:space="preserve">np8881,  </v>
      </c>
      <c r="B1484" s="14" t="str">
        <f ca="1">IFERROR(__xludf.DUMMYFUNCTION("""COMPUTED_VALUE"""),"np8881@rambler.ru")</f>
        <v>np8881@rambler.ru</v>
      </c>
      <c r="C1484" s="15"/>
      <c r="D1484" s="15"/>
      <c r="E1484" s="14"/>
      <c r="F1484" s="8" t="str">
        <f ca="1">IFERROR(__xludf.DUMMYFUNCTION("""COMPUTED_VALUE"""),"- USA Челлендж Тишина")</f>
        <v>- USA Челлендж Тишина</v>
      </c>
      <c r="G1484" s="14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</row>
    <row r="1485" spans="1:26" ht="14.25">
      <c r="A1485" s="14" t="str">
        <f ca="1">IFERROR(__xludf.DUMMYFUNCTION("""COMPUTED_VALUE"""),"npv_mis,  ")</f>
        <v xml:space="preserve">npv_mis,  </v>
      </c>
      <c r="B1485" s="14" t="str">
        <f ca="1">IFERROR(__xludf.DUMMYFUNCTION("""COMPUTED_VALUE"""),"npv_mis@mail.ru")</f>
        <v>npv_mis@mail.ru</v>
      </c>
      <c r="C1485" s="15"/>
      <c r="D1485" s="15"/>
      <c r="E1485" s="14"/>
      <c r="F1485" s="8" t="str">
        <f ca="1">IFERROR(__xludf.DUMMYFUNCTION("""COMPUTED_VALUE"""),"- USA Челлендж Тишина")</f>
        <v>- USA Челлендж Тишина</v>
      </c>
      <c r="G1485" s="14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</row>
    <row r="1486" spans="1:26" ht="25.5">
      <c r="A1486" s="14" t="str">
        <f ca="1">IFERROR(__xludf.DUMMYFUNCTION("""COMPUTED_VALUE"""),"Назокат Рахмонбердиева")</f>
        <v>Назокат Рахмонбердиева</v>
      </c>
      <c r="B1486" s="14" t="str">
        <f ca="1">IFERROR(__xludf.DUMMYFUNCTION("""COMPUTED_VALUE"""),"nrakhmonberdiyeva@mail.ru")</f>
        <v>nrakhmonberdiyeva@mail.ru</v>
      </c>
      <c r="C1486" s="15" t="str">
        <f ca="1">IFERROR(__xludf.DUMMYFUNCTION("""COMPUTED_VALUE"""),"+998909262718")</f>
        <v>+998909262718</v>
      </c>
      <c r="D1486" s="15"/>
      <c r="E1486" s="14"/>
      <c r="F148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486" s="14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</row>
    <row r="1487" spans="1:26" ht="25.5">
      <c r="A1487" s="14" t="str">
        <f ca="1">IFERROR(__xludf.DUMMYFUNCTION("""COMPUTED_VALUE"""),"Шоира Нигматуллаева")</f>
        <v>Шоира Нигматуллаева</v>
      </c>
      <c r="B1487" s="14" t="str">
        <f ca="1">IFERROR(__xludf.DUMMYFUNCTION("""COMPUTED_VALUE"""),"nshoira@mail.ru")</f>
        <v>nshoira@mail.ru</v>
      </c>
      <c r="C1487" s="15" t="str">
        <f ca="1">IFERROR(__xludf.DUMMYFUNCTION("""COMPUTED_VALUE"""),"971506943839")</f>
        <v>971506943839</v>
      </c>
      <c r="D1487" s="15"/>
      <c r="E1487" s="14"/>
      <c r="F148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487" s="14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</row>
    <row r="1488" spans="1:26" ht="14.25">
      <c r="A1488" s="14" t="str">
        <f ca="1">IFERROR(__xludf.DUMMYFUNCTION("""COMPUTED_VALUE"""),"Шоира Нигматуллаева")</f>
        <v>Шоира Нигматуллаева</v>
      </c>
      <c r="B1488" s="14" t="str">
        <f ca="1">IFERROR(__xludf.DUMMYFUNCTION("""COMPUTED_VALUE"""),"nshoura@mail.ru")</f>
        <v>nshoura@mail.ru</v>
      </c>
      <c r="C1488" s="15" t="str">
        <f ca="1">IFERROR(__xludf.DUMMYFUNCTION("""COMPUTED_VALUE"""),", 0506943839")</f>
        <v>, 0506943839</v>
      </c>
      <c r="D1488" s="15"/>
      <c r="E1488" s="14"/>
      <c r="F1488" s="8" t="str">
        <f ca="1">IFERROR(__xludf.DUMMYFUNCTION("""COMPUTED_VALUE"""),"Мероприятий не обнаружено")</f>
        <v>Мероприятий не обнаружено</v>
      </c>
      <c r="G1488" s="14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</row>
    <row r="1489" spans="1:26" ht="25.5">
      <c r="A1489" s="14" t="str">
        <f ca="1">IFERROR(__xludf.DUMMYFUNCTION("""COMPUTED_VALUE"""),"Вячеслав Тимофеев")</f>
        <v>Вячеслав Тимофеев</v>
      </c>
      <c r="B1489" s="14" t="str">
        <f ca="1">IFERROR(__xludf.DUMMYFUNCTION("""COMPUTED_VALUE"""),"nsk54tim@gmail.com")</f>
        <v>nsk54tim@gmail.com</v>
      </c>
      <c r="C1489" s="15" t="str">
        <f ca="1">IFERROR(__xludf.DUMMYFUNCTION("""COMPUTED_VALUE"""),"+79138137334")</f>
        <v>+79138137334</v>
      </c>
      <c r="D1489" s="15" t="str">
        <f ca="1">IFERROR(__xludf.DUMMYFUNCTION("""COMPUTED_VALUE"""),"Россия")</f>
        <v>Россия</v>
      </c>
      <c r="E1489" s="14"/>
      <c r="F1489" s="8" t="str">
        <f ca="1">IFERROR(__xludf.DUMMYFUNCTION("""COMPUTED_VALUE"""),"- Вебинар с Никитой Бородулиным 11.02.2022 часть1
- Вебинар все о ретрите 12.2.2022")</f>
        <v>- Вебинар с Никитой Бородулиным 11.02.2022 часть1
- Вебинар все о ретрите 12.2.2022</v>
      </c>
      <c r="G1489" s="14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</row>
    <row r="1490" spans="1:26" ht="14.25">
      <c r="A1490" s="14" t="str">
        <f ca="1">IFERROR(__xludf.DUMMYFUNCTION("""COMPUTED_VALUE"""),"Наталья Тарасова")</f>
        <v>Наталья Тарасова</v>
      </c>
      <c r="B1490" s="14" t="str">
        <f ca="1">IFERROR(__xludf.DUMMYFUNCTION("""COMPUTED_VALUE"""),"nstrokatova@mail.ru")</f>
        <v>nstrokatova@mail.ru</v>
      </c>
      <c r="C1490" s="15" t="str">
        <f ca="1">IFERROR(__xludf.DUMMYFUNCTION("""COMPUTED_VALUE"""),"+201123582026")</f>
        <v>+201123582026</v>
      </c>
      <c r="D1490" s="15" t="str">
        <f ca="1">IFERROR(__xludf.DUMMYFUNCTION("""COMPUTED_VALUE"""),"Египет")</f>
        <v>Египет</v>
      </c>
      <c r="E1490" s="14"/>
      <c r="F1490" s="8" t="str">
        <f ca="1">IFERROR(__xludf.DUMMYFUNCTION("""COMPUTED_VALUE"""),"- Клуб пробуждения Друзья (2 уровень) - 1 месяц")</f>
        <v>- Клуб пробуждения Друзья (2 уровень) - 1 месяц</v>
      </c>
      <c r="G1490" s="14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</row>
    <row r="1491" spans="1:26" ht="14.25">
      <c r="A1491" s="14" t="str">
        <f ca="1">IFERROR(__xludf.DUMMYFUNCTION("""COMPUTED_VALUE"""),"Наталья Талалаева")</f>
        <v>Наталья Талалаева</v>
      </c>
      <c r="B1491" s="14" t="str">
        <f ca="1">IFERROR(__xludf.DUMMYFUNCTION("""COMPUTED_VALUE"""),"ntalalaeva@gmail.com")</f>
        <v>ntalalaeva@gmail.com</v>
      </c>
      <c r="C1491" s="15" t="str">
        <f ca="1">IFERROR(__xludf.DUMMYFUNCTION("""COMPUTED_VALUE"""),"79137853875")</f>
        <v>79137853875</v>
      </c>
      <c r="D1491" s="15"/>
      <c r="E1491" s="14"/>
      <c r="F1491" s="8" t="str">
        <f ca="1">IFERROR(__xludf.DUMMYFUNCTION("""COMPUTED_VALUE"""),"- Тишина Челлендж (бесплатная часть)")</f>
        <v>- Тишина Челлендж (бесплатная часть)</v>
      </c>
      <c r="G1491" s="14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</row>
    <row r="1492" spans="1:26" ht="25.5">
      <c r="A1492" s="14" t="str">
        <f ca="1">IFERROR(__xludf.DUMMYFUNCTION("""COMPUTED_VALUE"""),"Екатерина Балашов")</f>
        <v>Екатерина Балашов</v>
      </c>
      <c r="B1492" s="14" t="str">
        <f ca="1">IFERROR(__xludf.DUMMYFUNCTION("""COMPUTED_VALUE"""),"nufarm14@gmail.com")</f>
        <v>nufarm14@gmail.com</v>
      </c>
      <c r="C1492" s="15" t="str">
        <f ca="1">IFERROR(__xludf.DUMMYFUNCTION("""COMPUTED_VALUE"""),"434664824510")</f>
        <v>434664824510</v>
      </c>
      <c r="D1492" s="15" t="str">
        <f ca="1">IFERROR(__xludf.DUMMYFUNCTION("""COMPUTED_VALUE"""),"Испания")</f>
        <v>Испания</v>
      </c>
      <c r="E1492" s="14"/>
      <c r="F1492" s="8" t="str">
        <f ca="1">IFERROR(__xludf.DUMMYFUNCTION("""COMPUTED_VALUE"""),"- Вебинар все о ретрите 12.2.2022
- Тишина Челлендж (бесплатная часть)")</f>
        <v>- Вебинар все о ретрите 12.2.2022
- Тишина Челлендж (бесплатная часть)</v>
      </c>
      <c r="G1492" s="14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</row>
    <row r="1493" spans="1:26" ht="14.25">
      <c r="A1493" s="14" t="str">
        <f ca="1">IFERROR(__xludf.DUMMYFUNCTION("""COMPUTED_VALUE"""),"Наталья Коробейникова")</f>
        <v>Наталья Коробейникова</v>
      </c>
      <c r="B1493" s="14" t="str">
        <f ca="1">IFERROR(__xludf.DUMMYFUNCTION("""COMPUTED_VALUE"""),"nukorob@yandex.ru")</f>
        <v>nukorob@yandex.ru</v>
      </c>
      <c r="C1493" s="15" t="str">
        <f ca="1">IFERROR(__xludf.DUMMYFUNCTION("""COMPUTED_VALUE"""),"79869205039")</f>
        <v>79869205039</v>
      </c>
      <c r="D1493" s="15" t="str">
        <f ca="1">IFERROR(__xludf.DUMMYFUNCTION("""COMPUTED_VALUE"""),"Россия")</f>
        <v>Россия</v>
      </c>
      <c r="E1493" s="14"/>
      <c r="F1493" s="8" t="str">
        <f ca="1">IFERROR(__xludf.DUMMYFUNCTION("""COMPUTED_VALUE"""),"- Медитация без стереотипов")</f>
        <v>- Медитация без стереотипов</v>
      </c>
      <c r="G1493" s="14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</row>
    <row r="1494" spans="1:26" ht="25.5">
      <c r="A1494" s="14" t="str">
        <f ca="1">IFERROR(__xludf.DUMMYFUNCTION("""COMPUTED_VALUE"""),"Нурбол Кадыр")</f>
        <v>Нурбол Кадыр</v>
      </c>
      <c r="B1494" s="14" t="str">
        <f ca="1">IFERROR(__xludf.DUMMYFUNCTION("""COMPUTED_VALUE"""),"Nurbol.kiier@mail.ru")</f>
        <v>Nurbol.kiier@mail.ru</v>
      </c>
      <c r="C1494" s="15" t="str">
        <f ca="1">IFERROR(__xludf.DUMMYFUNCTION("""COMPUTED_VALUE"""),"87475650768")</f>
        <v>87475650768</v>
      </c>
      <c r="D1494" s="15"/>
      <c r="E1494" s="14"/>
      <c r="F149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494" s="14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</row>
    <row r="1495" spans="1:26" ht="25.5">
      <c r="A1495" s="14" t="str">
        <f ca="1">IFERROR(__xludf.DUMMYFUNCTION("""COMPUTED_VALUE"""),"Нургуль Омарова")</f>
        <v>Нургуль Омарова</v>
      </c>
      <c r="B1495" s="14" t="str">
        <f ca="1">IFERROR(__xludf.DUMMYFUNCTION("""COMPUTED_VALUE"""),"nurgulek60376@mail.ru")</f>
        <v>nurgulek60376@mail.ru</v>
      </c>
      <c r="C1495" s="15" t="str">
        <f ca="1">IFERROR(__xludf.DUMMYFUNCTION("""COMPUTED_VALUE"""),"87089880158")</f>
        <v>87089880158</v>
      </c>
      <c r="D1495" s="15"/>
      <c r="E1495" s="14"/>
      <c r="F149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495" s="14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</row>
    <row r="1496" spans="1:26" ht="25.5">
      <c r="A1496" s="14" t="str">
        <f ca="1">IFERROR(__xludf.DUMMYFUNCTION("""COMPUTED_VALUE"""),"Нургуль Нармагамбетова")</f>
        <v>Нургуль Нармагамбетова</v>
      </c>
      <c r="B1496" s="14" t="str">
        <f ca="1">IFERROR(__xludf.DUMMYFUNCTION("""COMPUTED_VALUE"""),"nurgulghan@gmail.com")</f>
        <v>nurgulghan@gmail.com</v>
      </c>
      <c r="C1496" s="15" t="str">
        <f ca="1">IFERROR(__xludf.DUMMYFUNCTION("""COMPUTED_VALUE"""),"+77023494249")</f>
        <v>+77023494249</v>
      </c>
      <c r="D1496" s="15"/>
      <c r="E1496" s="14"/>
      <c r="F149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496" s="14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</row>
    <row r="1497" spans="1:26" ht="25.5">
      <c r="A1497" s="14" t="str">
        <f ca="1">IFERROR(__xludf.DUMMYFUNCTION("""COMPUTED_VALUE"""),"Нурия Ахмедова")</f>
        <v>Нурия Ахмедова</v>
      </c>
      <c r="B1497" s="14" t="str">
        <f ca="1">IFERROR(__xludf.DUMMYFUNCTION("""COMPUTED_VALUE"""),"nuri-79-ja@mail.ru")</f>
        <v>nuri-79-ja@mail.ru</v>
      </c>
      <c r="C1497" s="15" t="str">
        <f ca="1">IFERROR(__xludf.DUMMYFUNCTION("""COMPUTED_VALUE"""),"87476743927")</f>
        <v>87476743927</v>
      </c>
      <c r="D1497" s="15"/>
      <c r="E1497" s="14"/>
      <c r="F149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497" s="14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</row>
    <row r="1498" spans="1:26" ht="25.5">
      <c r="A1498" s="14" t="str">
        <f ca="1">IFERROR(__xludf.DUMMYFUNCTION("""COMPUTED_VALUE"""),"Нурика Темирбулатова")</f>
        <v>Нурика Темирбулатова</v>
      </c>
      <c r="B1498" s="14" t="str">
        <f ca="1">IFERROR(__xludf.DUMMYFUNCTION("""COMPUTED_VALUE"""),"Nurika_kz@mail.ru")</f>
        <v>Nurika_kz@mail.ru</v>
      </c>
      <c r="C1498" s="15" t="str">
        <f ca="1">IFERROR(__xludf.DUMMYFUNCTION("""COMPUTED_VALUE"""),"87472411174")</f>
        <v>87472411174</v>
      </c>
      <c r="D1498" s="15"/>
      <c r="E1498" s="14"/>
      <c r="F149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498" s="14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</row>
    <row r="1499" spans="1:26" ht="14.25">
      <c r="A1499" s="14" t="str">
        <f ca="1">IFERROR(__xludf.DUMMYFUNCTION("""COMPUTED_VALUE"""),"Надежда Шулепина")</f>
        <v>Надежда Шулепина</v>
      </c>
      <c r="B1499" s="14" t="str">
        <f ca="1">IFERROR(__xludf.DUMMYFUNCTION("""COMPUTED_VALUE"""),"nv.shulepina@yandex.ru")</f>
        <v>nv.shulepina@yandex.ru</v>
      </c>
      <c r="C1499" s="15"/>
      <c r="D1499" s="15" t="str">
        <f ca="1">IFERROR(__xludf.DUMMYFUNCTION("""COMPUTED_VALUE"""),"Россия")</f>
        <v>Россия</v>
      </c>
      <c r="E1499" s="14"/>
      <c r="F1499" s="8" t="str">
        <f ca="1">IFERROR(__xludf.DUMMYFUNCTION("""COMPUTED_VALUE"""),"- Тишина Челлендж (бесплатная часть)")</f>
        <v>- Тишина Челлендж (бесплатная часть)</v>
      </c>
      <c r="G1499" s="14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</row>
    <row r="1500" spans="1:26" ht="14.25">
      <c r="A1500" s="14" t="str">
        <f ca="1">IFERROR(__xludf.DUMMYFUNCTION("""COMPUTED_VALUE"""),"Елена Рожкова")</f>
        <v>Елена Рожкова</v>
      </c>
      <c r="B1500" s="14" t="str">
        <f ca="1">IFERROR(__xludf.DUMMYFUNCTION("""COMPUTED_VALUE"""),"nykis@mail.ru")</f>
        <v>nykis@mail.ru</v>
      </c>
      <c r="C1500" s="15" t="str">
        <f ca="1">IFERROR(__xludf.DUMMYFUNCTION("""COMPUTED_VALUE"""),"79514104048")</f>
        <v>79514104048</v>
      </c>
      <c r="D1500" s="15" t="str">
        <f ca="1">IFERROR(__xludf.DUMMYFUNCTION("""COMPUTED_VALUE"""),"Россия")</f>
        <v>Россия</v>
      </c>
      <c r="E1500" s="14"/>
      <c r="F1500" s="8" t="str">
        <f ca="1">IFERROR(__xludf.DUMMYFUNCTION("""COMPUTED_VALUE"""),"- Тишина Челлендж (бесплатная часть)")</f>
        <v>- Тишина Челлендж (бесплатная часть)</v>
      </c>
      <c r="G1500" s="14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</row>
    <row r="1501" spans="1:26" ht="25.5">
      <c r="A1501" s="14" t="str">
        <f ca="1">IFERROR(__xludf.DUMMYFUNCTION("""COMPUTED_VALUE"""),"Нургуль Нургуля")</f>
        <v>Нургуль Нургуля</v>
      </c>
      <c r="B1501" s="14" t="str">
        <f ca="1">IFERROR(__xludf.DUMMYFUNCTION("""COMPUTED_VALUE"""),"nzhakiyanova@inbox.ru")</f>
        <v>nzhakiyanova@inbox.ru</v>
      </c>
      <c r="C1501" s="15" t="str">
        <f ca="1">IFERROR(__xludf.DUMMYFUNCTION("""COMPUTED_VALUE"""),"87059707737")</f>
        <v>87059707737</v>
      </c>
      <c r="D1501" s="15" t="str">
        <f ca="1">IFERROR(__xludf.DUMMYFUNCTION("""COMPUTED_VALUE"""),"Казахстан")</f>
        <v>Казахстан</v>
      </c>
      <c r="E1501" s="14"/>
      <c r="F150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501" s="14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</row>
    <row r="1502" spans="1:26" ht="25.5">
      <c r="A1502" s="14" t="str">
        <f ca="1">IFERROR(__xludf.DUMMYFUNCTION("""COMPUTED_VALUE"""),"Ольга Багданова")</f>
        <v>Ольга Багданова</v>
      </c>
      <c r="B1502" s="14" t="str">
        <f ca="1">IFERROR(__xludf.DUMMYFUNCTION("""COMPUTED_VALUE"""),"o-la-la13@mail.ru")</f>
        <v>o-la-la13@mail.ru</v>
      </c>
      <c r="C1502" s="15" t="str">
        <f ca="1">IFERROR(__xludf.DUMMYFUNCTION("""COMPUTED_VALUE"""),"+998935899063")</f>
        <v>+998935899063</v>
      </c>
      <c r="D1502" s="15"/>
      <c r="E1502" s="14"/>
      <c r="F150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502" s="14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</row>
    <row r="1503" spans="1:26" ht="14.25">
      <c r="A1503" s="14" t="str">
        <f ca="1">IFERROR(__xludf.DUMMYFUNCTION("""COMPUTED_VALUE"""),"o.akoma111,  ")</f>
        <v xml:space="preserve">o.akoma111,  </v>
      </c>
      <c r="B1503" s="14" t="str">
        <f ca="1">IFERROR(__xludf.DUMMYFUNCTION("""COMPUTED_VALUE"""),"o.akoma111@gmail.com")</f>
        <v>o.akoma111@gmail.com</v>
      </c>
      <c r="C1503" s="15"/>
      <c r="D1503" s="15"/>
      <c r="E1503" s="14"/>
      <c r="F1503" s="8" t="str">
        <f ca="1">IFERROR(__xludf.DUMMYFUNCTION("""COMPUTED_VALUE"""),"- USA Челлендж Тишина")</f>
        <v>- USA Челлендж Тишина</v>
      </c>
      <c r="G1503" s="14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</row>
    <row r="1504" spans="1:26" ht="14.25">
      <c r="A1504" s="14" t="str">
        <f ca="1">IFERROR(__xludf.DUMMYFUNCTION("""COMPUTED_VALUE"""),"Ольга  Дущенко, Ольга Дущенко")</f>
        <v>Ольга  Дущенко, Ольга Дущенко</v>
      </c>
      <c r="B1504" s="14" t="str">
        <f ca="1">IFERROR(__xludf.DUMMYFUNCTION("""COMPUTED_VALUE"""),"o.duschenko@yandex.ru")</f>
        <v>o.duschenko@yandex.ru</v>
      </c>
      <c r="C1504" s="15" t="str">
        <f ca="1">IFERROR(__xludf.DUMMYFUNCTION("""COMPUTED_VALUE"""),"79167792575")</f>
        <v>79167792575</v>
      </c>
      <c r="D1504" s="15" t="str">
        <f ca="1">IFERROR(__xludf.DUMMYFUNCTION("""COMPUTED_VALUE"""),"Россия")</f>
        <v>Россия</v>
      </c>
      <c r="E1504" s="14"/>
      <c r="F1504" s="8" t="str">
        <f ca="1">IFERROR(__xludf.DUMMYFUNCTION("""COMPUTED_VALUE"""),"- Тишина Челлендж (бесплатная часть)")</f>
        <v>- Тишина Челлендж (бесплатная часть)</v>
      </c>
      <c r="G1504" s="14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</row>
    <row r="1505" spans="1:26" ht="25.5">
      <c r="A1505" s="14" t="str">
        <f ca="1">IFERROR(__xludf.DUMMYFUNCTION("""COMPUTED_VALUE"""),"Oleg Hajcenko")</f>
        <v>Oleg Hajcenko</v>
      </c>
      <c r="B1505" s="14" t="str">
        <f ca="1">IFERROR(__xludf.DUMMYFUNCTION("""COMPUTED_VALUE"""),"o.hajcenko@gmail.com")</f>
        <v>o.hajcenko@gmail.com</v>
      </c>
      <c r="C1505" s="15" t="str">
        <f ca="1">IFERROR(__xludf.DUMMYFUNCTION("""COMPUTED_VALUE"""),"+4915159425011")</f>
        <v>+4915159425011</v>
      </c>
      <c r="D1505" s="15" t="str">
        <f ca="1">IFERROR(__xludf.DUMMYFUNCTION("""COMPUTED_VALUE"""),"Германия")</f>
        <v>Германия</v>
      </c>
      <c r="E1505" s="14"/>
      <c r="F1505" s="8" t="str">
        <f ca="1">IFERROR(__xludf.DUMMYFUNCTION("""COMPUTED_VALUE"""),"- Онлайн курс Шаг к Пробуждению №16 26.2-5.3.22 Пакет стандартный")</f>
        <v>- Онлайн курс Шаг к Пробуждению №16 26.2-5.3.22 Пакет стандартный</v>
      </c>
      <c r="G1505" s="14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</row>
    <row r="1506" spans="1:26" ht="14.25">
      <c r="A1506" s="14" t="str">
        <f ca="1">IFERROR(__xludf.DUMMYFUNCTION("""COMPUTED_VALUE"""),"Ольга Кудаленкина")</f>
        <v>Ольга Кудаленкина</v>
      </c>
      <c r="B1506" s="14" t="str">
        <f ca="1">IFERROR(__xludf.DUMMYFUNCTION("""COMPUTED_VALUE"""),"o.kudalenkina@gmail.com")</f>
        <v>o.kudalenkina@gmail.com</v>
      </c>
      <c r="C1506" s="15" t="str">
        <f ca="1">IFERROR(__xludf.DUMMYFUNCTION("""COMPUTED_VALUE"""),"+375297712441")</f>
        <v>+375297712441</v>
      </c>
      <c r="D1506" s="15" t="str">
        <f ca="1">IFERROR(__xludf.DUMMYFUNCTION("""COMPUTED_VALUE"""),"США")</f>
        <v>США</v>
      </c>
      <c r="E1506" s="14"/>
      <c r="F1506" s="8" t="str">
        <f ca="1">IFERROR(__xludf.DUMMYFUNCTION("""COMPUTED_VALUE"""),"- Йога тишины 28 марта 2022 Минск")</f>
        <v>- Йога тишины 28 марта 2022 Минск</v>
      </c>
      <c r="G1506" s="14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</row>
    <row r="1507" spans="1:26" ht="25.5">
      <c r="A1507" s="14" t="str">
        <f ca="1">IFERROR(__xludf.DUMMYFUNCTION("""COMPUTED_VALUE"""),"Olga Rodionova")</f>
        <v>Olga Rodionova</v>
      </c>
      <c r="B1507" s="14" t="str">
        <f ca="1">IFERROR(__xludf.DUMMYFUNCTION("""COMPUTED_VALUE"""),"o.rodionova@me.com")</f>
        <v>o.rodionova@me.com</v>
      </c>
      <c r="C1507" s="15" t="str">
        <f ca="1">IFERROR(__xludf.DUMMYFUNCTION("""COMPUTED_VALUE"""),"+972549308036")</f>
        <v>+972549308036</v>
      </c>
      <c r="D1507" s="15" t="str">
        <f ca="1">IFERROR(__xludf.DUMMYFUNCTION("""COMPUTED_VALUE"""),"США")</f>
        <v>США</v>
      </c>
      <c r="E1507" s="14"/>
      <c r="F1507" s="8" t="str">
        <f ca="1">IFERROR(__xludf.DUMMYFUNCTION("""COMPUTED_VALUE"""),"- Онлайн курс Шаг к Пробуждению №16 26.2-5.3.22 Пакет стандартный")</f>
        <v>- Онлайн курс Шаг к Пробуждению №16 26.2-5.3.22 Пакет стандартный</v>
      </c>
      <c r="G1507" s="14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</row>
    <row r="1508" spans="1:26" ht="14.25">
      <c r="A1508" s="14" t="str">
        <f ca="1">IFERROR(__xludf.DUMMYFUNCTION("""COMPUTED_VALUE"""),"Оксана Самарская")</f>
        <v>Оксана Самарская</v>
      </c>
      <c r="B1508" s="14" t="str">
        <f ca="1">IFERROR(__xludf.DUMMYFUNCTION("""COMPUTED_VALUE"""),"O.samarskaya73@gmail.com")</f>
        <v>O.samarskaya73@gmail.com</v>
      </c>
      <c r="C1508" s="15" t="str">
        <f ca="1">IFERROR(__xludf.DUMMYFUNCTION("""COMPUTED_VALUE"""),"380713212251")</f>
        <v>380713212251</v>
      </c>
      <c r="D1508" s="15" t="str">
        <f ca="1">IFERROR(__xludf.DUMMYFUNCTION("""COMPUTED_VALUE"""),"Украина")</f>
        <v>Украина</v>
      </c>
      <c r="E1508" s="14" t="str">
        <f ca="1">IFERROR(__xludf.DUMMYFUNCTION("""COMPUTED_VALUE"""),"@Oksana_Samarskaya")</f>
        <v>@Oksana_Samarskaya</v>
      </c>
      <c r="F1508" s="8" t="str">
        <f ca="1">IFERROR(__xludf.DUMMYFUNCTION("""COMPUTED_VALUE"""),"- Клуб пробуждения Друзья (2 уровень) - 2 месяца")</f>
        <v>- Клуб пробуждения Друзья (2 уровень) - 2 месяца</v>
      </c>
      <c r="G1508" s="14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</row>
    <row r="1509" spans="1:26" ht="14.25">
      <c r="A1509" s="14" t="str">
        <f ca="1">IFERROR(__xludf.DUMMYFUNCTION("""COMPUTED_VALUE"""),"o.studneva26,  ")</f>
        <v xml:space="preserve">o.studneva26,  </v>
      </c>
      <c r="B1509" s="14" t="str">
        <f ca="1">IFERROR(__xludf.DUMMYFUNCTION("""COMPUTED_VALUE"""),"o.studneva26@gmail.com")</f>
        <v>o.studneva26@gmail.com</v>
      </c>
      <c r="C1509" s="15"/>
      <c r="D1509" s="15"/>
      <c r="E1509" s="14"/>
      <c r="F1509" s="8" t="str">
        <f ca="1">IFERROR(__xludf.DUMMYFUNCTION("""COMPUTED_VALUE"""),"- USA Челлендж Тишина")</f>
        <v>- USA Челлендж Тишина</v>
      </c>
      <c r="G1509" s="14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</row>
    <row r="1510" spans="1:26" ht="14.25">
      <c r="A1510" s="14" t="str">
        <f ca="1">IFERROR(__xludf.DUMMYFUNCTION("""COMPUTED_VALUE"""),"Ольга Ильина")</f>
        <v>Ольга Ильина</v>
      </c>
      <c r="B1510" s="14" t="str">
        <f ca="1">IFERROR(__xludf.DUMMYFUNCTION("""COMPUTED_VALUE"""),"o1959.2011@mail.ru")</f>
        <v>o1959.2011@mail.ru</v>
      </c>
      <c r="C1510" s="15" t="str">
        <f ca="1">IFERROR(__xludf.DUMMYFUNCTION("""COMPUTED_VALUE"""),"79170445016")</f>
        <v>79170445016</v>
      </c>
      <c r="D1510" s="15" t="str">
        <f ca="1">IFERROR(__xludf.DUMMYFUNCTION("""COMPUTED_VALUE"""),"Россия")</f>
        <v>Россия</v>
      </c>
      <c r="E1510" s="14"/>
      <c r="F1510" s="8" t="str">
        <f ca="1">IFERROR(__xludf.DUMMYFUNCTION("""COMPUTED_VALUE"""),"- Тишина Челлендж (бесплатная часть)")</f>
        <v>- Тишина Челлендж (бесплатная часть)</v>
      </c>
      <c r="G1510" s="14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</row>
    <row r="1511" spans="1:26" ht="14.25">
      <c r="A1511" s="14" t="str">
        <f ca="1">IFERROR(__xludf.DUMMYFUNCTION("""COMPUTED_VALUE"""),"oamf777,  ")</f>
        <v xml:space="preserve">oamf777,  </v>
      </c>
      <c r="B1511" s="14" t="str">
        <f ca="1">IFERROR(__xludf.DUMMYFUNCTION("""COMPUTED_VALUE"""),"oamf777@gmail.com")</f>
        <v>oamf777@gmail.com</v>
      </c>
      <c r="C1511" s="15"/>
      <c r="D1511" s="15"/>
      <c r="E1511" s="14"/>
      <c r="F1511" s="8" t="str">
        <f ca="1">IFERROR(__xludf.DUMMYFUNCTION("""COMPUTED_VALUE"""),"- USA Челлендж Тишина")</f>
        <v>- USA Челлендж Тишина</v>
      </c>
      <c r="G1511" s="14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</row>
    <row r="1512" spans="1:26" ht="14.25">
      <c r="A1512" s="14" t="str">
        <f ca="1">IFERROR(__xludf.DUMMYFUNCTION("""COMPUTED_VALUE"""),"Obidchenko.nata,  ")</f>
        <v xml:space="preserve">Obidchenko.nata,  </v>
      </c>
      <c r="B1512" s="14" t="str">
        <f ca="1">IFERROR(__xludf.DUMMYFUNCTION("""COMPUTED_VALUE"""),"Obidchenko.nata@mail.ru")</f>
        <v>Obidchenko.nata@mail.ru</v>
      </c>
      <c r="C1512" s="15"/>
      <c r="D1512" s="15" t="str">
        <f ca="1">IFERROR(__xludf.DUMMYFUNCTION("""COMPUTED_VALUE"""),"Россия")</f>
        <v>Россия</v>
      </c>
      <c r="E1512" s="14"/>
      <c r="F1512" s="8" t="str">
        <f ca="1">IFERROR(__xludf.DUMMYFUNCTION("""COMPUTED_VALUE"""),"- Базовая бесплатная часть")</f>
        <v>- Базовая бесплатная часть</v>
      </c>
      <c r="G1512" s="14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</row>
    <row r="1513" spans="1:26" ht="14.25">
      <c r="A1513" s="14" t="str">
        <f ca="1">IFERROR(__xludf.DUMMYFUNCTION("""COMPUTED_VALUE"""),"od122388,  ")</f>
        <v xml:space="preserve">od122388,  </v>
      </c>
      <c r="B1513" s="14" t="str">
        <f ca="1">IFERROR(__xludf.DUMMYFUNCTION("""COMPUTED_VALUE"""),"od122388@gmail.com")</f>
        <v>od122388@gmail.com</v>
      </c>
      <c r="C1513" s="15"/>
      <c r="D1513" s="15"/>
      <c r="E1513" s="14"/>
      <c r="F1513" s="8" t="str">
        <f ca="1">IFERROR(__xludf.DUMMYFUNCTION("""COMPUTED_VALUE"""),"- Челлендж Тишины")</f>
        <v>- Челлендж Тишины</v>
      </c>
      <c r="G1513" s="14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</row>
    <row r="1514" spans="1:26" ht="14.25">
      <c r="A1514" s="14" t="str">
        <f ca="1">IFERROR(__xludf.DUMMYFUNCTION("""COMPUTED_VALUE"""),"Ольга Демидчик")</f>
        <v>Ольга Демидчик</v>
      </c>
      <c r="B1514" s="14" t="str">
        <f ca="1">IFERROR(__xludf.DUMMYFUNCTION("""COMPUTED_VALUE"""),"odemidcik930@gmail.com")</f>
        <v>odemidcik930@gmail.com</v>
      </c>
      <c r="C1514" s="15" t="str">
        <f ca="1">IFERROR(__xludf.DUMMYFUNCTION("""COMPUTED_VALUE"""),"+375293398261")</f>
        <v>+375293398261</v>
      </c>
      <c r="D1514" s="15" t="str">
        <f ca="1">IFERROR(__xludf.DUMMYFUNCTION("""COMPUTED_VALUE"""),"Беларусь")</f>
        <v>Беларусь</v>
      </c>
      <c r="E1514" s="14"/>
      <c r="F1514" s="8" t="str">
        <f ca="1">IFERROR(__xludf.DUMMYFUNCTION("""COMPUTED_VALUE"""),"- Тишина Челлендж (бесплатная часть)")</f>
        <v>- Тишина Челлендж (бесплатная часть)</v>
      </c>
      <c r="G1514" s="14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</row>
    <row r="1515" spans="1:26" ht="14.25">
      <c r="A1515" s="14" t="str">
        <f ca="1">IFERROR(__xludf.DUMMYFUNCTION("""COMPUTED_VALUE"""),"Ольга Постникова")</f>
        <v>Ольга Постникова</v>
      </c>
      <c r="B1515" s="14" t="str">
        <f ca="1">IFERROR(__xludf.DUMMYFUNCTION("""COMPUTED_VALUE"""),"Oinka-93@mail.ru")</f>
        <v>Oinka-93@mail.ru</v>
      </c>
      <c r="C1515" s="15" t="str">
        <f ca="1">IFERROR(__xludf.DUMMYFUNCTION("""COMPUTED_VALUE"""),", 79045470011")</f>
        <v>, 79045470011</v>
      </c>
      <c r="D1515" s="15" t="str">
        <f ca="1">IFERROR(__xludf.DUMMYFUNCTION("""COMPUTED_VALUE"""),"США")</f>
        <v>США</v>
      </c>
      <c r="E1515" s="14"/>
      <c r="F1515" s="8" t="str">
        <f ca="1">IFERROR(__xludf.DUMMYFUNCTION("""COMPUTED_VALUE"""),"Мероприятий не обнаружено")</f>
        <v>Мероприятий не обнаружено</v>
      </c>
      <c r="G1515" s="14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</row>
    <row r="1516" spans="1:26" ht="14.25">
      <c r="A1516" s="14" t="str">
        <f ca="1">IFERROR(__xludf.DUMMYFUNCTION("""COMPUTED_VALUE"""),"Оксана Харьковская")</f>
        <v>Оксана Харьковская</v>
      </c>
      <c r="B1516" s="14" t="str">
        <f ca="1">IFERROR(__xludf.DUMMYFUNCTION("""COMPUTED_VALUE"""),"ok.har7@gmail.com")</f>
        <v>ok.har7@gmail.com</v>
      </c>
      <c r="C1516" s="15" t="str">
        <f ca="1">IFERROR(__xludf.DUMMYFUNCTION("""COMPUTED_VALUE"""),"+380713391022")</f>
        <v>+380713391022</v>
      </c>
      <c r="D1516" s="15"/>
      <c r="E1516" s="14"/>
      <c r="F1516" s="8" t="str">
        <f ca="1">IFERROR(__xludf.DUMMYFUNCTION("""COMPUTED_VALUE"""),"- Тишина Челлендж (бесплатная часть)")</f>
        <v>- Тишина Челлендж (бесплатная часть)</v>
      </c>
      <c r="G1516" s="14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</row>
    <row r="1517" spans="1:26" ht="25.5">
      <c r="A1517" s="14" t="str">
        <f ca="1">IFERROR(__xludf.DUMMYFUNCTION("""COMPUTED_VALUE"""),"Александр Каштанов")</f>
        <v>Александр Каштанов</v>
      </c>
      <c r="B1517" s="14" t="str">
        <f ca="1">IFERROR(__xludf.DUMMYFUNCTION("""COMPUTED_VALUE"""),"Ok8828@gmail.com")</f>
        <v>Ok8828@gmail.com</v>
      </c>
      <c r="C1517" s="15" t="str">
        <f ca="1">IFERROR(__xludf.DUMMYFUNCTION("""COMPUTED_VALUE"""),"+380508424999")</f>
        <v>+380508424999</v>
      </c>
      <c r="D1517" s="15" t="str">
        <f ca="1">IFERROR(__xludf.DUMMYFUNCTION("""COMPUTED_VALUE"""),"украина")</f>
        <v>украина</v>
      </c>
      <c r="E1517" s="14"/>
      <c r="F1517" s="8" t="str">
        <f ca="1">IFERROR(__xludf.DUMMYFUNCTION("""COMPUTED_VALUE"""),"- Международный ретрит 14-21.1.2022 Украина 16350р
- Ретрит ""Проектная деятельность"" для участников ретритов")</f>
        <v>- Международный ретрит 14-21.1.2022 Украина 16350р
- Ретрит "Проектная деятельность" для участников ретритов</v>
      </c>
      <c r="G1517" s="14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</row>
    <row r="1518" spans="1:26" ht="14.25">
      <c r="A1518" s="14" t="str">
        <f ca="1">IFERROR(__xludf.DUMMYFUNCTION("""COMPUTED_VALUE"""),"Лунара Окасова")</f>
        <v>Лунара Окасова</v>
      </c>
      <c r="B1518" s="14" t="str">
        <f ca="1">IFERROR(__xludf.DUMMYFUNCTION("""COMPUTED_VALUE"""),"Okasova72kz@mail.ru")</f>
        <v>Okasova72kz@mail.ru</v>
      </c>
      <c r="C1518" s="15"/>
      <c r="D1518" s="15" t="str">
        <f ca="1">IFERROR(__xludf.DUMMYFUNCTION("""COMPUTED_VALUE"""),"Швеция")</f>
        <v>Швеция</v>
      </c>
      <c r="E1518" s="14"/>
      <c r="F1518" s="8" t="str">
        <f ca="1">IFERROR(__xludf.DUMMYFUNCTION("""COMPUTED_VALUE"""),"- Тишина Челлендж (бесплатная часть)")</f>
        <v>- Тишина Челлендж (бесплатная часть)</v>
      </c>
      <c r="G1518" s="14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</row>
    <row r="1519" spans="1:26" ht="14.25">
      <c r="A1519" s="14" t="str">
        <f ca="1">IFERROR(__xludf.DUMMYFUNCTION("""COMPUTED_VALUE"""),"okeyyy86,  ")</f>
        <v xml:space="preserve">okeyyy86,  </v>
      </c>
      <c r="B1519" s="14" t="str">
        <f ca="1">IFERROR(__xludf.DUMMYFUNCTION("""COMPUTED_VALUE"""),"okeyyy86@gmail.com")</f>
        <v>okeyyy86@gmail.com</v>
      </c>
      <c r="C1519" s="15"/>
      <c r="D1519" s="15"/>
      <c r="E1519" s="14"/>
      <c r="F1519" s="8" t="str">
        <f ca="1">IFERROR(__xludf.DUMMYFUNCTION("""COMPUTED_VALUE"""),"- Челлендж Тишины")</f>
        <v>- Челлендж Тишины</v>
      </c>
      <c r="G1519" s="14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</row>
    <row r="1520" spans="1:26" ht="14.25">
      <c r="A1520" s="14" t="str">
        <f ca="1">IFERROR(__xludf.DUMMYFUNCTION("""COMPUTED_VALUE"""),"Оксана Петрова")</f>
        <v>Оксана Петрова</v>
      </c>
      <c r="B1520" s="14" t="str">
        <f ca="1">IFERROR(__xludf.DUMMYFUNCTION("""COMPUTED_VALUE"""),"oks020619772008@yandex.ru")</f>
        <v>oks020619772008@yandex.ru</v>
      </c>
      <c r="C1520" s="15" t="str">
        <f ca="1">IFERROR(__xludf.DUMMYFUNCTION("""COMPUTED_VALUE"""),"79504735795")</f>
        <v>79504735795</v>
      </c>
      <c r="D1520" s="15" t="str">
        <f ca="1">IFERROR(__xludf.DUMMYFUNCTION("""COMPUTED_VALUE"""),"Россия")</f>
        <v>Россия</v>
      </c>
      <c r="E1520" s="14"/>
      <c r="F1520" s="8" t="str">
        <f ca="1">IFERROR(__xludf.DUMMYFUNCTION("""COMPUTED_VALUE"""),"- Тишина Челлендж (бесплатная часть)")</f>
        <v>- Тишина Челлендж (бесплатная часть)</v>
      </c>
      <c r="G1520" s="14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</row>
    <row r="1521" spans="1:26" ht="14.25">
      <c r="A1521" s="14" t="str">
        <f ca="1">IFERROR(__xludf.DUMMYFUNCTION("""COMPUTED_VALUE"""),"Оксана Осауленко")</f>
        <v>Оксана Осауленко</v>
      </c>
      <c r="B1521" s="14" t="str">
        <f ca="1">IFERROR(__xludf.DUMMYFUNCTION("""COMPUTED_VALUE"""),"Oksanagr1@yandex.ru")</f>
        <v>Oksanagr1@yandex.ru</v>
      </c>
      <c r="C1521" s="15" t="str">
        <f ca="1">IFERROR(__xludf.DUMMYFUNCTION("""COMPUTED_VALUE"""),"+79655024422")</f>
        <v>+79655024422</v>
      </c>
      <c r="D1521" s="15" t="str">
        <f ca="1">IFERROR(__xludf.DUMMYFUNCTION("""COMPUTED_VALUE"""),"Россия")</f>
        <v>Россия</v>
      </c>
      <c r="E1521" s="14"/>
      <c r="F1521" s="8" t="str">
        <f ca="1">IFERROR(__xludf.DUMMYFUNCTION("""COMPUTED_VALUE"""),"- Практика тишины Екатеринбург 18.2 2022")</f>
        <v>- Практика тишины Екатеринбург 18.2 2022</v>
      </c>
      <c r="G1521" s="14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</row>
    <row r="1522" spans="1:26" ht="14.25">
      <c r="A1522" s="14" t="str">
        <f ca="1">IFERROR(__xludf.DUMMYFUNCTION("""COMPUTED_VALUE"""),"Оксана Лещенко")</f>
        <v>Оксана Лещенко</v>
      </c>
      <c r="B1522" s="14" t="str">
        <f ca="1">IFERROR(__xludf.DUMMYFUNCTION("""COMPUTED_VALUE"""),"Oksanalesenko80@gmail.com")</f>
        <v>Oksanalesenko80@gmail.com</v>
      </c>
      <c r="C1522" s="15" t="str">
        <f ca="1">IFERROR(__xludf.DUMMYFUNCTION("""COMPUTED_VALUE"""),"+380714936919")</f>
        <v>+380714936919</v>
      </c>
      <c r="D1522" s="15" t="str">
        <f ca="1">IFERROR(__xludf.DUMMYFUNCTION("""COMPUTED_VALUE"""),"Украина")</f>
        <v>Украина</v>
      </c>
      <c r="E1522" s="14"/>
      <c r="F1522" s="8" t="str">
        <f ca="1">IFERROR(__xludf.DUMMYFUNCTION("""COMPUTED_VALUE"""),"- Базовая бесплатная часть")</f>
        <v>- Базовая бесплатная часть</v>
      </c>
      <c r="G1522" s="14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</row>
    <row r="1523" spans="1:26" ht="14.25">
      <c r="A1523" s="14" t="str">
        <f ca="1">IFERROR(__xludf.DUMMYFUNCTION("""COMPUTED_VALUE"""),"Oksana MaLova")</f>
        <v>Oksana MaLova</v>
      </c>
      <c r="B1523" s="14" t="str">
        <f ca="1">IFERROR(__xludf.DUMMYFUNCTION("""COMPUTED_VALUE"""),"oksanamalova@yandex.ru")</f>
        <v>oksanamalova@yandex.ru</v>
      </c>
      <c r="C1523" s="15" t="str">
        <f ca="1">IFERROR(__xludf.DUMMYFUNCTION("""COMPUTED_VALUE"""),"+64212108000")</f>
        <v>+64212108000</v>
      </c>
      <c r="D1523" s="15" t="str">
        <f ca="1">IFERROR(__xludf.DUMMYFUNCTION("""COMPUTED_VALUE"""),"Россия")</f>
        <v>Россия</v>
      </c>
      <c r="E1523" s="14"/>
      <c r="F1523" s="8" t="str">
        <f ca="1">IFERROR(__xludf.DUMMYFUNCTION("""COMPUTED_VALUE"""),"- Запись на ""Беседу по душам""")</f>
        <v>- Запись на "Беседу по душам"</v>
      </c>
      <c r="G1523" s="14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</row>
    <row r="1524" spans="1:26" ht="25.5">
      <c r="A1524" s="14" t="str">
        <f ca="1">IFERROR(__xludf.DUMMYFUNCTION("""COMPUTED_VALUE"""),"Ксения Осадченко")</f>
        <v>Ксения Осадченко</v>
      </c>
      <c r="B1524" s="14" t="str">
        <f ca="1">IFERROR(__xludf.DUMMYFUNCTION("""COMPUTED_VALUE"""),"oksanao1981@mail.ru")</f>
        <v>oksanao1981@mail.ru</v>
      </c>
      <c r="C1524" s="15" t="str">
        <f ca="1">IFERROR(__xludf.DUMMYFUNCTION("""COMPUTED_VALUE"""),"87471529829")</f>
        <v>87471529829</v>
      </c>
      <c r="D1524" s="15"/>
      <c r="E1524" s="14"/>
      <c r="F152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524" s="14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</row>
    <row r="1525" spans="1:26" ht="14.25">
      <c r="A1525" s="14" t="str">
        <f ca="1">IFERROR(__xludf.DUMMYFUNCTION("""COMPUTED_VALUE"""),"Ольга Маргиева")</f>
        <v>Ольга Маргиева</v>
      </c>
      <c r="B1525" s="14" t="str">
        <f ca="1">IFERROR(__xludf.DUMMYFUNCTION("""COMPUTED_VALUE"""),"ol-247-ga@mail.com")</f>
        <v>ol-247-ga@mail.com</v>
      </c>
      <c r="C1525" s="15" t="str">
        <f ca="1">IFERROR(__xludf.DUMMYFUNCTION("""COMPUTED_VALUE"""),", +79615352535")</f>
        <v>, +79615352535</v>
      </c>
      <c r="D1525" s="15" t="str">
        <f ca="1">IFERROR(__xludf.DUMMYFUNCTION("""COMPUTED_VALUE"""),"Россия")</f>
        <v>Россия</v>
      </c>
      <c r="E1525" s="14"/>
      <c r="F1525" s="8" t="str">
        <f ca="1">IFERROR(__xludf.DUMMYFUNCTION("""COMPUTED_VALUE"""),"Мероприятий не обнаружено")</f>
        <v>Мероприятий не обнаружено</v>
      </c>
      <c r="G1525" s="14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</row>
    <row r="1526" spans="1:26" ht="14.25">
      <c r="A1526" s="14" t="str">
        <f ca="1">IFERROR(__xludf.DUMMYFUNCTION("""COMPUTED_VALUE"""),"olademi4,  ")</f>
        <v xml:space="preserve">olademi4,  </v>
      </c>
      <c r="B1526" s="14" t="str">
        <f ca="1">IFERROR(__xludf.DUMMYFUNCTION("""COMPUTED_VALUE"""),"olademi4@gmail.com")</f>
        <v>olademi4@gmail.com</v>
      </c>
      <c r="C1526" s="15"/>
      <c r="D1526" s="15"/>
      <c r="E1526" s="14"/>
      <c r="F1526" s="8" t="str">
        <f ca="1">IFERROR(__xludf.DUMMYFUNCTION("""COMPUTED_VALUE"""),"- USA Челлендж Тишина")</f>
        <v>- USA Челлендж Тишина</v>
      </c>
      <c r="G1526" s="14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</row>
    <row r="1527" spans="1:26" ht="14.25">
      <c r="A1527" s="14" t="str">
        <f ca="1">IFERROR(__xludf.DUMMYFUNCTION("""COMPUTED_VALUE"""),"ОЛЬГА КОРОЛЕВА")</f>
        <v>ОЛЬГА КОРОЛЕВА</v>
      </c>
      <c r="B1527" s="14" t="str">
        <f ca="1">IFERROR(__xludf.DUMMYFUNCTION("""COMPUTED_VALUE"""),"olaolala76@mail.ru")</f>
        <v>olaolala76@mail.ru</v>
      </c>
      <c r="C1527" s="15" t="str">
        <f ca="1">IFERROR(__xludf.DUMMYFUNCTION("""COMPUTED_VALUE"""),", 79281330789")</f>
        <v>, 79281330789</v>
      </c>
      <c r="D1527" s="15" t="str">
        <f ca="1">IFERROR(__xludf.DUMMYFUNCTION("""COMPUTED_VALUE"""),"РФ")</f>
        <v>РФ</v>
      </c>
      <c r="E1527" s="14" t="str">
        <f ca="1">IFERROR(__xludf.DUMMYFUNCTION("""COMPUTED_VALUE"""),"@KOLE4KO")</f>
        <v>@KOLE4KO</v>
      </c>
      <c r="F1527" s="8" t="str">
        <f ca="1">IFERROR(__xludf.DUMMYFUNCTION("""COMPUTED_VALUE"""),"Мероприятий не обнаружено")</f>
        <v>Мероприятий не обнаружено</v>
      </c>
      <c r="G1527" s="14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</row>
    <row r="1528" spans="1:26" ht="25.5">
      <c r="A1528" s="14" t="str">
        <f ca="1">IFERROR(__xludf.DUMMYFUNCTION("""COMPUTED_VALUE"""),"Оля Ерёменко")</f>
        <v>Оля Ерёменко</v>
      </c>
      <c r="B1528" s="14" t="str">
        <f ca="1">IFERROR(__xludf.DUMMYFUNCTION("""COMPUTED_VALUE"""),"olathetraveller@gmail.com")</f>
        <v>olathetraveller@gmail.com</v>
      </c>
      <c r="C1528" s="15" t="str">
        <f ca="1">IFERROR(__xludf.DUMMYFUNCTION("""COMPUTED_VALUE"""),"909611303")</f>
        <v>909611303</v>
      </c>
      <c r="D1528" s="15"/>
      <c r="E1528" s="14"/>
      <c r="F152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528" s="14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</row>
    <row r="1529" spans="1:26" ht="14.25">
      <c r="A1529" s="14" t="str">
        <f ca="1">IFERROR(__xludf.DUMMYFUNCTION("""COMPUTED_VALUE"""),"Ольга Шевчук")</f>
        <v>Ольга Шевчук</v>
      </c>
      <c r="B1529" s="14" t="str">
        <f ca="1">IFERROR(__xludf.DUMMYFUNCTION("""COMPUTED_VALUE"""),"olcashevchuk2407@gmail.com")</f>
        <v>olcashevchuk2407@gmail.com</v>
      </c>
      <c r="C1529" s="15" t="str">
        <f ca="1">IFERROR(__xludf.DUMMYFUNCTION("""COMPUTED_VALUE"""),"+375259799344")</f>
        <v>+375259799344</v>
      </c>
      <c r="D1529" s="15"/>
      <c r="E1529" s="14"/>
      <c r="F1529" s="8" t="str">
        <f ca="1">IFERROR(__xludf.DUMMYFUNCTION("""COMPUTED_VALUE"""),"- Тишина Челлендж (бесплатная часть)")</f>
        <v>- Тишина Челлендж (бесплатная часть)</v>
      </c>
      <c r="G1529" s="14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</row>
    <row r="1530" spans="1:26" ht="14.25">
      <c r="A1530" s="14" t="str">
        <f ca="1">IFERROR(__xludf.DUMMYFUNCTION("""COMPUTED_VALUE"""),"Ольга Савко")</f>
        <v>Ольга Савко</v>
      </c>
      <c r="B1530" s="14" t="str">
        <f ca="1">IFERROR(__xludf.DUMMYFUNCTION("""COMPUTED_VALUE"""),"Ole4k_xxx@mail.ru")</f>
        <v>Ole4k_xxx@mail.ru</v>
      </c>
      <c r="C1530" s="15" t="str">
        <f ca="1">IFERROR(__xludf.DUMMYFUNCTION("""COMPUTED_VALUE"""),"+375295093831")</f>
        <v>+375295093831</v>
      </c>
      <c r="D1530" s="15"/>
      <c r="E1530" s="14"/>
      <c r="F1530" s="8" t="str">
        <f ca="1">IFERROR(__xludf.DUMMYFUNCTION("""COMPUTED_VALUE"""),"- Тишина Челлендж (бесплатная часть)")</f>
        <v>- Тишина Челлендж (бесплатная часть)</v>
      </c>
      <c r="G1530" s="14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</row>
    <row r="1531" spans="1:26" ht="14.25">
      <c r="A1531" s="14" t="str">
        <f ca="1">IFERROR(__xludf.DUMMYFUNCTION("""COMPUTED_VALUE"""),"Ольга Продан")</f>
        <v>Ольга Продан</v>
      </c>
      <c r="B1531" s="14" t="str">
        <f ca="1">IFERROR(__xludf.DUMMYFUNCTION("""COMPUTED_VALUE"""),"Oleck72@mail.ru")</f>
        <v>Oleck72@mail.ru</v>
      </c>
      <c r="C1531" s="15" t="str">
        <f ca="1">IFERROR(__xludf.DUMMYFUNCTION("""COMPUTED_VALUE"""),"79142173349")</f>
        <v>79142173349</v>
      </c>
      <c r="D1531" s="15" t="str">
        <f ca="1">IFERROR(__xludf.DUMMYFUNCTION("""COMPUTED_VALUE"""),"Россия")</f>
        <v>Россия</v>
      </c>
      <c r="E1531" s="14"/>
      <c r="F1531" s="8" t="str">
        <f ca="1">IFERROR(__xludf.DUMMYFUNCTION("""COMPUTED_VALUE"""),"- Онлайн Интенсив Дальний Восток 25-27.02.2022 ")</f>
        <v xml:space="preserve">- Онлайн Интенсив Дальний Восток 25-27.02.2022 </v>
      </c>
      <c r="G1531" s="14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</row>
    <row r="1532" spans="1:26" ht="51">
      <c r="A1532" s="14" t="str">
        <f ca="1">IFERROR(__xludf.DUMMYFUNCTION("""COMPUTED_VALUE"""),"Олег Федосеев")</f>
        <v>Олег Федосеев</v>
      </c>
      <c r="B1532" s="14" t="str">
        <f ca="1">IFERROR(__xludf.DUMMYFUNCTION("""COMPUTED_VALUE"""),"oleg.fedoseev1965@gmail.com")</f>
        <v>oleg.fedoseev1965@gmail.com</v>
      </c>
      <c r="C1532" s="15" t="str">
        <f ca="1">IFERROR(__xludf.DUMMYFUNCTION("""COMPUTED_VALUE"""),"+380996472203")</f>
        <v>+380996472203</v>
      </c>
      <c r="D1532" s="15" t="str">
        <f ca="1">IFERROR(__xludf.DUMMYFUNCTION("""COMPUTED_VALUE"""),"Украина")</f>
        <v>Украина</v>
      </c>
      <c r="E1532" s="14"/>
      <c r="F1532" s="8" t="str">
        <f ca="1">IFERROR(__xludf.DUMMYFUNCTION("""COMPUTED_VALUE"""),"- Онлайн курс Шаг к Пробуждению №14 4.12 по 14.12
- Международный ретрит 14-21.1.2022 Украина (6500 Гривен) (оплата до 29.12.2021)
- Ретрит ""Проектная деятельность"" для участников ретритов")</f>
        <v>- Онлайн курс Шаг к Пробуждению №14 4.12 по 14.12
- Международный ретрит 14-21.1.2022 Украина (6500 Гривен) (оплата до 29.12.2021)
- Ретрит "Проектная деятельность" для участников ретритов</v>
      </c>
      <c r="G1532" s="14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</row>
    <row r="1533" spans="1:26" ht="14.25">
      <c r="A1533" s="14" t="str">
        <f ca="1">IFERROR(__xludf.DUMMYFUNCTION("""COMPUTED_VALUE"""),"Олег Мотько")</f>
        <v>Олег Мотько</v>
      </c>
      <c r="B1533" s="14" t="str">
        <f ca="1">IFERROR(__xludf.DUMMYFUNCTION("""COMPUTED_VALUE"""),"oleg.motko@mail.ru")</f>
        <v>oleg.motko@mail.ru</v>
      </c>
      <c r="C1533" s="15" t="str">
        <f ca="1">IFERROR(__xludf.DUMMYFUNCTION("""COMPUTED_VALUE"""),"+79183126427")</f>
        <v>+79183126427</v>
      </c>
      <c r="D1533" s="15"/>
      <c r="E1533" s="14"/>
      <c r="F1533" s="8" t="str">
        <f ca="1">IFERROR(__xludf.DUMMYFUNCTION("""COMPUTED_VALUE"""),"- Тишина Челлендж (бесплатная часть)")</f>
        <v>- Тишина Челлендж (бесплатная часть)</v>
      </c>
      <c r="G1533" s="14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</row>
    <row r="1534" spans="1:26" ht="14.25">
      <c r="A1534" s="14" t="str">
        <f ca="1">IFERROR(__xludf.DUMMYFUNCTION("""COMPUTED_VALUE"""),"Олег Северин")</f>
        <v>Олег Северин</v>
      </c>
      <c r="B1534" s="14" t="str">
        <f ca="1">IFERROR(__xludf.DUMMYFUNCTION("""COMPUTED_VALUE"""),"olegomseveroleg@gmail.com")</f>
        <v>olegomseveroleg@gmail.com</v>
      </c>
      <c r="C1534" s="15"/>
      <c r="D1534" s="15" t="str">
        <f ca="1">IFERROR(__xludf.DUMMYFUNCTION("""COMPUTED_VALUE"""),"Молдова")</f>
        <v>Молдова</v>
      </c>
      <c r="E1534" s="14"/>
      <c r="F1534" s="8" t="str">
        <f ca="1">IFERROR(__xludf.DUMMYFUNCTION("""COMPUTED_VALUE"""),"- Базовая бесплатная часть")</f>
        <v>- Базовая бесплатная часть</v>
      </c>
      <c r="G1534" s="14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</row>
    <row r="1535" spans="1:26" ht="14.25">
      <c r="A1535" s="14" t="str">
        <f ca="1">IFERROR(__xludf.DUMMYFUNCTION("""COMPUTED_VALUE"""),"Алена Мельник")</f>
        <v>Алена Мельник</v>
      </c>
      <c r="B1535" s="14" t="str">
        <f ca="1">IFERROR(__xludf.DUMMYFUNCTION("""COMPUTED_VALUE"""),"olena_melnyk@hotmail.com")</f>
        <v>olena_melnyk@hotmail.com</v>
      </c>
      <c r="C1535" s="15" t="str">
        <f ca="1">IFERROR(__xludf.DUMMYFUNCTION("""COMPUTED_VALUE"""),"+6404601225")</f>
        <v>+6404601225</v>
      </c>
      <c r="D1535" s="15" t="str">
        <f ca="1">IFERROR(__xludf.DUMMYFUNCTION("""COMPUTED_VALUE"""),"Австралия")</f>
        <v>Австралия</v>
      </c>
      <c r="E1535" s="14"/>
      <c r="F1535" s="8" t="str">
        <f ca="1">IFERROR(__xludf.DUMMYFUNCTION("""COMPUTED_VALUE"""),"- АнтиЭго 2.0 ""Пакет Базовый"" 19.02 - 13.03.2022 (поток 1)")</f>
        <v>- АнтиЭго 2.0 "Пакет Базовый" 19.02 - 13.03.2022 (поток 1)</v>
      </c>
      <c r="G1535" s="14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</row>
    <row r="1536" spans="1:26" ht="25.5">
      <c r="A1536" s="14" t="str">
        <f ca="1">IFERROR(__xludf.DUMMYFUNCTION("""COMPUTED_VALUE"""),"Ольга Скрипка")</f>
        <v>Ольга Скрипка</v>
      </c>
      <c r="B1536" s="14" t="str">
        <f ca="1">IFERROR(__xludf.DUMMYFUNCTION("""COMPUTED_VALUE"""),"olenka_44_44@mail.ru")</f>
        <v>olenka_44_44@mail.ru</v>
      </c>
      <c r="C1536" s="15" t="str">
        <f ca="1">IFERROR(__xludf.DUMMYFUNCTION("""COMPUTED_VALUE"""),"+998999198022")</f>
        <v>+998999198022</v>
      </c>
      <c r="D1536" s="15" t="str">
        <f ca="1">IFERROR(__xludf.DUMMYFUNCTION("""COMPUTED_VALUE"""),"Узбекистан")</f>
        <v>Узбекистан</v>
      </c>
      <c r="E1536" s="14"/>
      <c r="F153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536" s="14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</row>
    <row r="1537" spans="1:26" ht="102">
      <c r="A1537" s="14" t="str">
        <f ca="1">IFERROR(__xludf.DUMMYFUNCTION("""COMPUTED_VALUE"""),"Ольга Алавердова (Макарова)")</f>
        <v>Ольга Алавердова (Макарова)</v>
      </c>
      <c r="B1537" s="14" t="str">
        <f ca="1">IFERROR(__xludf.DUMMYFUNCTION("""COMPUTED_VALUE"""),"olenkamak2018@mail.ru")</f>
        <v>olenkamak2018@mail.ru</v>
      </c>
      <c r="C1537" s="15" t="str">
        <f ca="1">IFERROR(__xludf.DUMMYFUNCTION("""COMPUTED_VALUE"""),"+79241197488")</f>
        <v>+79241197488</v>
      </c>
      <c r="D1537" s="15" t="str">
        <f ca="1">IFERROR(__xludf.DUMMYFUNCTION("""COMPUTED_VALUE"""),"Россия")</f>
        <v>Россия</v>
      </c>
      <c r="E1537" s="14" t="str">
        <f ca="1">IFERROR(__xludf.DUMMYFUNCTION("""COMPUTED_VALUE"""),"Olga Makarova")</f>
        <v>Olga Makarova</v>
      </c>
      <c r="F1537" s="8" t="str">
        <f ca="1">IFERROR(__xludf.DUMMYFUNCTION("""COMPUTED_VALUE"""),"- Интенсив Дальний Восток 28-30.01.2022
- Сообщество ДВ внутренний чат
- Онлайн Интенсив Дальний Восток 25-27.02.2022 
- Сообщество «Дальний Восток»
- Оплата Клуб пробуждения Друзья (2 уровень) (со скидкой) x 2000
- Ретрит Дальний Восток Хабаровск 30.4-7."&amp;"5.2022
- Клуб пробуждения Друзья (2 уровень) - 1 месяц")</f>
        <v>- Интенсив Дальний Восток 28-30.01.2022
- Сообщество ДВ внутренний чат
- Онлайн Интенсив Дальний Восток 25-27.02.2022 
- Сообщество «Дальний Восток»
- Оплата Клуб пробуждения Друзья (2 уровень) (со скидкой) x 2000
- Ретрит Дальний Восток Хабаровск 30.4-7.5.2022
- Клуб пробуждения Друзья (2 уровень) - 1 месяц</v>
      </c>
      <c r="G1537" s="14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</row>
    <row r="1538" spans="1:26" ht="14.25">
      <c r="A1538" s="14" t="str">
        <f ca="1">IFERROR(__xludf.DUMMYFUNCTION("""COMPUTED_VALUE"""),"Иван Иванов")</f>
        <v>Иван Иванов</v>
      </c>
      <c r="B1538" s="14" t="str">
        <f ca="1">IFERROR(__xludf.DUMMYFUNCTION("""COMPUTED_VALUE"""),"Olesia_tr@mail.ru")</f>
        <v>Olesia_tr@mail.ru</v>
      </c>
      <c r="C1538" s="15" t="str">
        <f ca="1">IFERROR(__xludf.DUMMYFUNCTION("""COMPUTED_VALUE"""),"+77017123000")</f>
        <v>+77017123000</v>
      </c>
      <c r="D1538" s="15" t="str">
        <f ca="1">IFERROR(__xludf.DUMMYFUNCTION("""COMPUTED_VALUE"""),"Казахстан")</f>
        <v>Казахстан</v>
      </c>
      <c r="E1538" s="14"/>
      <c r="F1538" s="8" t="str">
        <f ca="1">IFERROR(__xludf.DUMMYFUNCTION("""COMPUTED_VALUE"""),"- Тишина Челлендж (бесплатная часть)")</f>
        <v>- Тишина Челлендж (бесплатная часть)</v>
      </c>
      <c r="G1538" s="14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</row>
    <row r="1539" spans="1:26" ht="14.25">
      <c r="A1539" s="14" t="str">
        <f ca="1">IFERROR(__xludf.DUMMYFUNCTION("""COMPUTED_VALUE"""),"Олеся Масленникова")</f>
        <v>Олеся Масленникова</v>
      </c>
      <c r="B1539" s="14" t="str">
        <f ca="1">IFERROR(__xludf.DUMMYFUNCTION("""COMPUTED_VALUE"""),"olesya_korovina_1993@mail.ru")</f>
        <v>olesya_korovina_1993@mail.ru</v>
      </c>
      <c r="C1539" s="15" t="str">
        <f ca="1">IFERROR(__xludf.DUMMYFUNCTION("""COMPUTED_VALUE"""),"79998309733")</f>
        <v>79998309733</v>
      </c>
      <c r="D1539" s="15" t="str">
        <f ca="1">IFERROR(__xludf.DUMMYFUNCTION("""COMPUTED_VALUE"""),"Кыргызстан")</f>
        <v>Кыргызстан</v>
      </c>
      <c r="E1539" s="14"/>
      <c r="F1539" s="8" t="str">
        <f ca="1">IFERROR(__xludf.DUMMYFUNCTION("""COMPUTED_VALUE"""),"- Тишина Челлендж (бесплатная часть)")</f>
        <v>- Тишина Челлендж (бесплатная часть)</v>
      </c>
      <c r="G1539" s="14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</row>
    <row r="1540" spans="1:26" ht="25.5">
      <c r="A1540" s="14" t="str">
        <f ca="1">IFERROR(__xludf.DUMMYFUNCTION("""COMPUTED_VALUE"""),"Олеся Омарова")</f>
        <v>Олеся Омарова</v>
      </c>
      <c r="B1540" s="14" t="str">
        <f ca="1">IFERROR(__xludf.DUMMYFUNCTION("""COMPUTED_VALUE"""),"olesya_omarova8709@mail.ru")</f>
        <v>olesya_omarova8709@mail.ru</v>
      </c>
      <c r="C1540" s="15" t="str">
        <f ca="1">IFERROR(__xludf.DUMMYFUNCTION("""COMPUTED_VALUE"""),"+77077532388")</f>
        <v>+77077532388</v>
      </c>
      <c r="D1540" s="15"/>
      <c r="E1540" s="14"/>
      <c r="F154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540" s="14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</row>
    <row r="1541" spans="1:26" ht="14.25">
      <c r="A1541" s="14" t="str">
        <f ca="1">IFERROR(__xludf.DUMMYFUNCTION("""COMPUTED_VALUE"""),"Олеся Швецова")</f>
        <v>Олеся Швецова</v>
      </c>
      <c r="B1541" s="14" t="str">
        <f ca="1">IFERROR(__xludf.DUMMYFUNCTION("""COMPUTED_VALUE"""),"olesya_shvecova@inbox.ru")</f>
        <v>olesya_shvecova@inbox.ru</v>
      </c>
      <c r="C1541" s="15"/>
      <c r="D1541" s="15" t="str">
        <f ca="1">IFERROR(__xludf.DUMMYFUNCTION("""COMPUTED_VALUE"""),"Россия")</f>
        <v>Россия</v>
      </c>
      <c r="E1541" s="14"/>
      <c r="F1541" s="8" t="str">
        <f ca="1">IFERROR(__xludf.DUMMYFUNCTION("""COMPUTED_VALUE"""),"- Тишина Челлендж (бесплатная часть)")</f>
        <v>- Тишина Челлендж (бесплатная часть)</v>
      </c>
      <c r="G1541" s="14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</row>
    <row r="1542" spans="1:26" ht="14.25">
      <c r="A1542" s="14" t="str">
        <f ca="1">IFERROR(__xludf.DUMMYFUNCTION("""COMPUTED_VALUE"""),"olesya.sprygina,  ")</f>
        <v xml:space="preserve">olesya.sprygina,  </v>
      </c>
      <c r="B1542" s="14" t="str">
        <f ca="1">IFERROR(__xludf.DUMMYFUNCTION("""COMPUTED_VALUE"""),"olesya.sprygina@yandex.ru")</f>
        <v>olesya.sprygina@yandex.ru</v>
      </c>
      <c r="C1542" s="15"/>
      <c r="D1542" s="15"/>
      <c r="E1542" s="14"/>
      <c r="F1542" s="8" t="str">
        <f ca="1">IFERROR(__xludf.DUMMYFUNCTION("""COMPUTED_VALUE"""),"- USA Челлендж Тишина")</f>
        <v>- USA Челлендж Тишина</v>
      </c>
      <c r="G1542" s="14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</row>
    <row r="1543" spans="1:26" ht="14.25">
      <c r="A1543" s="14" t="str">
        <f ca="1">IFERROR(__xludf.DUMMYFUNCTION("""COMPUTED_VALUE"""),"olga_carina,  ")</f>
        <v xml:space="preserve">olga_carina,  </v>
      </c>
      <c r="B1543" s="14" t="str">
        <f ca="1">IFERROR(__xludf.DUMMYFUNCTION("""COMPUTED_VALUE"""),"olga_carina@yahoo.com")</f>
        <v>olga_carina@yahoo.com</v>
      </c>
      <c r="C1543" s="15"/>
      <c r="D1543" s="15"/>
      <c r="E1543" s="14"/>
      <c r="F1543" s="8" t="str">
        <f ca="1">IFERROR(__xludf.DUMMYFUNCTION("""COMPUTED_VALUE"""),"- USA Челлендж Тишина")</f>
        <v>- USA Челлендж Тишина</v>
      </c>
      <c r="G1543" s="14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</row>
    <row r="1544" spans="1:26" ht="14.25">
      <c r="A1544" s="14" t="str">
        <f ca="1">IFERROR(__xludf.DUMMYFUNCTION("""COMPUTED_VALUE"""),"olga Миронова")</f>
        <v>olga Миронова</v>
      </c>
      <c r="B1544" s="14" t="str">
        <f ca="1">IFERROR(__xludf.DUMMYFUNCTION("""COMPUTED_VALUE"""),"olga_m.n@mail.ru")</f>
        <v>olga_m.n@mail.ru</v>
      </c>
      <c r="C1544" s="15" t="str">
        <f ca="1">IFERROR(__xludf.DUMMYFUNCTION("""COMPUTED_VALUE"""),"79517433228")</f>
        <v>79517433228</v>
      </c>
      <c r="D1544" s="15" t="str">
        <f ca="1">IFERROR(__xludf.DUMMYFUNCTION("""COMPUTED_VALUE"""),"Россия")</f>
        <v>Россия</v>
      </c>
      <c r="E1544" s="14"/>
      <c r="F1544" s="8" t="str">
        <f ca="1">IFERROR(__xludf.DUMMYFUNCTION("""COMPUTED_VALUE"""),"- Регулярная практика тишины в Москве ")</f>
        <v xml:space="preserve">- Регулярная практика тишины в Москве </v>
      </c>
      <c r="G1544" s="14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</row>
    <row r="1545" spans="1:26" ht="25.5">
      <c r="A1545" s="14" t="str">
        <f ca="1">IFERROR(__xludf.DUMMYFUNCTION("""COMPUTED_VALUE"""),"Ольга Понявина")</f>
        <v>Ольга Понявина</v>
      </c>
      <c r="B1545" s="14" t="str">
        <f ca="1">IFERROR(__xludf.DUMMYFUNCTION("""COMPUTED_VALUE"""),"Olga_ponyavina@mail.ru")</f>
        <v>Olga_ponyavina@mail.ru</v>
      </c>
      <c r="C1545" s="15" t="str">
        <f ca="1">IFERROR(__xludf.DUMMYFUNCTION("""COMPUTED_VALUE"""),"87772176138")</f>
        <v>87772176138</v>
      </c>
      <c r="D1545" s="15" t="str">
        <f ca="1">IFERROR(__xludf.DUMMYFUNCTION("""COMPUTED_VALUE"""),"Казахстан ")</f>
        <v xml:space="preserve">Казахстан </v>
      </c>
      <c r="E1545" s="14"/>
      <c r="F154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545" s="14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</row>
    <row r="1546" spans="1:26" ht="14.25">
      <c r="A1546" s="14" t="str">
        <f ca="1">IFERROR(__xludf.DUMMYFUNCTION("""COMPUTED_VALUE"""),"Ольга Акбашева")</f>
        <v>Ольга Акбашева</v>
      </c>
      <c r="B1546" s="14" t="str">
        <f ca="1">IFERROR(__xludf.DUMMYFUNCTION("""COMPUTED_VALUE"""),"Olga.Akbasheva@mail.ru")</f>
        <v>Olga.Akbasheva@mail.ru</v>
      </c>
      <c r="C1546" s="15" t="str">
        <f ca="1">IFERROR(__xludf.DUMMYFUNCTION("""COMPUTED_VALUE"""),"79639078072")</f>
        <v>79639078072</v>
      </c>
      <c r="D1546" s="15" t="str">
        <f ca="1">IFERROR(__xludf.DUMMYFUNCTION("""COMPUTED_VALUE"""),"Россия")</f>
        <v>Россия</v>
      </c>
      <c r="E1546" s="14"/>
      <c r="F1546" s="8" t="str">
        <f ca="1">IFERROR(__xludf.DUMMYFUNCTION("""COMPUTED_VALUE"""),"- Тишина Челлендж (бесплатная часть)")</f>
        <v>- Тишина Челлендж (бесплатная часть)</v>
      </c>
      <c r="G1546" s="14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</row>
    <row r="1547" spans="1:26" ht="14.25">
      <c r="A1547" s="14" t="str">
        <f ca="1">IFERROR(__xludf.DUMMYFUNCTION("""COMPUTED_VALUE"""),"olga.kichygina,  ")</f>
        <v xml:space="preserve">olga.kichygina,  </v>
      </c>
      <c r="B1547" s="14" t="str">
        <f ca="1">IFERROR(__xludf.DUMMYFUNCTION("""COMPUTED_VALUE"""),"olga.kichygina@gmail.com")</f>
        <v>olga.kichygina@gmail.com</v>
      </c>
      <c r="C1547" s="15"/>
      <c r="D1547" s="15"/>
      <c r="E1547" s="14"/>
      <c r="F1547" s="8" t="str">
        <f ca="1">IFERROR(__xludf.DUMMYFUNCTION("""COMPUTED_VALUE"""),"- USA Челлендж Тишина")</f>
        <v>- USA Челлендж Тишина</v>
      </c>
      <c r="G1547" s="14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</row>
    <row r="1548" spans="1:26" ht="14.25">
      <c r="A1548" s="14" t="str">
        <f ca="1">IFERROR(__xludf.DUMMYFUNCTION("""COMPUTED_VALUE"""),"ОЛЬГА КОГОДЕЕВА")</f>
        <v>ОЛЬГА КОГОДЕЕВА</v>
      </c>
      <c r="B1548" s="14" t="str">
        <f ca="1">IFERROR(__xludf.DUMMYFUNCTION("""COMPUTED_VALUE"""),"Olga.kogodeeva@mail.ru")</f>
        <v>Olga.kogodeeva@mail.ru</v>
      </c>
      <c r="C1548" s="15" t="str">
        <f ca="1">IFERROR(__xludf.DUMMYFUNCTION("""COMPUTED_VALUE"""),"79235749363")</f>
        <v>79235749363</v>
      </c>
      <c r="D1548" s="15" t="str">
        <f ca="1">IFERROR(__xludf.DUMMYFUNCTION("""COMPUTED_VALUE"""),"Россия")</f>
        <v>Россия</v>
      </c>
      <c r="E1548" s="14"/>
      <c r="F1548" s="8" t="str">
        <f ca="1">IFERROR(__xludf.DUMMYFUNCTION("""COMPUTED_VALUE"""),"- Тишина Челлендж (бесплатная часть)")</f>
        <v>- Тишина Челлендж (бесплатная часть)</v>
      </c>
      <c r="G1548" s="14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</row>
    <row r="1549" spans="1:26" ht="14.25">
      <c r="A1549" s="14" t="str">
        <f ca="1">IFERROR(__xludf.DUMMYFUNCTION("""COMPUTED_VALUE"""),"Ольга Левина")</f>
        <v>Ольга Левина</v>
      </c>
      <c r="B1549" s="14" t="str">
        <f ca="1">IFERROR(__xludf.DUMMYFUNCTION("""COMPUTED_VALUE"""),"olga.levina.fr@yandex.ru")</f>
        <v>olga.levina.fr@yandex.ru</v>
      </c>
      <c r="C1549" s="15" t="str">
        <f ca="1">IFERROR(__xludf.DUMMYFUNCTION("""COMPUTED_VALUE"""),"+79031150003")</f>
        <v>+79031150003</v>
      </c>
      <c r="D1549" s="15" t="str">
        <f ca="1">IFERROR(__xludf.DUMMYFUNCTION("""COMPUTED_VALUE"""),"Россия")</f>
        <v>Россия</v>
      </c>
      <c r="E1549" s="14" t="str">
        <f ca="1">IFERROR(__xludf.DUMMYFUNCTION("""COMPUTED_VALUE"""),"ol_ga_levina")</f>
        <v>ol_ga_levina</v>
      </c>
      <c r="F1549" s="8" t="str">
        <f ca="1">IFERROR(__xludf.DUMMYFUNCTION("""COMPUTED_VALUE"""),"- Клуб пробуждения Друзья (2 уровень) - 1 месяц")</f>
        <v>- Клуб пробуждения Друзья (2 уровень) - 1 месяц</v>
      </c>
      <c r="G1549" s="14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</row>
    <row r="1550" spans="1:26" ht="14.25">
      <c r="A1550" s="14" t="str">
        <f ca="1">IFERROR(__xludf.DUMMYFUNCTION("""COMPUTED_VALUE"""),"Ольга Нечаева")</f>
        <v>Ольга Нечаева</v>
      </c>
      <c r="B1550" s="14" t="str">
        <f ca="1">IFERROR(__xludf.DUMMYFUNCTION("""COMPUTED_VALUE"""),"olga.m.nechaeva@mail.ru")</f>
        <v>olga.m.nechaeva@mail.ru</v>
      </c>
      <c r="C1550" s="15" t="str">
        <f ca="1">IFERROR(__xludf.DUMMYFUNCTION("""COMPUTED_VALUE"""),"79136961098")</f>
        <v>79136961098</v>
      </c>
      <c r="D1550" s="15" t="str">
        <f ca="1">IFERROR(__xludf.DUMMYFUNCTION("""COMPUTED_VALUE"""),"Россия")</f>
        <v>Россия</v>
      </c>
      <c r="E1550" s="14"/>
      <c r="F1550" s="8" t="str">
        <f ca="1">IFERROR(__xludf.DUMMYFUNCTION("""COMPUTED_VALUE"""),"- Вебинар все о ретрите 12.2.2022")</f>
        <v>- Вебинар все о ретрите 12.2.2022</v>
      </c>
      <c r="G1550" s="14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</row>
    <row r="1551" spans="1:26" ht="14.25">
      <c r="A1551" s="14" t="str">
        <f ca="1">IFERROR(__xludf.DUMMYFUNCTION("""COMPUTED_VALUE"""),"Ольга Шелкова")</f>
        <v>Ольга Шелкова</v>
      </c>
      <c r="B1551" s="14" t="str">
        <f ca="1">IFERROR(__xludf.DUMMYFUNCTION("""COMPUTED_VALUE"""),"olga.shelkova@internet.ru")</f>
        <v>olga.shelkova@internet.ru</v>
      </c>
      <c r="C1551" s="15" t="str">
        <f ca="1">IFERROR(__xludf.DUMMYFUNCTION("""COMPUTED_VALUE"""),"+998946359758")</f>
        <v>+998946359758</v>
      </c>
      <c r="D1551" s="15"/>
      <c r="E1551" s="14"/>
      <c r="F1551" s="8" t="str">
        <f ca="1">IFERROR(__xludf.DUMMYFUNCTION("""COMPUTED_VALUE"""),"- Клуб пробуждения Друзья (Региональный)")</f>
        <v>- Клуб пробуждения Друзья (Региональный)</v>
      </c>
      <c r="G1551" s="14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</row>
    <row r="1552" spans="1:26" ht="14.25">
      <c r="A1552" s="14" t="str">
        <f ca="1">IFERROR(__xludf.DUMMYFUNCTION("""COMPUTED_VALUE"""),"Ольга Елизарова")</f>
        <v>Ольга Елизарова</v>
      </c>
      <c r="B1552" s="14" t="str">
        <f ca="1">IFERROR(__xludf.DUMMYFUNCTION("""COMPUTED_VALUE"""),"Olga.workis.2000@gmail.com")</f>
        <v>Olga.workis.2000@gmail.com</v>
      </c>
      <c r="C1552" s="15" t="str">
        <f ca="1">IFERROR(__xludf.DUMMYFUNCTION("""COMPUTED_VALUE"""),"+79152127228")</f>
        <v>+79152127228</v>
      </c>
      <c r="D1552" s="15"/>
      <c r="E1552" s="14"/>
      <c r="F1552" s="8" t="str">
        <f ca="1">IFERROR(__xludf.DUMMYFUNCTION("""COMPUTED_VALUE"""),"- Партнерская программа")</f>
        <v>- Партнерская программа</v>
      </c>
      <c r="G1552" s="14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</row>
    <row r="1553" spans="1:26" ht="25.5">
      <c r="A1553" s="14" t="str">
        <f ca="1">IFERROR(__xludf.DUMMYFUNCTION("""COMPUTED_VALUE"""),"Ольга мальцева")</f>
        <v>Ольга мальцева</v>
      </c>
      <c r="B1553" s="14" t="str">
        <f ca="1">IFERROR(__xludf.DUMMYFUNCTION("""COMPUTED_VALUE"""),"Olga568381@mail.ru")</f>
        <v>Olga568381@mail.ru</v>
      </c>
      <c r="C1553" s="15" t="str">
        <f ca="1">IFERROR(__xludf.DUMMYFUNCTION("""COMPUTED_VALUE"""),"79025568381")</f>
        <v>79025568381</v>
      </c>
      <c r="D1553" s="15" t="str">
        <f ca="1">IFERROR(__xludf.DUMMYFUNCTION("""COMPUTED_VALUE"""),"Франция")</f>
        <v>Франция</v>
      </c>
      <c r="E1553" s="14"/>
      <c r="F1553" s="8" t="str">
        <f ca="1">IFERROR(__xludf.DUMMYFUNCTION("""COMPUTED_VALUE"""),"-  Курс Пробуждение. Начало.
- Базовая бесплатная часть")</f>
        <v>-  Курс Пробуждение. Начало.
- Базовая бесплатная часть</v>
      </c>
      <c r="G1553" s="14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</row>
    <row r="1554" spans="1:26" ht="14.25">
      <c r="A1554" s="14" t="str">
        <f ca="1">IFERROR(__xludf.DUMMYFUNCTION("""COMPUTED_VALUE"""),"Ольга Куневич")</f>
        <v>Ольга Куневич</v>
      </c>
      <c r="B1554" s="14" t="str">
        <f ca="1">IFERROR(__xludf.DUMMYFUNCTION("""COMPUTED_VALUE"""),"olgakunevich1973@gmail.com")</f>
        <v>olgakunevich1973@gmail.com</v>
      </c>
      <c r="C1554" s="15" t="str">
        <f ca="1">IFERROR(__xludf.DUMMYFUNCTION("""COMPUTED_VALUE"""),"+375291539137")</f>
        <v>+375291539137</v>
      </c>
      <c r="D1554" s="15" t="str">
        <f ca="1">IFERROR(__xludf.DUMMYFUNCTION("""COMPUTED_VALUE"""),"Беларусь")</f>
        <v>Беларусь</v>
      </c>
      <c r="E1554" s="14"/>
      <c r="F1554" s="8" t="str">
        <f ca="1">IFERROR(__xludf.DUMMYFUNCTION("""COMPUTED_VALUE"""),"-  Курс Пробуждение. Начало.")</f>
        <v>-  Курс Пробуждение. Начало.</v>
      </c>
      <c r="G1554" s="14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</row>
    <row r="1555" spans="1:26" ht="14.25">
      <c r="A1555" s="14" t="str">
        <f ca="1">IFERROR(__xludf.DUMMYFUNCTION("""COMPUTED_VALUE"""),"Ольга Мануйлова")</f>
        <v>Ольга Мануйлова</v>
      </c>
      <c r="B1555" s="14" t="str">
        <f ca="1">IFERROR(__xludf.DUMMYFUNCTION("""COMPUTED_VALUE"""),"olgaman3006@mail.ru")</f>
        <v>olgaman3006@mail.ru</v>
      </c>
      <c r="C1555" s="15" t="str">
        <f ca="1">IFERROR(__xludf.DUMMYFUNCTION("""COMPUTED_VALUE"""),"79052478802")</f>
        <v>79052478802</v>
      </c>
      <c r="D1555" s="15" t="str">
        <f ca="1">IFERROR(__xludf.DUMMYFUNCTION("""COMPUTED_VALUE"""),"Россия")</f>
        <v>Россия</v>
      </c>
      <c r="E1555" s="14"/>
      <c r="F1555" s="8" t="str">
        <f ca="1">IFERROR(__xludf.DUMMYFUNCTION("""COMPUTED_VALUE"""),"- Вводный вебинар 3.5.22 на Шаг к Пробуждению")</f>
        <v>- Вводный вебинар 3.5.22 на Шаг к Пробуждению</v>
      </c>
      <c r="G1555" s="14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</row>
    <row r="1556" spans="1:26" ht="14.25">
      <c r="A1556" s="14" t="str">
        <f ca="1">IFERROR(__xludf.DUMMYFUNCTION("""COMPUTED_VALUE"""),"Ольга Соломатина")</f>
        <v>Ольга Соломатина</v>
      </c>
      <c r="B1556" s="14" t="str">
        <f ca="1">IFERROR(__xludf.DUMMYFUNCTION("""COMPUTED_VALUE"""),"olganasolo@yandex.ru")</f>
        <v>olganasolo@yandex.ru</v>
      </c>
      <c r="C1556" s="15" t="str">
        <f ca="1">IFERROR(__xludf.DUMMYFUNCTION("""COMPUTED_VALUE"""),", 79525944882")</f>
        <v>, 79525944882</v>
      </c>
      <c r="D1556" s="15" t="str">
        <f ca="1">IFERROR(__xludf.DUMMYFUNCTION("""COMPUTED_VALUE"""),"Россия")</f>
        <v>Россия</v>
      </c>
      <c r="E1556" s="14"/>
      <c r="F1556" s="8" t="str">
        <f ca="1">IFERROR(__xludf.DUMMYFUNCTION("""COMPUTED_VALUE"""),"Мероприятий не обнаружено")</f>
        <v>Мероприятий не обнаружено</v>
      </c>
      <c r="G1556" s="14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</row>
    <row r="1557" spans="1:26" ht="14.25">
      <c r="A1557" s="14" t="str">
        <f ca="1">IFERROR(__xludf.DUMMYFUNCTION("""COMPUTED_VALUE"""),"Ольга Ушакова")</f>
        <v>Ольга Ушакова</v>
      </c>
      <c r="B1557" s="14" t="str">
        <f ca="1">IFERROR(__xludf.DUMMYFUNCTION("""COMPUTED_VALUE"""),"olgauchakova19702247@gmail.com")</f>
        <v>olgauchakova19702247@gmail.com</v>
      </c>
      <c r="C1557" s="15" t="str">
        <f ca="1">IFERROR(__xludf.DUMMYFUNCTION("""COMPUTED_VALUE"""),"+7998909507386")</f>
        <v>+7998909507386</v>
      </c>
      <c r="D1557" s="15" t="str">
        <f ca="1">IFERROR(__xludf.DUMMYFUNCTION("""COMPUTED_VALUE"""),"Узбекистан")</f>
        <v>Узбекистан</v>
      </c>
      <c r="E1557" s="14"/>
      <c r="F1557" s="8" t="str">
        <f ca="1">IFERROR(__xludf.DUMMYFUNCTION("""COMPUTED_VALUE"""),"- Вебинар все о ретрите 12.2.2022")</f>
        <v>- Вебинар все о ретрите 12.2.2022</v>
      </c>
      <c r="G1557" s="14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</row>
    <row r="1558" spans="1:26" ht="14.25">
      <c r="A1558" s="14" t="str">
        <f ca="1">IFERROR(__xludf.DUMMYFUNCTION("""COMPUTED_VALUE"""),"olgaVT2006,  ")</f>
        <v xml:space="preserve">olgaVT2006,  </v>
      </c>
      <c r="B1558" s="14" t="str">
        <f ca="1">IFERROR(__xludf.DUMMYFUNCTION("""COMPUTED_VALUE"""),"olgaVT2006@ya.ru")</f>
        <v>olgaVT2006@ya.ru</v>
      </c>
      <c r="C1558" s="15"/>
      <c r="D1558" s="15" t="str">
        <f ca="1">IFERROR(__xludf.DUMMYFUNCTION("""COMPUTED_VALUE"""),"Беларусь")</f>
        <v>Беларусь</v>
      </c>
      <c r="E1558" s="14"/>
      <c r="F1558" s="8" t="str">
        <f ca="1">IFERROR(__xludf.DUMMYFUNCTION("""COMPUTED_VALUE"""),"- Базовая бесплатная часть")</f>
        <v>- Базовая бесплатная часть</v>
      </c>
      <c r="G1558" s="14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</row>
    <row r="1559" spans="1:26" ht="14.25">
      <c r="A1559" s="14" t="str">
        <f ca="1">IFERROR(__xludf.DUMMYFUNCTION("""COMPUTED_VALUE"""),"Olga Wootton")</f>
        <v>Olga Wootton</v>
      </c>
      <c r="B1559" s="14" t="str">
        <f ca="1">IFERROR(__xludf.DUMMYFUNCTION("""COMPUTED_VALUE"""),"Olgawootton@gmail.com")</f>
        <v>Olgawootton@gmail.com</v>
      </c>
      <c r="C1559" s="15" t="str">
        <f ca="1">IFERROR(__xludf.DUMMYFUNCTION("""COMPUTED_VALUE"""),", +79103478087")</f>
        <v>, +79103478087</v>
      </c>
      <c r="D1559" s="15" t="str">
        <f ca="1">IFERROR(__xludf.DUMMYFUNCTION("""COMPUTED_VALUE"""),"Россия")</f>
        <v>Россия</v>
      </c>
      <c r="E1559" s="14"/>
      <c r="F1559" s="8" t="str">
        <f ca="1">IFERROR(__xludf.DUMMYFUNCTION("""COMPUTED_VALUE"""),"Мероприятий не обнаружено")</f>
        <v>Мероприятий не обнаружено</v>
      </c>
      <c r="G1559" s="14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</row>
    <row r="1560" spans="1:26" ht="14.25">
      <c r="A1560" s="14" t="str">
        <f ca="1">IFERROR(__xludf.DUMMYFUNCTION("""COMPUTED_VALUE"""),"Алла Кравченко")</f>
        <v>Алла Кравченко</v>
      </c>
      <c r="B1560" s="14" t="str">
        <f ca="1">IFERROR(__xludf.DUMMYFUNCTION("""COMPUTED_VALUE"""),"olgazarova9@mail.com")</f>
        <v>olgazarova9@mail.com</v>
      </c>
      <c r="C1560" s="15" t="str">
        <f ca="1">IFERROR(__xludf.DUMMYFUNCTION("""COMPUTED_VALUE"""),", +79520078309")</f>
        <v>, +79520078309</v>
      </c>
      <c r="D1560" s="15" t="str">
        <f ca="1">IFERROR(__xludf.DUMMYFUNCTION("""COMPUTED_VALUE"""),"Россия")</f>
        <v>Россия</v>
      </c>
      <c r="E1560" s="14" t="str">
        <f ca="1">IFERROR(__xludf.DUMMYFUNCTION("""COMPUTED_VALUE"""),"А")</f>
        <v>А</v>
      </c>
      <c r="F1560" s="8" t="str">
        <f ca="1">IFERROR(__xludf.DUMMYFUNCTION("""COMPUTED_VALUE"""),"Мероприятий не обнаружено")</f>
        <v>Мероприятий не обнаружено</v>
      </c>
      <c r="G1560" s="14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</row>
    <row r="1561" spans="1:26" ht="14.25">
      <c r="A1561" s="14" t="str">
        <f ca="1">IFERROR(__xludf.DUMMYFUNCTION("""COMPUTED_VALUE"""),"Ольга Захарова")</f>
        <v>Ольга Захарова</v>
      </c>
      <c r="B1561" s="14" t="str">
        <f ca="1">IFERROR(__xludf.DUMMYFUNCTION("""COMPUTED_VALUE"""),"Olia777_06@mail.ru")</f>
        <v>Olia777_06@mail.ru</v>
      </c>
      <c r="C1561" s="15"/>
      <c r="D1561" s="15" t="str">
        <f ca="1">IFERROR(__xludf.DUMMYFUNCTION("""COMPUTED_VALUE"""),"Россия")</f>
        <v>Россия</v>
      </c>
      <c r="E1561" s="14"/>
      <c r="F1561" s="8" t="str">
        <f ca="1">IFERROR(__xludf.DUMMYFUNCTION("""COMPUTED_VALUE"""),"- Тишина Челлендж (бесплатная часть)")</f>
        <v>- Тишина Челлендж (бесплатная часть)</v>
      </c>
      <c r="G1561" s="14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</row>
    <row r="1562" spans="1:26" ht="14.25">
      <c r="A1562" s="14" t="str">
        <f ca="1">IFERROR(__xludf.DUMMYFUNCTION("""COMPUTED_VALUE"""),"Olga Leis")</f>
        <v>Olga Leis</v>
      </c>
      <c r="B1562" s="14" t="str">
        <f ca="1">IFERROR(__xludf.DUMMYFUNCTION("""COMPUTED_VALUE"""),"Olja_nt@gmx.de")</f>
        <v>Olja_nt@gmx.de</v>
      </c>
      <c r="C1562" s="15" t="str">
        <f ca="1">IFERROR(__xludf.DUMMYFUNCTION("""COMPUTED_VALUE"""),"015758311026")</f>
        <v>015758311026</v>
      </c>
      <c r="D1562" s="15" t="str">
        <f ca="1">IFERROR(__xludf.DUMMYFUNCTION("""COMPUTED_VALUE"""),"Германия")</f>
        <v>Германия</v>
      </c>
      <c r="E1562" s="14"/>
      <c r="F1562" s="8" t="str">
        <f ca="1">IFERROR(__xludf.DUMMYFUNCTION("""COMPUTED_VALUE"""),"- Новогодний фестиваль 29.12.2021-1.01.2022 Бад Майнберг")</f>
        <v>- Новогодний фестиваль 29.12.2021-1.01.2022 Бад Майнберг</v>
      </c>
      <c r="G1562" s="14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</row>
    <row r="1563" spans="1:26" ht="25.5">
      <c r="A1563" s="14" t="str">
        <f ca="1">IFERROR(__xludf.DUMMYFUNCTION("""COMPUTED_VALUE"""),"Олмосхон Рузиматова")</f>
        <v>Олмосхон Рузиматова</v>
      </c>
      <c r="B1563" s="14" t="str">
        <f ca="1">IFERROR(__xludf.DUMMYFUNCTION("""COMPUTED_VALUE"""),"olmosxon91@mail.ru")</f>
        <v>olmosxon91@mail.ru</v>
      </c>
      <c r="C1563" s="15" t="str">
        <f ca="1">IFERROR(__xludf.DUMMYFUNCTION("""COMPUTED_VALUE"""),"+998913987775")</f>
        <v>+998913987775</v>
      </c>
      <c r="D1563" s="15"/>
      <c r="E1563" s="14"/>
      <c r="F156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563" s="14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</row>
    <row r="1564" spans="1:26" ht="14.25">
      <c r="A1564" s="14" t="str">
        <f ca="1">IFERROR(__xludf.DUMMYFUNCTION("""COMPUTED_VALUE"""),"Ольга, Ольга ")</f>
        <v xml:space="preserve">Ольга, Ольга </v>
      </c>
      <c r="B1564" s="14" t="str">
        <f ca="1">IFERROR(__xludf.DUMMYFUNCTION("""COMPUTED_VALUE"""),"oluskafix@gmail.com")</f>
        <v>oluskafix@gmail.com</v>
      </c>
      <c r="C1564" s="15" t="str">
        <f ca="1">IFERROR(__xludf.DUMMYFUNCTION("""COMPUTED_VALUE"""),"420773013880")</f>
        <v>420773013880</v>
      </c>
      <c r="D1564" s="15" t="str">
        <f ca="1">IFERROR(__xludf.DUMMYFUNCTION("""COMPUTED_VALUE"""),"Чешская Республика")</f>
        <v>Чешская Республика</v>
      </c>
      <c r="E1564" s="14"/>
      <c r="F1564" s="8" t="str">
        <f ca="1">IFERROR(__xludf.DUMMYFUNCTION("""COMPUTED_VALUE"""),"-  Курс Пробуждение. Начало.")</f>
        <v>-  Курс Пробуждение. Начало.</v>
      </c>
      <c r="G1564" s="14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</row>
    <row r="1565" spans="1:26" ht="14.25">
      <c r="A1565" s="14" t="str">
        <f ca="1">IFERROR(__xludf.DUMMYFUNCTION("""COMPUTED_VALUE"""),"Ольга Росивецкая")</f>
        <v>Ольга Росивецкая</v>
      </c>
      <c r="B1565" s="14" t="str">
        <f ca="1">IFERROR(__xludf.DUMMYFUNCTION("""COMPUTED_VALUE"""),"olya.rosi@yandex.ru")</f>
        <v>olya.rosi@yandex.ru</v>
      </c>
      <c r="C1565" s="15" t="str">
        <f ca="1">IFERROR(__xludf.DUMMYFUNCTION("""COMPUTED_VALUE"""),"79167036699")</f>
        <v>79167036699</v>
      </c>
      <c r="D1565" s="15" t="str">
        <f ca="1">IFERROR(__xludf.DUMMYFUNCTION("""COMPUTED_VALUE"""),"Россия")</f>
        <v>Россия</v>
      </c>
      <c r="E1565" s="14"/>
      <c r="F1565" s="8" t="str">
        <f ca="1">IFERROR(__xludf.DUMMYFUNCTION("""COMPUTED_VALUE"""),"- Тишина Челлендж (бесплатная часть)")</f>
        <v>- Тишина Челлендж (бесплатная часть)</v>
      </c>
      <c r="G1565" s="14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</row>
    <row r="1566" spans="1:26" ht="14.25">
      <c r="A1566" s="14" t="str">
        <f ca="1">IFERROR(__xludf.DUMMYFUNCTION("""COMPUTED_VALUE"""),"Ольга Ляпустина")</f>
        <v>Ольга Ляпустина</v>
      </c>
      <c r="B1566" s="14" t="str">
        <f ca="1">IFERROR(__xludf.DUMMYFUNCTION("""COMPUTED_VALUE"""),"Olyapustina@ya.ru")</f>
        <v>Olyapustina@ya.ru</v>
      </c>
      <c r="C1566" s="15" t="str">
        <f ca="1">IFERROR(__xludf.DUMMYFUNCTION("""COMPUTED_VALUE"""),"79113288990")</f>
        <v>79113288990</v>
      </c>
      <c r="D1566" s="15"/>
      <c r="E1566" s="14"/>
      <c r="F1566" s="8" t="str">
        <f ca="1">IFERROR(__xludf.DUMMYFUNCTION("""COMPUTED_VALUE"""),"- Тишина Челлендж (бесплатная часть)")</f>
        <v>- Тишина Челлендж (бесплатная часть)</v>
      </c>
      <c r="G1566" s="14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</row>
    <row r="1567" spans="1:26" ht="38.25">
      <c r="A1567" s="14" t="str">
        <f ca="1">IFERROR(__xludf.DUMMYFUNCTION("""COMPUTED_VALUE"""),"Мила грабовская")</f>
        <v>Мила грабовская</v>
      </c>
      <c r="B1567" s="14" t="str">
        <f ca="1">IFERROR(__xludf.DUMMYFUNCTION("""COMPUTED_VALUE"""),"olyromashka@gmail.com")</f>
        <v>olyromashka@gmail.com</v>
      </c>
      <c r="C1567" s="15" t="str">
        <f ca="1">IFERROR(__xludf.DUMMYFUNCTION("""COMPUTED_VALUE"""),"0634037853")</f>
        <v>0634037853</v>
      </c>
      <c r="D1567" s="15"/>
      <c r="E1567" s="14" t="str">
        <f ca="1">IFERROR(__xludf.DUMMYFUNCTION("""COMPUTED_VALUE"""),"olga_grabovska")</f>
        <v>olga_grabovska</v>
      </c>
      <c r="F1567" s="8" t="str">
        <f ca="1">IFERROR(__xludf.DUMMYFUNCTION("""COMPUTED_VALUE"""),"- Клуб пробуждения Друзья (2 уровень) - 1 месяц
- Вебинар все о ретрите 12.2.2022
- Практика Тишины общая платная")</f>
        <v>- Клуб пробуждения Друзья (2 уровень) - 1 месяц
- Вебинар все о ретрите 12.2.2022
- Практика Тишины общая платная</v>
      </c>
      <c r="G1567" s="14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</row>
    <row r="1568" spans="1:26" ht="25.5">
      <c r="A1568" s="14" t="str">
        <f ca="1">IFERROR(__xludf.DUMMYFUNCTION("""COMPUTED_VALUE"""),"Эльмира Омарова")</f>
        <v>Эльмира Омарова</v>
      </c>
      <c r="B1568" s="14" t="str">
        <f ca="1">IFERROR(__xludf.DUMMYFUNCTION("""COMPUTED_VALUE"""),"omarova_elmira96@mail.ru")</f>
        <v>omarova_elmira96@mail.ru</v>
      </c>
      <c r="C1568" s="15" t="str">
        <f ca="1">IFERROR(__xludf.DUMMYFUNCTION("""COMPUTED_VALUE"""),"87069062888")</f>
        <v>87069062888</v>
      </c>
      <c r="D1568" s="15"/>
      <c r="E1568" s="14"/>
      <c r="F156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568" s="14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</row>
    <row r="1569" spans="1:26" ht="25.5">
      <c r="A1569" s="14" t="str">
        <f ca="1">IFERROR(__xludf.DUMMYFUNCTION("""COMPUTED_VALUE"""),"Закимова Онал")</f>
        <v>Закимова Онал</v>
      </c>
      <c r="B1569" s="14" t="str">
        <f ca="1">IFERROR(__xludf.DUMMYFUNCTION("""COMPUTED_VALUE"""),"onalseme1980@gmail.com")</f>
        <v>onalseme1980@gmail.com</v>
      </c>
      <c r="C1569" s="15" t="str">
        <f ca="1">IFERROR(__xludf.DUMMYFUNCTION("""COMPUTED_VALUE"""),"+77772845700")</f>
        <v>+77772845700</v>
      </c>
      <c r="D1569" s="15" t="str">
        <f ca="1">IFERROR(__xludf.DUMMYFUNCTION("""COMPUTED_VALUE"""),"Казахстан")</f>
        <v>Казахстан</v>
      </c>
      <c r="E1569" s="14"/>
      <c r="F156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569" s="14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</row>
    <row r="1570" spans="1:26" ht="14.25">
      <c r="A1570" s="14" t="str">
        <f ca="1">IFERROR(__xludf.DUMMYFUNCTION("""COMPUTED_VALUE"""),"Ольга Руднева")</f>
        <v>Ольга Руднева</v>
      </c>
      <c r="B1570" s="14" t="str">
        <f ca="1">IFERROR(__xludf.DUMMYFUNCTION("""COMPUTED_VALUE"""),"onrudneva@mail.ru")</f>
        <v>onrudneva@mail.ru</v>
      </c>
      <c r="C1570" s="15" t="str">
        <f ca="1">IFERROR(__xludf.DUMMYFUNCTION("""COMPUTED_VALUE"""),", 79262036225")</f>
        <v>, 79262036225</v>
      </c>
      <c r="D1570" s="15" t="str">
        <f ca="1">IFERROR(__xludf.DUMMYFUNCTION("""COMPUTED_VALUE"""),"Россия")</f>
        <v>Россия</v>
      </c>
      <c r="E1570" s="14"/>
      <c r="F1570" s="8" t="str">
        <f ca="1">IFERROR(__xludf.DUMMYFUNCTION("""COMPUTED_VALUE"""),"Мероприятий не обнаружено")</f>
        <v>Мероприятий не обнаружено</v>
      </c>
      <c r="G1570" s="14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</row>
    <row r="1571" spans="1:26" ht="14.25">
      <c r="A1571" s="14" t="str">
        <f ca="1">IFERROR(__xludf.DUMMYFUNCTION("""COMPUTED_VALUE"""),"Белова,  Белова")</f>
        <v>Белова,  Белова</v>
      </c>
      <c r="B1571" s="14" t="str">
        <f ca="1">IFERROR(__xludf.DUMMYFUNCTION("""COMPUTED_VALUE"""),"opiolga18@gmail.com")</f>
        <v>opiolga18@gmail.com</v>
      </c>
      <c r="C1571" s="15" t="str">
        <f ca="1">IFERROR(__xludf.DUMMYFUNCTION("""COMPUTED_VALUE"""),"79082354915")</f>
        <v>79082354915</v>
      </c>
      <c r="D1571" s="15" t="str">
        <f ca="1">IFERROR(__xludf.DUMMYFUNCTION("""COMPUTED_VALUE"""),"Россия")</f>
        <v>Россия</v>
      </c>
      <c r="E1571" s="14"/>
      <c r="F1571" s="8" t="str">
        <f ca="1">IFERROR(__xludf.DUMMYFUNCTION("""COMPUTED_VALUE"""),"- Женский круг")</f>
        <v>- Женский круг</v>
      </c>
      <c r="G1571" s="14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</row>
    <row r="1572" spans="1:26" ht="14.25">
      <c r="A1572" s="14" t="str">
        <f ca="1">IFERROR(__xludf.DUMMYFUNCTION("""COMPUTED_VALUE"""),"Zita Ordinaite")</f>
        <v>Zita Ordinaite</v>
      </c>
      <c r="B1572" s="14" t="str">
        <f ca="1">IFERROR(__xludf.DUMMYFUNCTION("""COMPUTED_VALUE"""),"ordinaite_zita@givinschool.org")</f>
        <v>ordinaite_zita@givinschool.org</v>
      </c>
      <c r="C1572" s="15" t="str">
        <f ca="1">IFERROR(__xludf.DUMMYFUNCTION("""COMPUTED_VALUE"""),", +37061127830")</f>
        <v>, +37061127830</v>
      </c>
      <c r="D1572" s="15" t="str">
        <f ca="1">IFERROR(__xludf.DUMMYFUNCTION("""COMPUTED_VALUE"""),"Литва")</f>
        <v>Литва</v>
      </c>
      <c r="E1572" s="14"/>
      <c r="F1572" s="8" t="str">
        <f ca="1">IFERROR(__xludf.DUMMYFUNCTION("""COMPUTED_VALUE"""),"Мероприятий не обнаружено")</f>
        <v>Мероприятий не обнаружено</v>
      </c>
      <c r="G1572" s="14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</row>
    <row r="1573" spans="1:26" ht="14.25">
      <c r="A1573" s="14" t="str">
        <f ca="1">IFERROR(__xludf.DUMMYFUNCTION("""COMPUTED_VALUE"""),"oreliya,  ")</f>
        <v xml:space="preserve">oreliya,  </v>
      </c>
      <c r="B1573" s="14" t="str">
        <f ca="1">IFERROR(__xludf.DUMMYFUNCTION("""COMPUTED_VALUE"""),"oreliya@mail.ru")</f>
        <v>oreliya@mail.ru</v>
      </c>
      <c r="C1573" s="15"/>
      <c r="D1573" s="15"/>
      <c r="E1573" s="14"/>
      <c r="F1573" s="8" t="str">
        <f ca="1">IFERROR(__xludf.DUMMYFUNCTION("""COMPUTED_VALUE"""),"- Челлендж Тишины")</f>
        <v>- Челлендж Тишины</v>
      </c>
      <c r="G1573" s="14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</row>
    <row r="1574" spans="1:26" ht="14.25">
      <c r="A1574" s="14" t="str">
        <f ca="1">IFERROR(__xludf.DUMMYFUNCTION("""COMPUTED_VALUE"""),"Ирина Силкова")</f>
        <v>Ирина Силкова</v>
      </c>
      <c r="B1574" s="14" t="str">
        <f ca="1">IFERROR(__xludf.DUMMYFUNCTION("""COMPUTED_VALUE"""),"orina_silkova@mail.ru")</f>
        <v>orina_silkova@mail.ru</v>
      </c>
      <c r="C1574" s="15" t="str">
        <f ca="1">IFERROR(__xludf.DUMMYFUNCTION("""COMPUTED_VALUE"""),", +31686263472")</f>
        <v>, +31686263472</v>
      </c>
      <c r="D1574" s="15" t="str">
        <f ca="1">IFERROR(__xludf.DUMMYFUNCTION("""COMPUTED_VALUE"""),"Нидерланды")</f>
        <v>Нидерланды</v>
      </c>
      <c r="E1574" s="14"/>
      <c r="F1574" s="8" t="str">
        <f ca="1">IFERROR(__xludf.DUMMYFUNCTION("""COMPUTED_VALUE"""),"Мероприятий не обнаружено")</f>
        <v>Мероприятий не обнаружено</v>
      </c>
      <c r="G1574" s="14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</row>
    <row r="1575" spans="1:26" ht="25.5">
      <c r="A1575" s="14" t="str">
        <f ca="1">IFERROR(__xludf.DUMMYFUNCTION("""COMPUTED_VALUE"""),"Гавхар Орзиева")</f>
        <v>Гавхар Орзиева</v>
      </c>
      <c r="B1575" s="14" t="str">
        <f ca="1">IFERROR(__xludf.DUMMYFUNCTION("""COMPUTED_VALUE"""),"orziyevaoisha@gmail.com")</f>
        <v>orziyevaoisha@gmail.com</v>
      </c>
      <c r="C1575" s="15" t="str">
        <f ca="1">IFERROR(__xludf.DUMMYFUNCTION("""COMPUTED_VALUE"""),"933141468")</f>
        <v>933141468</v>
      </c>
      <c r="D1575" s="15"/>
      <c r="E1575" s="14"/>
      <c r="F157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575" s="14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</row>
    <row r="1576" spans="1:26" ht="76.5">
      <c r="A1576" s="14" t="str">
        <f ca="1">IFERROR(__xludf.DUMMYFUNCTION("""COMPUTED_VALUE"""),"Наталья Осауленко")</f>
        <v>Наталья Осауленко</v>
      </c>
      <c r="B1576" s="14" t="str">
        <f ca="1">IFERROR(__xludf.DUMMYFUNCTION("""COMPUTED_VALUE"""),"osaulenko.n@mail.ru")</f>
        <v>osaulenko.n@mail.ru</v>
      </c>
      <c r="C1576" s="15" t="str">
        <f ca="1">IFERROR(__xludf.DUMMYFUNCTION("""COMPUTED_VALUE"""),"+79281099820")</f>
        <v>+79281099820</v>
      </c>
      <c r="D1576" s="15" t="str">
        <f ca="1">IFERROR(__xludf.DUMMYFUNCTION("""COMPUTED_VALUE"""),"Россия")</f>
        <v>Россия</v>
      </c>
      <c r="E1576" s="14"/>
      <c r="F1576" s="8" t="str">
        <f ca="1">IFERROR(__xludf.DUMMYFUNCTION("""COMPUTED_VALUE"""),"- Вебинар с Никитой Бородулиным 11.02.2022 часть1
- Осознанная суббота Сочи регулярное
- Ретрит в РЦ Сочи 19-27 марта 2022 (Оплата до 6 марта)
- Онлайн курс Шаг к Пробуждению №16 26.2-5.3.22 Пакет стандартный
-  встреча Космос внутри Сочи 5.3.2022")</f>
        <v>- Вебинар с Никитой Бородулиным 11.02.2022 часть1
- Осознанная суббота Сочи регулярное
- Ретрит в РЦ Сочи 19-27 марта 2022 (Оплата до 6 марта)
- Онлайн курс Шаг к Пробуждению №16 26.2-5.3.22 Пакет стандартный
-  встреча Космос внутри Сочи 5.3.2022</v>
      </c>
      <c r="G1576" s="14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</row>
    <row r="1577" spans="1:26" ht="14.25">
      <c r="A1577" s="14" t="str">
        <f ca="1">IFERROR(__xludf.DUMMYFUNCTION("""COMPUTED_VALUE"""),"Ольга Ооо")</f>
        <v>Ольга Ооо</v>
      </c>
      <c r="B1577" s="14" t="str">
        <f ca="1">IFERROR(__xludf.DUMMYFUNCTION("""COMPUTED_VALUE"""),"oska.l@mail.ru")</f>
        <v>oska.l@mail.ru</v>
      </c>
      <c r="C1577" s="15" t="str">
        <f ca="1">IFERROR(__xludf.DUMMYFUNCTION("""COMPUTED_VALUE"""),"+79054529388")</f>
        <v>+79054529388</v>
      </c>
      <c r="D1577" s="15" t="str">
        <f ca="1">IFERROR(__xludf.DUMMYFUNCTION("""COMPUTED_VALUE"""),"США")</f>
        <v>США</v>
      </c>
      <c r="E1577" s="14"/>
      <c r="F1577" s="8" t="str">
        <f ca="1">IFERROR(__xludf.DUMMYFUNCTION("""COMPUTED_VALUE"""),"- Вебинар все о ретрите 12.2.2022")</f>
        <v>- Вебинар все о ретрите 12.2.2022</v>
      </c>
      <c r="G1577" s="14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</row>
    <row r="1578" spans="1:26" ht="14.25">
      <c r="A1578" s="14" t="str">
        <f ca="1">IFERROR(__xludf.DUMMYFUNCTION("""COMPUTED_VALUE"""),"Яна Острогорская")</f>
        <v>Яна Острогорская</v>
      </c>
      <c r="B1578" s="14" t="str">
        <f ca="1">IFERROR(__xludf.DUMMYFUNCTION("""COMPUTED_VALUE"""),"ostrogorskaya200038@gmail.com")</f>
        <v>ostrogorskaya200038@gmail.com</v>
      </c>
      <c r="C1578" s="15" t="str">
        <f ca="1">IFERROR(__xludf.DUMMYFUNCTION("""COMPUTED_VALUE"""),"+79146607759")</f>
        <v>+79146607759</v>
      </c>
      <c r="D1578" s="15" t="str">
        <f ca="1">IFERROR(__xludf.DUMMYFUNCTION("""COMPUTED_VALUE"""),"Россия")</f>
        <v>Россия</v>
      </c>
      <c r="E1578" s="14"/>
      <c r="F1578" s="8" t="str">
        <f ca="1">IFERROR(__xludf.DUMMYFUNCTION("""COMPUTED_VALUE"""),"- Онлайн Интенсив Дальний Восток 25-27.03.2022 ")</f>
        <v xml:space="preserve">- Онлайн Интенсив Дальний Восток 25-27.03.2022 </v>
      </c>
      <c r="G1578" s="14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</row>
    <row r="1579" spans="1:26" ht="25.5">
      <c r="A1579" s="14" t="str">
        <f ca="1">IFERROR(__xludf.DUMMYFUNCTION("""COMPUTED_VALUE"""),"Ирина Голдберг")</f>
        <v>Ирина Голдберг</v>
      </c>
      <c r="B1579" s="14" t="str">
        <f ca="1">IFERROR(__xludf.DUMMYFUNCTION("""COMPUTED_VALUE"""),"otdel-mv@yandex.ru")</f>
        <v>otdel-mv@yandex.ru</v>
      </c>
      <c r="C1579" s="15" t="str">
        <f ca="1">IFERROR(__xludf.DUMMYFUNCTION("""COMPUTED_VALUE"""),"79133302729")</f>
        <v>79133302729</v>
      </c>
      <c r="D1579" s="15" t="str">
        <f ca="1">IFERROR(__xludf.DUMMYFUNCTION("""COMPUTED_VALUE"""),"Россия")</f>
        <v>Россия</v>
      </c>
      <c r="E1579" s="14"/>
      <c r="F1579" s="8" t="str">
        <f ca="1">IFERROR(__xludf.DUMMYFUNCTION("""COMPUTED_VALUE"""),"- Сатсанг с Валентиной Пулло в Питере 7.5.2022
- Практика Тишины в Питере с В.Пулло 10.5.2022")</f>
        <v>- Сатсанг с Валентиной Пулло в Питере 7.5.2022
- Практика Тишины в Питере с В.Пулло 10.5.2022</v>
      </c>
      <c r="G1579" s="14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</row>
    <row r="1580" spans="1:26" ht="25.5">
      <c r="A1580" s="14" t="str">
        <f ca="1">IFERROR(__xludf.DUMMYFUNCTION("""COMPUTED_VALUE"""),"Оксана Радченко")</f>
        <v>Оксана Радченко</v>
      </c>
      <c r="B1580" s="14" t="str">
        <f ca="1">IFERROR(__xludf.DUMMYFUNCTION("""COMPUTED_VALUE"""),"oxanaradchenko@mail.ru")</f>
        <v>oxanaradchenko@mail.ru</v>
      </c>
      <c r="C1580" s="15" t="str">
        <f ca="1">IFERROR(__xludf.DUMMYFUNCTION("""COMPUTED_VALUE"""),"79175000577")</f>
        <v>79175000577</v>
      </c>
      <c r="D1580" s="15" t="str">
        <f ca="1">IFERROR(__xludf.DUMMYFUNCTION("""COMPUTED_VALUE"""),"Россия")</f>
        <v>Россия</v>
      </c>
      <c r="E1580" s="14"/>
      <c r="F1580" s="8" t="str">
        <f ca="1">IFERROR(__xludf.DUMMYFUNCTION("""COMPUTED_VALUE"""),"- Беседа - сатсанг с Екатериной Сосниной: Счастье внутри нас 15.1.22")</f>
        <v>- Беседа - сатсанг с Екатериной Сосниной: Счастье внутри нас 15.1.22</v>
      </c>
      <c r="G1580" s="14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</row>
    <row r="1581" spans="1:26" ht="38.25">
      <c r="A1581" s="14" t="str">
        <f ca="1">IFERROR(__xludf.DUMMYFUNCTION("""COMPUTED_VALUE"""),"Ilze Ozoliņa")</f>
        <v>Ilze Ozoliņa</v>
      </c>
      <c r="B1581" s="14" t="str">
        <f ca="1">IFERROR(__xludf.DUMMYFUNCTION("""COMPUTED_VALUE"""),"ozoisola@gmail.com")</f>
        <v>ozoisola@gmail.com</v>
      </c>
      <c r="C1581" s="15" t="str">
        <f ca="1">IFERROR(__xludf.DUMMYFUNCTION("""COMPUTED_VALUE"""),"+37129361122")</f>
        <v>+37129361122</v>
      </c>
      <c r="D1581" s="15" t="str">
        <f ca="1">IFERROR(__xludf.DUMMYFUNCTION("""COMPUTED_VALUE"""),"Латвия")</f>
        <v>Латвия</v>
      </c>
      <c r="E1581" s="14"/>
      <c r="F1581" s="8" t="str">
        <f ca="1">IFERROR(__xludf.DUMMYFUNCTION("""COMPUTED_VALUE"""),"- ретрит ЕВРОПЕЙСКИЙ 14-21.1.2022 Латвия (цена- 390€) 
- Ретрит ""Проектная деятельность"" для участников ретритов
- Вебинар с Никитой Бородулиным 11.02.2022 часть1")</f>
        <v>- ретрит ЕВРОПЕЙСКИЙ 14-21.1.2022 Латвия (цена- 390€) 
- Ретрит "Проектная деятельность" для участников ретритов
- Вебинар с Никитой Бородулиным 11.02.2022 часть1</v>
      </c>
      <c r="G1581" s="14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</row>
    <row r="1582" spans="1:26" ht="14.25">
      <c r="A1582" s="14" t="str">
        <f ca="1">IFERROR(__xludf.DUMMYFUNCTION("""COMPUTED_VALUE"""),"Полина Лёвина")</f>
        <v>Полина Лёвина</v>
      </c>
      <c r="B1582" s="14" t="str">
        <f ca="1">IFERROR(__xludf.DUMMYFUNCTION("""COMPUTED_VALUE"""),"P.levina@internet.ru")</f>
        <v>P.levina@internet.ru</v>
      </c>
      <c r="C1582" s="15" t="str">
        <f ca="1">IFERROR(__xludf.DUMMYFUNCTION("""COMPUTED_VALUE"""),"79776974080")</f>
        <v>79776974080</v>
      </c>
      <c r="D1582" s="15" t="str">
        <f ca="1">IFERROR(__xludf.DUMMYFUNCTION("""COMPUTED_VALUE"""),"США")</f>
        <v>США</v>
      </c>
      <c r="E1582" s="14"/>
      <c r="F1582" s="8" t="str">
        <f ca="1">IFERROR(__xludf.DUMMYFUNCTION("""COMPUTED_VALUE"""),"- Заявка на СЪЕЗД+ФЕСТИВАЛЬ ""Мы вместе"" 3-8.01.22")</f>
        <v>- Заявка на СЪЕЗД+ФЕСТИВАЛЬ "Мы вместе" 3-8.01.22</v>
      </c>
      <c r="G1582" s="14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</row>
    <row r="1583" spans="1:26" ht="14.25">
      <c r="A1583" s="14" t="str">
        <f ca="1">IFERROR(__xludf.DUMMYFUNCTION("""COMPUTED_VALUE"""),"Майя Коганова")</f>
        <v>Майя Коганова</v>
      </c>
      <c r="B1583" s="14" t="str">
        <f ca="1">IFERROR(__xludf.DUMMYFUNCTION("""COMPUTED_VALUE"""),"p4elka.69@yandex.ru")</f>
        <v>p4elka.69@yandex.ru</v>
      </c>
      <c r="C1583" s="15" t="str">
        <f ca="1">IFERROR(__xludf.DUMMYFUNCTION("""COMPUTED_VALUE"""),"79887666448")</f>
        <v>79887666448</v>
      </c>
      <c r="D1583" s="15" t="str">
        <f ca="1">IFERROR(__xludf.DUMMYFUNCTION("""COMPUTED_VALUE"""),"Россия")</f>
        <v>Россия</v>
      </c>
      <c r="E1583" s="14"/>
      <c r="F1583" s="8" t="str">
        <f ca="1">IFERROR(__xludf.DUMMYFUNCTION("""COMPUTED_VALUE"""),"- Вебинар все о ретрите 12.2.2022")</f>
        <v>- Вебинар все о ретрите 12.2.2022</v>
      </c>
      <c r="G1583" s="14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</row>
    <row r="1584" spans="1:26" ht="14.25">
      <c r="A1584" s="14" t="str">
        <f ca="1">IFERROR(__xludf.DUMMYFUNCTION("""COMPUTED_VALUE"""),"Анастасия бунина")</f>
        <v>Анастасия бунина</v>
      </c>
      <c r="B1584" s="14" t="str">
        <f ca="1">IFERROR(__xludf.DUMMYFUNCTION("""COMPUTED_VALUE"""),"p7.8@yandex.ru")</f>
        <v>p7.8@yandex.ru</v>
      </c>
      <c r="C1584" s="15" t="str">
        <f ca="1">IFERROR(__xludf.DUMMYFUNCTION("""COMPUTED_VALUE"""),"79527664242")</f>
        <v>79527664242</v>
      </c>
      <c r="D1584" s="15" t="str">
        <f ca="1">IFERROR(__xludf.DUMMYFUNCTION("""COMPUTED_VALUE"""),"Россия")</f>
        <v>Россия</v>
      </c>
      <c r="E1584" s="14"/>
      <c r="F1584" s="8" t="str">
        <f ca="1">IFERROR(__xludf.DUMMYFUNCTION("""COMPUTED_VALUE"""),"- Тишина Челлендж (бесплатная часть)")</f>
        <v>- Тишина Челлендж (бесплатная часть)</v>
      </c>
      <c r="G1584" s="14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</row>
    <row r="1585" spans="1:26" ht="14.25">
      <c r="A1585" s="14" t="str">
        <f ca="1">IFERROR(__xludf.DUMMYFUNCTION("""COMPUTED_VALUE""")," ")</f>
        <v xml:space="preserve"> </v>
      </c>
      <c r="B1585" s="14" t="str">
        <f ca="1">IFERROR(__xludf.DUMMYFUNCTION("""COMPUTED_VALUE"""),"p89174523081.08@gmail.com")</f>
        <v>p89174523081.08@gmail.com</v>
      </c>
      <c r="C1585" s="15"/>
      <c r="D1585" s="15" t="str">
        <f ca="1">IFERROR(__xludf.DUMMYFUNCTION("""COMPUTED_VALUE"""),"Россия")</f>
        <v>Россия</v>
      </c>
      <c r="E1585" s="14"/>
      <c r="F1585" s="8" t="str">
        <f ca="1">IFERROR(__xludf.DUMMYFUNCTION("""COMPUTED_VALUE"""),"Мероприятий не обнаружено")</f>
        <v>Мероприятий не обнаружено</v>
      </c>
      <c r="G1585" s="14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</row>
    <row r="1586" spans="1:26" ht="14.25">
      <c r="A1586" s="14" t="str">
        <f ca="1">IFERROR(__xludf.DUMMYFUNCTION("""COMPUTED_VALUE"""),"Александр Даниленко")</f>
        <v>Александр Даниленко</v>
      </c>
      <c r="B1586" s="14" t="str">
        <f ca="1">IFERROR(__xludf.DUMMYFUNCTION("""COMPUTED_VALUE"""),"Pa6ctpaxa@gmail.con")</f>
        <v>Pa6ctpaxa@gmail.con</v>
      </c>
      <c r="C1586" s="15" t="str">
        <f ca="1">IFERROR(__xludf.DUMMYFUNCTION("""COMPUTED_VALUE"""),", +998901760395")</f>
        <v>, +998901760395</v>
      </c>
      <c r="D1586" s="15"/>
      <c r="E1586" s="14"/>
      <c r="F1586" s="8" t="str">
        <f ca="1">IFERROR(__xludf.DUMMYFUNCTION("""COMPUTED_VALUE"""),"Мероприятий не обнаружено")</f>
        <v>Мероприятий не обнаружено</v>
      </c>
      <c r="G1586" s="14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</row>
    <row r="1587" spans="1:26" ht="14.25">
      <c r="A1587" s="14" t="str">
        <f ca="1">IFERROR(__xludf.DUMMYFUNCTION("""COMPUTED_VALUE"""),"Галина Пак")</f>
        <v>Галина Пак</v>
      </c>
      <c r="B1587" s="14" t="str">
        <f ca="1">IFERROR(__xludf.DUMMYFUNCTION("""COMPUTED_VALUE"""),"pakgalina27081975@mail.ru")</f>
        <v>pakgalina27081975@mail.ru</v>
      </c>
      <c r="C1587" s="15" t="str">
        <f ca="1">IFERROR(__xludf.DUMMYFUNCTION("""COMPUTED_VALUE"""),", +998971294979")</f>
        <v>, +998971294979</v>
      </c>
      <c r="D1587" s="15"/>
      <c r="E1587" s="14"/>
      <c r="F1587" s="8" t="str">
        <f ca="1">IFERROR(__xludf.DUMMYFUNCTION("""COMPUTED_VALUE"""),"Мероприятий не обнаружено")</f>
        <v>Мероприятий не обнаружено</v>
      </c>
      <c r="G1587" s="14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</row>
    <row r="1588" spans="1:26" ht="25.5">
      <c r="A1588" s="14" t="str">
        <f ca="1">IFERROR(__xludf.DUMMYFUNCTION("""COMPUTED_VALUE"""),"Юлия Пак")</f>
        <v>Юлия Пак</v>
      </c>
      <c r="B1588" s="14" t="str">
        <f ca="1">IFERROR(__xludf.DUMMYFUNCTION("""COMPUTED_VALUE"""),"Pakyuv@gmail.com")</f>
        <v>Pakyuv@gmail.com</v>
      </c>
      <c r="C1588" s="15" t="str">
        <f ca="1">IFERROR(__xludf.DUMMYFUNCTION("""COMPUTED_VALUE"""),"903540424")</f>
        <v>903540424</v>
      </c>
      <c r="D1588" s="15"/>
      <c r="E1588" s="14"/>
      <c r="F158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588" s="14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</row>
    <row r="1589" spans="1:26" ht="14.25">
      <c r="A1589" s="14" t="str">
        <f ca="1">IFERROR(__xludf.DUMMYFUNCTION("""COMPUTED_VALUE"""),"Ирина Ар")</f>
        <v>Ирина Ар</v>
      </c>
      <c r="B1589" s="14" t="str">
        <f ca="1">IFERROR(__xludf.DUMMYFUNCTION("""COMPUTED_VALUE"""),"palamarchuk1@yahoo.com")</f>
        <v>palamarchuk1@yahoo.com</v>
      </c>
      <c r="C1589" s="15" t="str">
        <f ca="1">IFERROR(__xludf.DUMMYFUNCTION("""COMPUTED_VALUE"""),"+79047841197")</f>
        <v>+79047841197</v>
      </c>
      <c r="D1589" s="15" t="str">
        <f ca="1">IFERROR(__xludf.DUMMYFUNCTION("""COMPUTED_VALUE"""),"Россия")</f>
        <v>Россия</v>
      </c>
      <c r="E1589" s="14"/>
      <c r="F1589" s="8" t="str">
        <f ca="1">IFERROR(__xludf.DUMMYFUNCTION("""COMPUTED_VALUE"""),"- Вводный вебинар 3.5.22 на Шаг к Пробуждению")</f>
        <v>- Вводный вебинар 3.5.22 на Шаг к Пробуждению</v>
      </c>
      <c r="G1589" s="14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</row>
    <row r="1590" spans="1:26" ht="25.5">
      <c r="A1590" s="14" t="str">
        <f ca="1">IFERROR(__xludf.DUMMYFUNCTION("""COMPUTED_VALUE"""),"Наталья Кузнецова")</f>
        <v>Наталья Кузнецова</v>
      </c>
      <c r="B1590" s="14" t="str">
        <f ca="1">IFERROR(__xludf.DUMMYFUNCTION("""COMPUTED_VALUE"""),"Panilaska@ya.ru")</f>
        <v>Panilaska@ya.ru</v>
      </c>
      <c r="C1590" s="15" t="str">
        <f ca="1">IFERROR(__xludf.DUMMYFUNCTION("""COMPUTED_VALUE"""),"8977877571")</f>
        <v>8977877571</v>
      </c>
      <c r="D1590" s="15" t="str">
        <f ca="1">IFERROR(__xludf.DUMMYFUNCTION("""COMPUTED_VALUE"""),"Россия")</f>
        <v>Россия</v>
      </c>
      <c r="E1590" s="14"/>
      <c r="F1590" s="8" t="str">
        <f ca="1">IFERROR(__xludf.DUMMYFUNCTION("""COMPUTED_VALUE"""),"-  встреча Космос внутри Сочи 5.3.2022
- Однодневный ретрит Россия 14 мая 2022")</f>
        <v>-  встреча Космос внутри Сочи 5.3.2022
- Однодневный ретрит Россия 14 мая 2022</v>
      </c>
      <c r="G1590" s="14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</row>
    <row r="1591" spans="1:26" ht="14.25">
      <c r="A1591" s="14" t="str">
        <f ca="1">IFERROR(__xludf.DUMMYFUNCTION("""COMPUTED_VALUE"""),"Olga Gustafsson")</f>
        <v>Olga Gustafsson</v>
      </c>
      <c r="B1591" s="14" t="str">
        <f ca="1">IFERROR(__xludf.DUMMYFUNCTION("""COMPUTED_VALUE"""),"Pantera.1982.pantera@gmail.com")</f>
        <v>Pantera.1982.pantera@gmail.com</v>
      </c>
      <c r="C1591" s="15" t="str">
        <f ca="1">IFERROR(__xludf.DUMMYFUNCTION("""COMPUTED_VALUE"""),"0451500996")</f>
        <v>0451500996</v>
      </c>
      <c r="D1591" s="15" t="str">
        <f ca="1">IFERROR(__xludf.DUMMYFUNCTION("""COMPUTED_VALUE"""),"Финляндия")</f>
        <v>Финляндия</v>
      </c>
      <c r="E1591" s="14"/>
      <c r="F1591" s="8" t="str">
        <f ca="1">IFERROR(__xludf.DUMMYFUNCTION("""COMPUTED_VALUE"""),"- Тишина Челлендж (бесплатная часть)")</f>
        <v>- Тишина Челлендж (бесплатная часть)</v>
      </c>
      <c r="G1591" s="14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</row>
    <row r="1592" spans="1:26" ht="14.25">
      <c r="A1592" s="14" t="str">
        <f ca="1">IFERROR(__xludf.DUMMYFUNCTION("""COMPUTED_VALUE"""),"Владимир Парфёнов")</f>
        <v>Владимир Парфёнов</v>
      </c>
      <c r="B1592" s="14" t="str">
        <f ca="1">IFERROR(__xludf.DUMMYFUNCTION("""COMPUTED_VALUE"""),"Parfenchik_08@mail.ru")</f>
        <v>Parfenchik_08@mail.ru</v>
      </c>
      <c r="C1592" s="15" t="str">
        <f ca="1">IFERROR(__xludf.DUMMYFUNCTION("""COMPUTED_VALUE"""),"+375299081758")</f>
        <v>+375299081758</v>
      </c>
      <c r="D1592" s="15" t="str">
        <f ca="1">IFERROR(__xludf.DUMMYFUNCTION("""COMPUTED_VALUE"""),"Беларусь")</f>
        <v>Беларусь</v>
      </c>
      <c r="E1592" s="14"/>
      <c r="F1592" s="8" t="str">
        <f ca="1">IFERROR(__xludf.DUMMYFUNCTION("""COMPUTED_VALUE"""),"- Запись на ""Беседу по душам""")</f>
        <v>- Запись на "Беседу по душам"</v>
      </c>
      <c r="G1592" s="14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</row>
    <row r="1593" spans="1:26" ht="25.5">
      <c r="A1593" s="14" t="str">
        <f ca="1">IFERROR(__xludf.DUMMYFUNCTION("""COMPUTED_VALUE"""),"Озодв Матчанова")</f>
        <v>Озодв Матчанова</v>
      </c>
      <c r="B1593" s="14" t="str">
        <f ca="1">IFERROR(__xludf.DUMMYFUNCTION("""COMPUTED_VALUE"""),"parisha3108@mail.ru")</f>
        <v>parisha3108@mail.ru</v>
      </c>
      <c r="C1593" s="15" t="str">
        <f ca="1">IFERROR(__xludf.DUMMYFUNCTION("""COMPUTED_VALUE"""),"990109248")</f>
        <v>990109248</v>
      </c>
      <c r="D1593" s="15"/>
      <c r="E1593" s="14"/>
      <c r="F159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593" s="14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</row>
    <row r="1594" spans="1:26" ht="14.25">
      <c r="A1594" s="14" t="str">
        <f ca="1">IFERROR(__xludf.DUMMYFUNCTION("""COMPUTED_VALUE"""),"Оксана Паршута")</f>
        <v>Оксана Паршута</v>
      </c>
      <c r="B1594" s="14" t="str">
        <f ca="1">IFERROR(__xludf.DUMMYFUNCTION("""COMPUTED_VALUE"""),"parshutao@mail.ru")</f>
        <v>parshutao@mail.ru</v>
      </c>
      <c r="C1594" s="15" t="str">
        <f ca="1">IFERROR(__xludf.DUMMYFUNCTION("""COMPUTED_VALUE"""),"+79820000000")</f>
        <v>+79820000000</v>
      </c>
      <c r="D1594" s="15"/>
      <c r="E1594" s="14"/>
      <c r="F1594" s="8" t="str">
        <f ca="1">IFERROR(__xludf.DUMMYFUNCTION("""COMPUTED_VALUE"""),"- Тишина Челлендж (бесплатная часть)")</f>
        <v>- Тишина Челлендж (бесплатная часть)</v>
      </c>
      <c r="G1594" s="14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</row>
    <row r="1595" spans="1:26" ht="14.25">
      <c r="A1595" s="14" t="str">
        <f ca="1">IFERROR(__xludf.DUMMYFUNCTION("""COMPUTED_VALUE"""),"Татьяна Паршукова")</f>
        <v>Татьяна Паршукова</v>
      </c>
      <c r="B1595" s="14" t="str">
        <f ca="1">IFERROR(__xludf.DUMMYFUNCTION("""COMPUTED_VALUE"""),"partakis@mail.ru")</f>
        <v>partakis@mail.ru</v>
      </c>
      <c r="C1595" s="15" t="str">
        <f ca="1">IFERROR(__xludf.DUMMYFUNCTION("""COMPUTED_VALUE"""),"79892935325")</f>
        <v>79892935325</v>
      </c>
      <c r="D1595" s="15" t="str">
        <f ca="1">IFERROR(__xludf.DUMMYFUNCTION("""COMPUTED_VALUE"""),"Россия")</f>
        <v>Россия</v>
      </c>
      <c r="E1595" s="14"/>
      <c r="F1595" s="8" t="str">
        <f ca="1">IFERROR(__xludf.DUMMYFUNCTION("""COMPUTED_VALUE"""),"- Тишина Челлендж (бесплатная часть)")</f>
        <v>- Тишина Челлендж (бесплатная часть)</v>
      </c>
      <c r="G1595" s="14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</row>
    <row r="1596" spans="1:26" ht="25.5">
      <c r="A1596" s="14" t="str">
        <f ca="1">IFERROR(__xludf.DUMMYFUNCTION("""COMPUTED_VALUE"""),"Анна Прилипко")</f>
        <v>Анна Прилипко</v>
      </c>
      <c r="B1596" s="14" t="str">
        <f ca="1">IFERROR(__xludf.DUMMYFUNCTION("""COMPUTED_VALUE"""),"party111@list.ru")</f>
        <v>party111@list.ru</v>
      </c>
      <c r="C1596" s="15" t="str">
        <f ca="1">IFERROR(__xludf.DUMMYFUNCTION("""COMPUTED_VALUE"""),"7057796663")</f>
        <v>7057796663</v>
      </c>
      <c r="D1596" s="15"/>
      <c r="E1596" s="14"/>
      <c r="F159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596" s="14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</row>
    <row r="1597" spans="1:26" ht="102">
      <c r="A1597" s="14" t="str">
        <f ca="1">IFERROR(__xludf.DUMMYFUNCTION("""COMPUTED_VALUE"""),"Павел Ковальчук")</f>
        <v>Павел Ковальчук</v>
      </c>
      <c r="B1597" s="14" t="str">
        <f ca="1">IFERROR(__xludf.DUMMYFUNCTION("""COMPUTED_VALUE"""),"pasha_lx1@mail.ru")</f>
        <v>pasha_lx1@mail.ru</v>
      </c>
      <c r="C1597" s="15" t="str">
        <f ca="1">IFERROR(__xludf.DUMMYFUNCTION("""COMPUTED_VALUE"""),"+79242286777")</f>
        <v>+79242286777</v>
      </c>
      <c r="D1597" s="15" t="str">
        <f ca="1">IFERROR(__xludf.DUMMYFUNCTION("""COMPUTED_VALUE"""),"Россия")</f>
        <v>Россия</v>
      </c>
      <c r="E1597" s="14" t="str">
        <f ca="1">IFERROR(__xludf.DUMMYFUNCTION("""COMPUTED_VALUE"""),"@KovalchukPR")</f>
        <v>@KovalchukPR</v>
      </c>
      <c r="F1597" s="8" t="str">
        <f ca="1">IFERROR(__xludf.DUMMYFUNCTION("""COMPUTED_VALUE"""),"- Погружение 2.0 ""Пакет Базовый"" 15.01 - 06.02.2022 (поток 3)
- Интенсив Дальний Восток 28-30.01.2022
- Сообщество ДВ внутренний чат
- Онлайн Интенсив Дальний Восток 25-27.02.2022 
- Ретрит в РЦ Сочи 19-27 марта 2022 (Оплата до 6 марта)
- Оплата Клуб пр"&amp;"обуждения Друзья (2 уровень) (со скидкой) x 1500
- Ретрит Дальний Восток Хабаровск 30.4-7.5.2022")</f>
        <v>- Погружение 2.0 "Пакет Базовый" 15.01 - 06.02.2022 (поток 3)
- Интенсив Дальний Восток 28-30.01.2022
- Сообщество ДВ внутренний чат
- Онлайн Интенсив Дальний Восток 25-27.02.2022 
- Ретрит в РЦ Сочи 19-27 марта 2022 (Оплата до 6 марта)
- Оплата Клуб пробуждения Друзья (2 уровень) (со скидкой) x 1500
- Ретрит Дальний Восток Хабаровск 30.4-7.5.2022</v>
      </c>
      <c r="G1597" s="14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</row>
    <row r="1598" spans="1:26" ht="14.25">
      <c r="A1598" s="14" t="str">
        <f ca="1">IFERROR(__xludf.DUMMYFUNCTION("""COMPUTED_VALUE"""),"Павел Стургес")</f>
        <v>Павел Стургес</v>
      </c>
      <c r="B1598" s="14" t="str">
        <f ca="1">IFERROR(__xludf.DUMMYFUNCTION("""COMPUTED_VALUE"""),"pasha.vip01@mail.ru")</f>
        <v>pasha.vip01@mail.ru</v>
      </c>
      <c r="C1598" s="15" t="str">
        <f ca="1">IFERROR(__xludf.DUMMYFUNCTION("""COMPUTED_VALUE"""),"79653446007")</f>
        <v>79653446007</v>
      </c>
      <c r="D1598" s="15" t="str">
        <f ca="1">IFERROR(__xludf.DUMMYFUNCTION("""COMPUTED_VALUE"""),"Россия")</f>
        <v>Россия</v>
      </c>
      <c r="E1598" s="14"/>
      <c r="F1598" s="8" t="str">
        <f ca="1">IFERROR(__xludf.DUMMYFUNCTION("""COMPUTED_VALUE"""),"- Тишина Челлендж (бесплатная часть)")</f>
        <v>- Тишина Челлендж (бесплатная часть)</v>
      </c>
      <c r="G1598" s="14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</row>
    <row r="1599" spans="1:26" ht="14.25">
      <c r="A1599" s="14" t="str">
        <f ca="1">IFERROR(__xludf.DUMMYFUNCTION("""COMPUTED_VALUE"""),"Юлия Патанина")</f>
        <v>Юлия Патанина</v>
      </c>
      <c r="B1599" s="14" t="str">
        <f ca="1">IFERROR(__xludf.DUMMYFUNCTION("""COMPUTED_VALUE"""),"patanina_y@mail.ru")</f>
        <v>patanina_y@mail.ru</v>
      </c>
      <c r="C1599" s="15" t="str">
        <f ca="1">IFERROR(__xludf.DUMMYFUNCTION("""COMPUTED_VALUE"""),"79377179339")</f>
        <v>79377179339</v>
      </c>
      <c r="D1599" s="15" t="str">
        <f ca="1">IFERROR(__xludf.DUMMYFUNCTION("""COMPUTED_VALUE"""),"Франция")</f>
        <v>Франция</v>
      </c>
      <c r="E1599" s="14"/>
      <c r="F1599" s="8" t="str">
        <f ca="1">IFERROR(__xludf.DUMMYFUNCTION("""COMPUTED_VALUE"""),"- Тишина Челлендж (бесплатная часть)")</f>
        <v>- Тишина Челлендж (бесплатная часть)</v>
      </c>
      <c r="G1599" s="14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</row>
    <row r="1600" spans="1:26" ht="25.5">
      <c r="A1600" s="14" t="str">
        <f ca="1">IFERROR(__xludf.DUMMYFUNCTION("""COMPUTED_VALUE"""),"Patrick Free")</f>
        <v>Patrick Free</v>
      </c>
      <c r="B1600" s="14" t="str">
        <f ca="1">IFERROR(__xludf.DUMMYFUNCTION("""COMPUTED_VALUE"""),"patrikfree131@gmail.com")</f>
        <v>patrikfree131@gmail.com</v>
      </c>
      <c r="C1600" s="15" t="str">
        <f ca="1">IFERROR(__xludf.DUMMYFUNCTION("""COMPUTED_VALUE"""),"79004834292")</f>
        <v>79004834292</v>
      </c>
      <c r="D1600" s="15" t="str">
        <f ca="1">IFERROR(__xludf.DUMMYFUNCTION("""COMPUTED_VALUE"""),"Россия")</f>
        <v>Россия</v>
      </c>
      <c r="E1600" s="14"/>
      <c r="F1600" s="8" t="str">
        <f ca="1">IFERROR(__xludf.DUMMYFUNCTION("""COMPUTED_VALUE"""),"- Однодневный ретрит Россия 14 мая 2022
-  Курс Пробуждение. Начало.")</f>
        <v>- Однодневный ретрит Россия 14 мая 2022
-  Курс Пробуждение. Начало.</v>
      </c>
      <c r="G1600" s="14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</row>
    <row r="1601" spans="1:26" ht="25.5">
      <c r="A1601" s="14" t="str">
        <f ca="1">IFERROR(__xludf.DUMMYFUNCTION("""COMPUTED_VALUE"""),"Павел Безименный")</f>
        <v>Павел Безименный</v>
      </c>
      <c r="B1601" s="14" t="str">
        <f ca="1">IFERROR(__xludf.DUMMYFUNCTION("""COMPUTED_VALUE"""),"pavelbezimenij1990@gmail.com")</f>
        <v>pavelbezimenij1990@gmail.com</v>
      </c>
      <c r="C1601" s="15" t="str">
        <f ca="1">IFERROR(__xludf.DUMMYFUNCTION("""COMPUTED_VALUE"""),"+380991147176")</f>
        <v>+380991147176</v>
      </c>
      <c r="D1601" s="15" t="str">
        <f ca="1">IFERROR(__xludf.DUMMYFUNCTION("""COMPUTED_VALUE"""),"Украина")</f>
        <v>Украина</v>
      </c>
      <c r="E1601" s="14"/>
      <c r="F1601" s="8" t="str">
        <f ca="1">IFERROR(__xludf.DUMMYFUNCTION("""COMPUTED_VALUE"""),"- Тишина Челлендж (бесплатная часть)
- Клуб пробуждения Друзья (Региональный)")</f>
        <v>- Тишина Челлендж (бесплатная часть)
- Клуб пробуждения Друзья (Региональный)</v>
      </c>
      <c r="G1601" s="14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</row>
    <row r="1602" spans="1:26" ht="14.25">
      <c r="A1602" s="14" t="str">
        <f ca="1">IFERROR(__xludf.DUMMYFUNCTION("""COMPUTED_VALUE"""),"pavelkizhapkin,  ")</f>
        <v xml:space="preserve">pavelkizhapkin,  </v>
      </c>
      <c r="B1602" s="14" t="str">
        <f ca="1">IFERROR(__xludf.DUMMYFUNCTION("""COMPUTED_VALUE"""),"pavelkizhapkin@gmail.com")</f>
        <v>pavelkizhapkin@gmail.com</v>
      </c>
      <c r="C1602" s="15"/>
      <c r="D1602" s="15"/>
      <c r="E1602" s="14"/>
      <c r="F1602" s="8" t="str">
        <f ca="1">IFERROR(__xludf.DUMMYFUNCTION("""COMPUTED_VALUE"""),"- USA Челлендж Тишина")</f>
        <v>- USA Челлендж Тишина</v>
      </c>
      <c r="G1602" s="14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</row>
    <row r="1603" spans="1:26" ht="25.5">
      <c r="A1603" s="14" t="str">
        <f ca="1">IFERROR(__xludf.DUMMYFUNCTION("""COMPUTED_VALUE"""),"Павел Тест Когут Тест, ")</f>
        <v xml:space="preserve">Павел Тест Когут Тест, </v>
      </c>
      <c r="B1603" s="14" t="str">
        <f ca="1">IFERROR(__xludf.DUMMYFUNCTION("""COMPUTED_VALUE"""),"pavelkohutbox@gmail.com")</f>
        <v>pavelkohutbox@gmail.com</v>
      </c>
      <c r="C1603" s="15" t="str">
        <f ca="1">IFERROR(__xludf.DUMMYFUNCTION("""COMPUTED_VALUE"""),"+375296336619, ")</f>
        <v xml:space="preserve">+375296336619, </v>
      </c>
      <c r="D1603" s="15"/>
      <c r="E1603" s="14"/>
      <c r="F1603" s="8" t="str">
        <f ca="1">IFERROR(__xludf.DUMMYFUNCTION("""COMPUTED_VALUE"""),"- Медитация без стереотипов
- Онлайн-курс ""Антистресс""")</f>
        <v>- Медитация без стереотипов
- Онлайн-курс "Антистресс"</v>
      </c>
      <c r="G1603" s="14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</row>
    <row r="1604" spans="1:26" ht="14.25">
      <c r="A1604" s="14" t="str">
        <f ca="1">IFERROR(__xludf.DUMMYFUNCTION("""COMPUTED_VALUE"""),"Павел Лукашевич")</f>
        <v>Павел Лукашевич</v>
      </c>
      <c r="B1604" s="14" t="str">
        <f ca="1">IFERROR(__xludf.DUMMYFUNCTION("""COMPUTED_VALUE"""),"pavellukasevic56@gmail.com")</f>
        <v>pavellukasevic56@gmail.com</v>
      </c>
      <c r="C1604" s="15" t="str">
        <f ca="1">IFERROR(__xludf.DUMMYFUNCTION("""COMPUTED_VALUE"""),"+48660316165")</f>
        <v>+48660316165</v>
      </c>
      <c r="D1604" s="15" t="str">
        <f ca="1">IFERROR(__xludf.DUMMYFUNCTION("""COMPUTED_VALUE"""),"Польша")</f>
        <v>Польша</v>
      </c>
      <c r="E1604" s="14"/>
      <c r="F1604" s="8" t="str">
        <f ca="1">IFERROR(__xludf.DUMMYFUNCTION("""COMPUTED_VALUE"""),"- Тишина Челлендж (бесплатная часть)")</f>
        <v>- Тишина Челлендж (бесплатная часть)</v>
      </c>
      <c r="G1604" s="14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</row>
    <row r="1605" spans="1:26" ht="14.25">
      <c r="A1605" s="14" t="str">
        <f ca="1">IFERROR(__xludf.DUMMYFUNCTION("""COMPUTED_VALUE"""),"Павел Тюлеменков")</f>
        <v>Павел Тюлеменков</v>
      </c>
      <c r="B1605" s="14" t="str">
        <f ca="1">IFERROR(__xludf.DUMMYFUNCTION("""COMPUTED_VALUE"""),"pavelworkshop@yandex.ru")</f>
        <v>pavelworkshop@yandex.ru</v>
      </c>
      <c r="C1605" s="15" t="str">
        <f ca="1">IFERROR(__xludf.DUMMYFUNCTION("""COMPUTED_VALUE"""),"+79522551977")</f>
        <v>+79522551977</v>
      </c>
      <c r="D1605" s="15"/>
      <c r="E1605" s="14"/>
      <c r="F1605" s="8" t="str">
        <f ca="1">IFERROR(__xludf.DUMMYFUNCTION("""COMPUTED_VALUE"""),"- Партнерская программа")</f>
        <v>- Партнерская программа</v>
      </c>
      <c r="G1605" s="14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</row>
    <row r="1606" spans="1:26" ht="14.25">
      <c r="A1606" s="14" t="str">
        <f ca="1">IFERROR(__xludf.DUMMYFUNCTION("""COMPUTED_VALUE"""),"СВЕТЛАНА ПАВЛУХИНА")</f>
        <v>СВЕТЛАНА ПАВЛУХИНА</v>
      </c>
      <c r="B1606" s="14" t="str">
        <f ca="1">IFERROR(__xludf.DUMMYFUNCTION("""COMPUTED_VALUE"""),"Pavluxinas@mail.ru")</f>
        <v>Pavluxinas@mail.ru</v>
      </c>
      <c r="C1606" s="15" t="str">
        <f ca="1">IFERROR(__xludf.DUMMYFUNCTION("""COMPUTED_VALUE"""),"+79281322037")</f>
        <v>+79281322037</v>
      </c>
      <c r="D1606" s="15" t="str">
        <f ca="1">IFERROR(__xludf.DUMMYFUNCTION("""COMPUTED_VALUE"""),"Россия")</f>
        <v>Россия</v>
      </c>
      <c r="E1606" s="14"/>
      <c r="F1606" s="8" t="str">
        <f ca="1">IFERROR(__xludf.DUMMYFUNCTION("""COMPUTED_VALUE"""),"- Ретрит в РЦ Сочи 5-13 марта 2022 (Оплата до 22 февраля)")</f>
        <v>- Ретрит в РЦ Сочи 5-13 марта 2022 (Оплата до 22 февраля)</v>
      </c>
      <c r="G1606" s="14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</row>
    <row r="1607" spans="1:26" ht="14.25">
      <c r="A1607" s="14" t="str">
        <f ca="1">IFERROR(__xludf.DUMMYFUNCTION("""COMPUTED_VALUE"""),"Галина Галина")</f>
        <v>Галина Галина</v>
      </c>
      <c r="B1607" s="14" t="str">
        <f ca="1">IFERROR(__xludf.DUMMYFUNCTION("""COMPUTED_VALUE"""),"Pavlyzha@rambler.ru")</f>
        <v>Pavlyzha@rambler.ru</v>
      </c>
      <c r="C1607" s="15" t="str">
        <f ca="1">IFERROR(__xludf.DUMMYFUNCTION("""COMPUTED_VALUE"""),"+79646863090")</f>
        <v>+79646863090</v>
      </c>
      <c r="D1607" s="15" t="str">
        <f ca="1">IFERROR(__xludf.DUMMYFUNCTION("""COMPUTED_VALUE"""),"РФ")</f>
        <v>РФ</v>
      </c>
      <c r="E1607" s="14"/>
      <c r="F1607" s="8" t="str">
        <f ca="1">IFERROR(__xludf.DUMMYFUNCTION("""COMPUTED_VALUE"""),"- Тишина Челлендж (бесплатная часть)")</f>
        <v>- Тишина Челлендж (бесплатная часть)</v>
      </c>
      <c r="G1607" s="14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</row>
    <row r="1608" spans="1:26" ht="14.25">
      <c r="A1608" s="14" t="str">
        <f ca="1">IFERROR(__xludf.DUMMYFUNCTION("""COMPUTED_VALUE"""),"Елена Пазюра")</f>
        <v>Елена Пазюра</v>
      </c>
      <c r="B1608" s="14" t="str">
        <f ca="1">IFERROR(__xludf.DUMMYFUNCTION("""COMPUTED_VALUE"""),"Paziuraelena@gmail.com")</f>
        <v>Paziuraelena@gmail.com</v>
      </c>
      <c r="C1608" s="15" t="str">
        <f ca="1">IFERROR(__xludf.DUMMYFUNCTION("""COMPUTED_VALUE"""),"+79147760306")</f>
        <v>+79147760306</v>
      </c>
      <c r="D1608" s="15" t="str">
        <f ca="1">IFERROR(__xludf.DUMMYFUNCTION("""COMPUTED_VALUE"""),"Россия")</f>
        <v>Россия</v>
      </c>
      <c r="E1608" s="14"/>
      <c r="F1608" s="8" t="str">
        <f ca="1">IFERROR(__xludf.DUMMYFUNCTION("""COMPUTED_VALUE"""),"- Практика Тишины Хабаровск")</f>
        <v>- Практика Тишины Хабаровск</v>
      </c>
      <c r="G1608" s="14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</row>
    <row r="1609" spans="1:26" ht="76.5">
      <c r="A1609" s="14" t="str">
        <f ca="1">IFERROR(__xludf.DUMMYFUNCTION("""COMPUTED_VALUE"""),"Наталья Polubatonova")</f>
        <v>Наталья Polubatonova</v>
      </c>
      <c r="B1609" s="14" t="str">
        <f ca="1">IFERROR(__xludf.DUMMYFUNCTION("""COMPUTED_VALUE"""),"pbn108@mail.ru")</f>
        <v>pbn108@mail.ru</v>
      </c>
      <c r="C1609" s="15" t="str">
        <f ca="1">IFERROR(__xludf.DUMMYFUNCTION("""COMPUTED_VALUE"""),"+77772727613")</f>
        <v>+77772727613</v>
      </c>
      <c r="D1609" s="15" t="str">
        <f ca="1">IFERROR(__xludf.DUMMYFUNCTION("""COMPUTED_VALUE"""),"Казахстан ")</f>
        <v xml:space="preserve">Казахстан </v>
      </c>
      <c r="E1609" s="14"/>
      <c r="F1609" s="8" t="str">
        <f ca="1">IFERROR(__xludf.DUMMYFUNCTION("""COMPUTED_VALUE"""),"- Ретрит в РЦ Сочи 12-21 января 2022 (Оплата до 22 декабря)
- Ретрит в РЦ Сочи 19-27 марта 2022 (Оплата до 6 марта)
- Ретрит ""Проектная деятельность"" для участников ретритов
- АнтиЭго 2.0 29.3 - 12.04.2022 (поток 2) 
- Марафон Тишины - Тишина челлендж: "&amp;"Урал, Казахстан, Узбекистан 25-29.04.2022")</f>
        <v>- Ретрит в РЦ Сочи 12-21 января 2022 (Оплата до 22 декабря)
- Ретрит в РЦ Сочи 19-27 марта 2022 (Оплата до 6 марта)
- Ретрит "Проектная деятельность" для участников ретритов
- АнтиЭго 2.0 29.3 - 12.04.2022 (поток 2) 
- Марафон Тишины - Тишина челлендж: Урал, Казахстан, Узбекистан 25-29.04.2022</v>
      </c>
      <c r="G1609" s="14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</row>
    <row r="1610" spans="1:26" ht="14.25">
      <c r="A1610" s="14" t="str">
        <f ca="1">IFERROR(__xludf.DUMMYFUNCTION("""COMPUTED_VALUE"""),"Полина Павлова")</f>
        <v>Полина Павлова</v>
      </c>
      <c r="B1610" s="14" t="str">
        <f ca="1">IFERROR(__xludf.DUMMYFUNCTION("""COMPUTED_VALUE"""),"pelageja13@yandex.ru")</f>
        <v>pelageja13@yandex.ru</v>
      </c>
      <c r="C1610" s="15" t="str">
        <f ca="1">IFERROR(__xludf.DUMMYFUNCTION("""COMPUTED_VALUE"""),"13103081383")</f>
        <v>13103081383</v>
      </c>
      <c r="D1610" s="15" t="str">
        <f ca="1">IFERROR(__xludf.DUMMYFUNCTION("""COMPUTED_VALUE"""),"США")</f>
        <v>США</v>
      </c>
      <c r="E1610" s="14"/>
      <c r="F1610" s="8" t="str">
        <f ca="1">IFERROR(__xludf.DUMMYFUNCTION("""COMPUTED_VALUE"""),"- Тишина Челлендж (бесплатная часть)")</f>
        <v>- Тишина Челлендж (бесплатная часть)</v>
      </c>
      <c r="G1610" s="14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</row>
    <row r="1611" spans="1:26" ht="14.25">
      <c r="A1611" s="14" t="str">
        <f ca="1">IFERROR(__xludf.DUMMYFUNCTION("""COMPUTED_VALUE"""),"Елена Тищенко")</f>
        <v>Елена Тищенко</v>
      </c>
      <c r="B1611" s="14" t="str">
        <f ca="1">IFERROR(__xludf.DUMMYFUNCTION("""COMPUTED_VALUE"""),"pensionka.lena@yandex.ru")</f>
        <v>pensionka.lena@yandex.ru</v>
      </c>
      <c r="C1611" s="15" t="str">
        <f ca="1">IFERROR(__xludf.DUMMYFUNCTION("""COMPUTED_VALUE"""),"+79198806679")</f>
        <v>+79198806679</v>
      </c>
      <c r="D1611" s="15" t="str">
        <f ca="1">IFERROR(__xludf.DUMMYFUNCTION("""COMPUTED_VALUE"""),"Россия")</f>
        <v>Россия</v>
      </c>
      <c r="E1611" s="14"/>
      <c r="F1611" s="8" t="str">
        <f ca="1">IFERROR(__xludf.DUMMYFUNCTION("""COMPUTED_VALUE"""),"- Заявка на СЪЕЗД+ФЕСТИВАЛЬ ""Мы вместе"" 3-8.01.22")</f>
        <v>- Заявка на СЪЕЗД+ФЕСТИВАЛЬ "Мы вместе" 3-8.01.22</v>
      </c>
      <c r="G1611" s="14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</row>
    <row r="1612" spans="1:26" ht="14.25">
      <c r="A1612" s="14" t="str">
        <f ca="1">IFERROR(__xludf.DUMMYFUNCTION("""COMPUTED_VALUE"""),"Вячеслав Денисенко")</f>
        <v>Вячеслав Денисенко</v>
      </c>
      <c r="B1612" s="14" t="str">
        <f ca="1">IFERROR(__xludf.DUMMYFUNCTION("""COMPUTED_VALUE"""),"peopleoflight@gmail.com")</f>
        <v>peopleoflight@gmail.com</v>
      </c>
      <c r="C1612" s="15" t="str">
        <f ca="1">IFERROR(__xludf.DUMMYFUNCTION("""COMPUTED_VALUE"""),"0715038034")</f>
        <v>0715038034</v>
      </c>
      <c r="D1612" s="15"/>
      <c r="E1612" s="14"/>
      <c r="F1612" s="8" t="str">
        <f ca="1">IFERROR(__xludf.DUMMYFUNCTION("""COMPUTED_VALUE"""),"- Тишина Челлендж (бесплатная часть)")</f>
        <v>- Тишина Челлендж (бесплатная часть)</v>
      </c>
      <c r="G1612" s="14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</row>
    <row r="1613" spans="1:26" ht="25.5">
      <c r="A1613" s="14" t="str">
        <f ca="1">IFERROR(__xludf.DUMMYFUNCTION("""COMPUTED_VALUE"""),"Перизат Отеп")</f>
        <v>Перизат Отеп</v>
      </c>
      <c r="B1613" s="14" t="str">
        <f ca="1">IFERROR(__xludf.DUMMYFUNCTION("""COMPUTED_VALUE"""),"pepemmm@inbox.ru")</f>
        <v>pepemmm@inbox.ru</v>
      </c>
      <c r="C1613" s="15" t="str">
        <f ca="1">IFERROR(__xludf.DUMMYFUNCTION("""COMPUTED_VALUE"""),"+77012031771")</f>
        <v>+77012031771</v>
      </c>
      <c r="D1613" s="15"/>
      <c r="E1613" s="14"/>
      <c r="F161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613" s="14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</row>
    <row r="1614" spans="1:26" ht="25.5">
      <c r="A1614" s="14" t="str">
        <f ca="1">IFERROR(__xludf.DUMMYFUNCTION("""COMPUTED_VALUE"""),"Перизат Орынбасарова")</f>
        <v>Перизат Орынбасарова</v>
      </c>
      <c r="B1614" s="14" t="str">
        <f ca="1">IFERROR(__xludf.DUMMYFUNCTION("""COMPUTED_VALUE"""),"perizat_orynbasarova@mail.ru")</f>
        <v>perizat_orynbasarova@mail.ru</v>
      </c>
      <c r="C1614" s="15" t="str">
        <f ca="1">IFERROR(__xludf.DUMMYFUNCTION("""COMPUTED_VALUE"""),"87075959551")</f>
        <v>87075959551</v>
      </c>
      <c r="D1614" s="15"/>
      <c r="E1614" s="14"/>
      <c r="F161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614" s="14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</row>
    <row r="1615" spans="1:26" ht="14.25">
      <c r="A1615" s="14" t="str">
        <f ca="1">IFERROR(__xludf.DUMMYFUNCTION("""COMPUTED_VALUE"""),"Татьяна Гоглачёва")</f>
        <v>Татьяна Гоглачёва</v>
      </c>
      <c r="B1615" s="14" t="str">
        <f ca="1">IFERROR(__xludf.DUMMYFUNCTION("""COMPUTED_VALUE"""),"Petr-1-@mail.ru")</f>
        <v>Petr-1-@mail.ru</v>
      </c>
      <c r="C1615" s="15"/>
      <c r="D1615" s="15" t="str">
        <f ca="1">IFERROR(__xludf.DUMMYFUNCTION("""COMPUTED_VALUE"""),"Великобритания")</f>
        <v>Великобритания</v>
      </c>
      <c r="E1615" s="14"/>
      <c r="F1615" s="8" t="str">
        <f ca="1">IFERROR(__xludf.DUMMYFUNCTION("""COMPUTED_VALUE"""),"- Тишина Челлендж (бесплатная часть)")</f>
        <v>- Тишина Челлендж (бесплатная часть)</v>
      </c>
      <c r="G1615" s="14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</row>
    <row r="1616" spans="1:26" ht="25.5">
      <c r="A1616" s="14" t="str">
        <f ca="1">IFERROR(__xludf.DUMMYFUNCTION("""COMPUTED_VALUE"""),"Петрова Александра")</f>
        <v>Петрова Александра</v>
      </c>
      <c r="B1616" s="14" t="str">
        <f ca="1">IFERROR(__xludf.DUMMYFUNCTION("""COMPUTED_VALUE"""),"petrovaaleksandra683@gmail.com")</f>
        <v>petrovaaleksandra683@gmail.com</v>
      </c>
      <c r="C1616" s="15" t="str">
        <f ca="1">IFERROR(__xludf.DUMMYFUNCTION("""COMPUTED_VALUE"""),"998998987015")</f>
        <v>998998987015</v>
      </c>
      <c r="D1616" s="15"/>
      <c r="E1616" s="14"/>
      <c r="F161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616" s="14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</row>
    <row r="1617" spans="1:26" ht="14.25">
      <c r="A1617" s="14" t="str">
        <f ca="1">IFERROR(__xludf.DUMMYFUNCTION("""COMPUTED_VALUE"""),"Сергей Денисенко")</f>
        <v>Сергей Денисенко</v>
      </c>
      <c r="B1617" s="14" t="str">
        <f ca="1">IFERROR(__xludf.DUMMYFUNCTION("""COMPUTED_VALUE"""),"petryan@yandex.ru")</f>
        <v>petryan@yandex.ru</v>
      </c>
      <c r="C1617" s="15" t="str">
        <f ca="1">IFERROR(__xludf.DUMMYFUNCTION("""COMPUTED_VALUE"""),"79138390912")</f>
        <v>79138390912</v>
      </c>
      <c r="D1617" s="15" t="str">
        <f ca="1">IFERROR(__xludf.DUMMYFUNCTION("""COMPUTED_VALUE"""),"Россия")</f>
        <v>Россия</v>
      </c>
      <c r="E1617" s="14"/>
      <c r="F1617" s="8" t="str">
        <f ca="1">IFERROR(__xludf.DUMMYFUNCTION("""COMPUTED_VALUE"""),"- Онлайн-курс ""Антистресс""")</f>
        <v>- Онлайн-курс "Антистресс"</v>
      </c>
      <c r="G1617" s="14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</row>
    <row r="1618" spans="1:26" ht="14.25">
      <c r="A1618" s="14" t="str">
        <f ca="1">IFERROR(__xludf.DUMMYFUNCTION("""COMPUTED_VALUE"""),"Елена Силютина")</f>
        <v>Елена Силютина</v>
      </c>
      <c r="B1618" s="14" t="str">
        <f ca="1">IFERROR(__xludf.DUMMYFUNCTION("""COMPUTED_VALUE"""),"Phontan@rambler.ru")</f>
        <v>Phontan@rambler.ru</v>
      </c>
      <c r="C1618" s="15"/>
      <c r="D1618" s="15" t="str">
        <f ca="1">IFERROR(__xludf.DUMMYFUNCTION("""COMPUTED_VALUE"""),"Россия")</f>
        <v>Россия</v>
      </c>
      <c r="E1618" s="14"/>
      <c r="F1618" s="8" t="str">
        <f ca="1">IFERROR(__xludf.DUMMYFUNCTION("""COMPUTED_VALUE"""),"- Тишина Челлендж (бесплатная часть)")</f>
        <v>- Тишина Челлендж (бесплатная часть)</v>
      </c>
      <c r="G1618" s="14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</row>
    <row r="1619" spans="1:26" ht="14.25">
      <c r="A1619" s="14" t="str">
        <f ca="1">IFERROR(__xludf.DUMMYFUNCTION("""COMPUTED_VALUE"""),"Татьяна Касьяненко")</f>
        <v>Татьяна Касьяненко</v>
      </c>
      <c r="B1619" s="14" t="str">
        <f ca="1">IFERROR(__xludf.DUMMYFUNCTION("""COMPUTED_VALUE"""),"pilime6ka@gmail.com")</f>
        <v>pilime6ka@gmail.com</v>
      </c>
      <c r="C1619" s="15" t="str">
        <f ca="1">IFERROR(__xludf.DUMMYFUNCTION("""COMPUTED_VALUE"""),"+375297029972")</f>
        <v>+375297029972</v>
      </c>
      <c r="D1619" s="15" t="str">
        <f ca="1">IFERROR(__xludf.DUMMYFUNCTION("""COMPUTED_VALUE"""),"Беларусь")</f>
        <v>Беларусь</v>
      </c>
      <c r="E1619" s="14"/>
      <c r="F1619" s="8" t="str">
        <f ca="1">IFERROR(__xludf.DUMMYFUNCTION("""COMPUTED_VALUE"""),"- Чайная встреча в Минске 8.1.22")</f>
        <v>- Чайная встреча в Минске 8.1.22</v>
      </c>
      <c r="G1619" s="14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</row>
    <row r="1620" spans="1:26" ht="14.25">
      <c r="A1620" s="14" t="str">
        <f ca="1">IFERROR(__xludf.DUMMYFUNCTION("""COMPUTED_VALUE"""),"Soliha Musaeva")</f>
        <v>Soliha Musaeva</v>
      </c>
      <c r="B1620" s="14" t="str">
        <f ca="1">IFERROR(__xludf.DUMMYFUNCTION("""COMPUTED_VALUE"""),"Pirlanta77pantera@gmail.com")</f>
        <v>Pirlanta77pantera@gmail.com</v>
      </c>
      <c r="C1620" s="15"/>
      <c r="D1620" s="15" t="str">
        <f ca="1">IFERROR(__xludf.DUMMYFUNCTION("""COMPUTED_VALUE"""),"Узбекистан")</f>
        <v>Узбекистан</v>
      </c>
      <c r="E1620" s="14"/>
      <c r="F1620" s="8" t="str">
        <f ca="1">IFERROR(__xludf.DUMMYFUNCTION("""COMPUTED_VALUE"""),"- Тишина Челлендж (бесплатная часть)")</f>
        <v>- Тишина Челлендж (бесплатная часть)</v>
      </c>
      <c r="G1620" s="14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</row>
    <row r="1621" spans="1:26" ht="14.25">
      <c r="A1621" s="14" t="str">
        <f ca="1">IFERROR(__xludf.DUMMYFUNCTION("""COMPUTED_VALUE"""),"Рина Джава")</f>
        <v>Рина Джава</v>
      </c>
      <c r="B1621" s="14" t="str">
        <f ca="1">IFERROR(__xludf.DUMMYFUNCTION("""COMPUTED_VALUE"""),"pisma-k-voronina@mail.ru")</f>
        <v>pisma-k-voronina@mail.ru</v>
      </c>
      <c r="C1621" s="15" t="str">
        <f ca="1">IFERROR(__xludf.DUMMYFUNCTION("""COMPUTED_VALUE"""),"79150254525")</f>
        <v>79150254525</v>
      </c>
      <c r="D1621" s="15" t="str">
        <f ca="1">IFERROR(__xludf.DUMMYFUNCTION("""COMPUTED_VALUE"""),"Россия")</f>
        <v>Россия</v>
      </c>
      <c r="E1621" s="14"/>
      <c r="F1621" s="8" t="str">
        <f ca="1">IFERROR(__xludf.DUMMYFUNCTION("""COMPUTED_VALUE"""),"- Вебинар все о ретрите 12.2.2022")</f>
        <v>- Вебинар все о ретрите 12.2.2022</v>
      </c>
      <c r="G1621" s="14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</row>
    <row r="1622" spans="1:26" ht="25.5">
      <c r="A1622" s="14" t="str">
        <f ca="1">IFERROR(__xludf.DUMMYFUNCTION("""COMPUTED_VALUE"""),"Карина Исабаева")</f>
        <v>Карина Исабаева</v>
      </c>
      <c r="B1622" s="14" t="str">
        <f ca="1">IFERROR(__xludf.DUMMYFUNCTION("""COMPUTED_VALUE"""),"pitachok90@mail.ru")</f>
        <v>pitachok90@mail.ru</v>
      </c>
      <c r="C1622" s="15" t="str">
        <f ca="1">IFERROR(__xludf.DUMMYFUNCTION("""COMPUTED_VALUE"""),"+998990198228")</f>
        <v>+998990198228</v>
      </c>
      <c r="D1622" s="15"/>
      <c r="E1622" s="14"/>
      <c r="F162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622" s="14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</row>
    <row r="1623" spans="1:26" ht="14.25">
      <c r="A1623" s="14" t="str">
        <f ca="1">IFERROR(__xludf.DUMMYFUNCTION("""COMPUTED_VALUE"""),"Никита Харин")</f>
        <v>Никита Харин</v>
      </c>
      <c r="B1623" s="14" t="str">
        <f ca="1">IFERROR(__xludf.DUMMYFUNCTION("""COMPUTED_VALUE"""),"playert48@gmail.com")</f>
        <v>playert48@gmail.com</v>
      </c>
      <c r="C1623" s="15" t="str">
        <f ca="1">IFERROR(__xludf.DUMMYFUNCTION("""COMPUTED_VALUE"""),"+79046833844")</f>
        <v>+79046833844</v>
      </c>
      <c r="D1623" s="15" t="str">
        <f ca="1">IFERROR(__xludf.DUMMYFUNCTION("""COMPUTED_VALUE"""),"Россия")</f>
        <v>Россия</v>
      </c>
      <c r="E1623" s="14"/>
      <c r="F1623" s="8" t="str">
        <f ca="1">IFERROR(__xludf.DUMMYFUNCTION("""COMPUTED_VALUE"""),"- Выездной ретрит Воронеж-Липецк 25-27.2.2022")</f>
        <v>- Выездной ретрит Воронеж-Липецк 25-27.2.2022</v>
      </c>
      <c r="G1623" s="14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</row>
    <row r="1624" spans="1:26" ht="14.25">
      <c r="A1624" s="14" t="str">
        <f ca="1">IFERROR(__xludf.DUMMYFUNCTION("""COMPUTED_VALUE"""),"Обиван Кеноби")</f>
        <v>Обиван Кеноби</v>
      </c>
      <c r="B1624" s="14" t="str">
        <f ca="1">IFERROR(__xludf.DUMMYFUNCTION("""COMPUTED_VALUE"""),"pleaseplaycsgo@gmail.com")</f>
        <v>pleaseplaycsgo@gmail.com</v>
      </c>
      <c r="C1624" s="15"/>
      <c r="D1624" s="15" t="str">
        <f ca="1">IFERROR(__xludf.DUMMYFUNCTION("""COMPUTED_VALUE"""),"Швеция")</f>
        <v>Швеция</v>
      </c>
      <c r="E1624" s="14"/>
      <c r="F1624" s="8" t="str">
        <f ca="1">IFERROR(__xludf.DUMMYFUNCTION("""COMPUTED_VALUE"""),"- Тишина Челлендж (бесплатная часть)")</f>
        <v>- Тишина Челлендж (бесплатная часть)</v>
      </c>
      <c r="G1624" s="14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</row>
    <row r="1625" spans="1:26" ht="14.25">
      <c r="A1625" s="14" t="str">
        <f ca="1">IFERROR(__xludf.DUMMYFUNCTION("""COMPUTED_VALUE"""),"pochtapochta22,  ")</f>
        <v xml:space="preserve">pochtapochta22,  </v>
      </c>
      <c r="B1625" s="14" t="str">
        <f ca="1">IFERROR(__xludf.DUMMYFUNCTION("""COMPUTED_VALUE"""),"pochtapochta22@mail.ru")</f>
        <v>pochtapochta22@mail.ru</v>
      </c>
      <c r="C1625" s="15"/>
      <c r="D1625" s="15"/>
      <c r="E1625" s="14"/>
      <c r="F1625" s="8" t="str">
        <f ca="1">IFERROR(__xludf.DUMMYFUNCTION("""COMPUTED_VALUE"""),"- USA Челлендж Тишина")</f>
        <v>- USA Челлендж Тишина</v>
      </c>
      <c r="G1625" s="14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</row>
    <row r="1626" spans="1:26" ht="25.5">
      <c r="A1626" s="14" t="str">
        <f ca="1">IFERROR(__xludf.DUMMYFUNCTION("""COMPUTED_VALUE"""),"Лейла Подгорная, ")</f>
        <v xml:space="preserve">Лейла Подгорная, </v>
      </c>
      <c r="B1626" s="14" t="str">
        <f ca="1">IFERROR(__xludf.DUMMYFUNCTION("""COMPUTED_VALUE"""),"Podgornayal@gmail.com")</f>
        <v>Podgornayal@gmail.com</v>
      </c>
      <c r="C1626" s="15" t="str">
        <f ca="1">IFERROR(__xludf.DUMMYFUNCTION("""COMPUTED_VALUE"""),"+79151154097, ")</f>
        <v xml:space="preserve">+79151154097, </v>
      </c>
      <c r="D1626" s="15"/>
      <c r="E1626" s="14"/>
      <c r="F1626" s="8" t="str">
        <f ca="1">IFERROR(__xludf.DUMMYFUNCTION("""COMPUTED_VALUE"""),"- Клуб пробуждения Друзья (2 уровень) - 1 месяц
- Вебинар все о ретрите 12.2.2022")</f>
        <v>- Клуб пробуждения Друзья (2 уровень) - 1 месяц
- Вебинар все о ретрите 12.2.2022</v>
      </c>
      <c r="G1626" s="14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</row>
    <row r="1627" spans="1:26" ht="14.25">
      <c r="A1627" s="14" t="str">
        <f ca="1">IFERROR(__xludf.DUMMYFUNCTION("""COMPUTED_VALUE"""),"Лейла Подгорная")</f>
        <v>Лейла Подгорная</v>
      </c>
      <c r="B1627" s="14" t="str">
        <f ca="1">IFERROR(__xludf.DUMMYFUNCTION("""COMPUTED_VALUE"""),"podgornayal@mail.ru")</f>
        <v>podgornayal@mail.ru</v>
      </c>
      <c r="C1627" s="15" t="str">
        <f ca="1">IFERROR(__xludf.DUMMYFUNCTION("""COMPUTED_VALUE"""),"79151154097")</f>
        <v>79151154097</v>
      </c>
      <c r="D1627" s="15" t="str">
        <f ca="1">IFERROR(__xludf.DUMMYFUNCTION("""COMPUTED_VALUE"""),"Россия")</f>
        <v>Россия</v>
      </c>
      <c r="E1627" s="14"/>
      <c r="F1627" s="8" t="str">
        <f ca="1">IFERROR(__xludf.DUMMYFUNCTION("""COMPUTED_VALUE"""),"- Вебинар все о ретрите 12.2.2022")</f>
        <v>- Вебинар все о ретрите 12.2.2022</v>
      </c>
      <c r="G1627" s="14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</row>
    <row r="1628" spans="1:26" ht="14.25">
      <c r="A1628" s="14" t="str">
        <f ca="1">IFERROR(__xludf.DUMMYFUNCTION("""COMPUTED_VALUE"""),"Наталья Новоселова")</f>
        <v>Наталья Новоселова</v>
      </c>
      <c r="B1628" s="14" t="str">
        <f ca="1">IFERROR(__xludf.DUMMYFUNCTION("""COMPUTED_VALUE"""),"pogoda007@yandex.ru")</f>
        <v>pogoda007@yandex.ru</v>
      </c>
      <c r="C1628" s="15" t="str">
        <f ca="1">IFERROR(__xludf.DUMMYFUNCTION("""COMPUTED_VALUE"""),"+79533329870")</f>
        <v>+79533329870</v>
      </c>
      <c r="D1628" s="15" t="str">
        <f ca="1">IFERROR(__xludf.DUMMYFUNCTION("""COMPUTED_VALUE"""),"Россия")</f>
        <v>Россия</v>
      </c>
      <c r="E1628" s="14"/>
      <c r="F1628" s="8" t="str">
        <f ca="1">IFERROR(__xludf.DUMMYFUNCTION("""COMPUTED_VALUE"""),"- Тишина Челлендж (бесплатная часть)")</f>
        <v>- Тишина Челлендж (бесплатная часть)</v>
      </c>
      <c r="G1628" s="14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</row>
    <row r="1629" spans="1:26" ht="14.25">
      <c r="A1629" s="14" t="str">
        <f ca="1">IFERROR(__xludf.DUMMYFUNCTION("""COMPUTED_VALUE"""),"Ewa Pokorny")</f>
        <v>Ewa Pokorny</v>
      </c>
      <c r="B1629" s="14" t="str">
        <f ca="1">IFERROR(__xludf.DUMMYFUNCTION("""COMPUTED_VALUE"""),"pokornycoach@gmail.com")</f>
        <v>pokornycoach@gmail.com</v>
      </c>
      <c r="C1629" s="15" t="str">
        <f ca="1">IFERROR(__xludf.DUMMYFUNCTION("""COMPUTED_VALUE"""),"+48502740046")</f>
        <v>+48502740046</v>
      </c>
      <c r="D1629" s="15" t="str">
        <f ca="1">IFERROR(__xludf.DUMMYFUNCTION("""COMPUTED_VALUE"""),"Polska")</f>
        <v>Polska</v>
      </c>
      <c r="E1629" s="14"/>
      <c r="F1629" s="8" t="str">
        <f ca="1">IFERROR(__xludf.DUMMYFUNCTION("""COMPUTED_VALUE"""),"- Интенсив онлайн 11-13.03.2022 ")</f>
        <v xml:space="preserve">- Интенсив онлайн 11-13.03.2022 </v>
      </c>
      <c r="G1629" s="14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</row>
    <row r="1630" spans="1:26" ht="14.25">
      <c r="A1630" s="14" t="str">
        <f ca="1">IFERROR(__xludf.DUMMYFUNCTION("""COMPUTED_VALUE"""),"Darina Sych")</f>
        <v>Darina Sych</v>
      </c>
      <c r="B1630" s="14" t="str">
        <f ca="1">IFERROR(__xludf.DUMMYFUNCTION("""COMPUTED_VALUE"""),"poletuha@yahoo.com")</f>
        <v>poletuha@yahoo.com</v>
      </c>
      <c r="C1630" s="15" t="str">
        <f ca="1">IFERROR(__xludf.DUMMYFUNCTION("""COMPUTED_VALUE"""),"+16304886538")</f>
        <v>+16304886538</v>
      </c>
      <c r="D1630" s="15" t="str">
        <f ca="1">IFERROR(__xludf.DUMMYFUNCTION("""COMPUTED_VALUE"""),"USA")</f>
        <v>USA</v>
      </c>
      <c r="E1630" s="14"/>
      <c r="F1630" s="8" t="str">
        <f ca="1">IFERROR(__xludf.DUMMYFUNCTION("""COMPUTED_VALUE"""),"- USA Челлендж Тишина")</f>
        <v>- USA Челлендж Тишина</v>
      </c>
      <c r="G1630" s="14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</row>
    <row r="1631" spans="1:26" ht="14.25">
      <c r="A1631" s="14" t="str">
        <f ca="1">IFERROR(__xludf.DUMMYFUNCTION("""COMPUTED_VALUE"""),"Виктория Полянская")</f>
        <v>Виктория Полянская</v>
      </c>
      <c r="B1631" s="14" t="str">
        <f ca="1">IFERROR(__xludf.DUMMYFUNCTION("""COMPUTED_VALUE"""),"polianskaiav@gmail.com")</f>
        <v>polianskaiav@gmail.com</v>
      </c>
      <c r="C1631" s="15" t="str">
        <f ca="1">IFERROR(__xludf.DUMMYFUNCTION("""COMPUTED_VALUE"""),"+380938067379")</f>
        <v>+380938067379</v>
      </c>
      <c r="D1631" s="15" t="str">
        <f ca="1">IFERROR(__xludf.DUMMYFUNCTION("""COMPUTED_VALUE"""),"Германия")</f>
        <v>Германия</v>
      </c>
      <c r="E1631" s="14"/>
      <c r="F1631" s="8" t="str">
        <f ca="1">IFERROR(__xludf.DUMMYFUNCTION("""COMPUTED_VALUE"""),"- Тишина Челлендж (бесплатная часть)")</f>
        <v>- Тишина Челлендж (бесплатная часть)</v>
      </c>
      <c r="G1631" s="14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</row>
    <row r="1632" spans="1:26" ht="14.25">
      <c r="A1632" s="14" t="str">
        <f ca="1">IFERROR(__xludf.DUMMYFUNCTION("""COMPUTED_VALUE"""),"polileonphoto,  ")</f>
        <v xml:space="preserve">polileonphoto,  </v>
      </c>
      <c r="B1632" s="14" t="str">
        <f ca="1">IFERROR(__xludf.DUMMYFUNCTION("""COMPUTED_VALUE"""),"polileonphoto@gmail.com")</f>
        <v>polileonphoto@gmail.com</v>
      </c>
      <c r="C1632" s="15"/>
      <c r="D1632" s="15"/>
      <c r="E1632" s="14"/>
      <c r="F1632" s="8" t="str">
        <f ca="1">IFERROR(__xludf.DUMMYFUNCTION("""COMPUTED_VALUE"""),"- USA Челлендж Тишина")</f>
        <v>- USA Челлендж Тишина</v>
      </c>
      <c r="G1632" s="14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</row>
    <row r="1633" spans="1:26" ht="14.25">
      <c r="A1633" s="14" t="str">
        <f ca="1">IFERROR(__xludf.DUMMYFUNCTION("""COMPUTED_VALUE"""),"Полина Гольдштейн")</f>
        <v>Полина Гольдштейн</v>
      </c>
      <c r="B1633" s="14" t="str">
        <f ca="1">IFERROR(__xludf.DUMMYFUNCTION("""COMPUTED_VALUE"""),"Polina.loginova@bk.ru")</f>
        <v>Polina.loginova@bk.ru</v>
      </c>
      <c r="C1633" s="15"/>
      <c r="D1633" s="15" t="str">
        <f ca="1">IFERROR(__xludf.DUMMYFUNCTION("""COMPUTED_VALUE"""),"Израиль")</f>
        <v>Израиль</v>
      </c>
      <c r="E1633" s="14"/>
      <c r="F1633" s="8" t="str">
        <f ca="1">IFERROR(__xludf.DUMMYFUNCTION("""COMPUTED_VALUE"""),"- Тишина Челлендж (бесплатная часть)")</f>
        <v>- Тишина Челлендж (бесплатная часть)</v>
      </c>
      <c r="G1633" s="14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</row>
    <row r="1634" spans="1:26" ht="14.25">
      <c r="A1634" s="14" t="str">
        <f ca="1">IFERROR(__xludf.DUMMYFUNCTION("""COMPUTED_VALUE"""),"Ирина Полкова")</f>
        <v>Ирина Полкова</v>
      </c>
      <c r="B1634" s="14" t="str">
        <f ca="1">IFERROR(__xludf.DUMMYFUNCTION("""COMPUTED_VALUE"""),"polkovai@gmail.com")</f>
        <v>polkovai@gmail.com</v>
      </c>
      <c r="C1634" s="15"/>
      <c r="D1634" s="15" t="str">
        <f ca="1">IFERROR(__xludf.DUMMYFUNCTION("""COMPUTED_VALUE"""),"Швеция")</f>
        <v>Швеция</v>
      </c>
      <c r="E1634" s="14"/>
      <c r="F1634" s="8" t="str">
        <f ca="1">IFERROR(__xludf.DUMMYFUNCTION("""COMPUTED_VALUE"""),"- Тишина Челлендж (бесплатная часть)")</f>
        <v>- Тишина Челлендж (бесплатная часть)</v>
      </c>
      <c r="G1634" s="14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</row>
    <row r="1635" spans="1:26" ht="14.25">
      <c r="A1635" s="14" t="str">
        <f ca="1">IFERROR(__xludf.DUMMYFUNCTION("""COMPUTED_VALUE"""),"Полина Кашина")</f>
        <v>Полина Кашина</v>
      </c>
      <c r="B1635" s="14" t="str">
        <f ca="1">IFERROR(__xludf.DUMMYFUNCTION("""COMPUTED_VALUE"""),"polli.sanny@mail.ru")</f>
        <v>polli.sanny@mail.ru</v>
      </c>
      <c r="C1635" s="15" t="str">
        <f ca="1">IFERROR(__xludf.DUMMYFUNCTION("""COMPUTED_VALUE"""),"79154756597")</f>
        <v>79154756597</v>
      </c>
      <c r="D1635" s="15" t="str">
        <f ca="1">IFERROR(__xludf.DUMMYFUNCTION("""COMPUTED_VALUE"""),"Россия")</f>
        <v>Россия</v>
      </c>
      <c r="E1635" s="14"/>
      <c r="F1635" s="8" t="str">
        <f ca="1">IFERROR(__xludf.DUMMYFUNCTION("""COMPUTED_VALUE"""),"- Заявка на СЪЕЗД+ФЕСТИВАЛЬ ""Мы вместе"" 3-8.01.22")</f>
        <v>- Заявка на СЪЕЗД+ФЕСТИВАЛЬ "Мы вместе" 3-8.01.22</v>
      </c>
      <c r="G1635" s="14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</row>
    <row r="1636" spans="1:26" ht="14.25">
      <c r="A1636" s="14" t="str">
        <f ca="1">IFERROR(__xludf.DUMMYFUNCTION("""COMPUTED_VALUE"""),"janis sedjukevics")</f>
        <v>janis sedjukevics</v>
      </c>
      <c r="B1636" s="14" t="str">
        <f ca="1">IFERROR(__xludf.DUMMYFUNCTION("""COMPUTED_VALUE"""),"poncis@inbox.lv")</f>
        <v>poncis@inbox.lv</v>
      </c>
      <c r="C1636" s="15" t="str">
        <f ca="1">IFERROR(__xludf.DUMMYFUNCTION("""COMPUTED_VALUE"""),"+37120191229")</f>
        <v>+37120191229</v>
      </c>
      <c r="D1636" s="15" t="str">
        <f ca="1">IFERROR(__xludf.DUMMYFUNCTION("""COMPUTED_VALUE"""),"Латвия")</f>
        <v>Латвия</v>
      </c>
      <c r="E1636" s="14"/>
      <c r="F1636" s="8" t="str">
        <f ca="1">IFERROR(__xludf.DUMMYFUNCTION("""COMPUTED_VALUE"""),"-  Ретрит в Латвии 6-13.02.2022")</f>
        <v>-  Ретрит в Латвии 6-13.02.2022</v>
      </c>
      <c r="G1636" s="14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</row>
    <row r="1637" spans="1:26" ht="63.75">
      <c r="A1637" s="14" t="str">
        <f ca="1">IFERROR(__xludf.DUMMYFUNCTION("""COMPUTED_VALUE"""),"Николай Пономарёв")</f>
        <v>Николай Пономарёв</v>
      </c>
      <c r="B1637" s="14" t="str">
        <f ca="1">IFERROR(__xludf.DUMMYFUNCTION("""COMPUTED_VALUE"""),"ponomarev-nikola@rambler.ru")</f>
        <v>ponomarev-nikola@rambler.ru</v>
      </c>
      <c r="C1637" s="15" t="str">
        <f ca="1">IFERROR(__xludf.DUMMYFUNCTION("""COMPUTED_VALUE"""),"+79320944606")</f>
        <v>+79320944606</v>
      </c>
      <c r="D1637" s="15" t="str">
        <f ca="1">IFERROR(__xludf.DUMMYFUNCTION("""COMPUTED_VALUE"""),"россия")</f>
        <v>россия</v>
      </c>
      <c r="E1637" s="14" t="str">
        <f ca="1">IFERROR(__xludf.DUMMYFUNCTION("""COMPUTED_VALUE"""),"Panamera")</f>
        <v>Panamera</v>
      </c>
      <c r="F1637" s="8" t="str">
        <f ca="1">IFERROR(__xludf.DUMMYFUNCTION("""COMPUTED_VALUE"""),"- Заявка на звонок для курса ""Парадентальная медитация""
- Ретрит в РЦ Сочи май 2022 (Оплата до 17 апреля)
- Онлайн курс Шаг к Пробуждению №16 26.2-5.3.22 Пакет стандартный
- Клуб пробуждения Друзья (Региональный)")</f>
        <v>- Заявка на звонок для курса "Парадентальная медитация"
- Ретрит в РЦ Сочи май 2022 (Оплата до 17 апреля)
- Онлайн курс Шаг к Пробуждению №16 26.2-5.3.22 Пакет стандартный
- Клуб пробуждения Друзья (Региональный)</v>
      </c>
      <c r="G1637" s="14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</row>
    <row r="1638" spans="1:26" ht="25.5">
      <c r="A1638" s="14" t="str">
        <f ca="1">IFERROR(__xludf.DUMMYFUNCTION("""COMPUTED_VALUE"""),"Яна Потапеня")</f>
        <v>Яна Потапеня</v>
      </c>
      <c r="B1638" s="14" t="str">
        <f ca="1">IFERROR(__xludf.DUMMYFUNCTION("""COMPUTED_VALUE"""),"potapenya.yana@bk.ru")</f>
        <v>potapenya.yana@bk.ru</v>
      </c>
      <c r="C1638" s="15" t="str">
        <f ca="1">IFERROR(__xludf.DUMMYFUNCTION("""COMPUTED_VALUE"""),"87472828929")</f>
        <v>87472828929</v>
      </c>
      <c r="D1638" s="15"/>
      <c r="E1638" s="14"/>
      <c r="F163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638" s="14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</row>
    <row r="1639" spans="1:26" ht="14.25">
      <c r="A1639" s="14" t="str">
        <f ca="1">IFERROR(__xludf.DUMMYFUNCTION("""COMPUTED_VALUE"""),"potulini,  ")</f>
        <v xml:space="preserve">potulini,  </v>
      </c>
      <c r="B1639" s="14" t="str">
        <f ca="1">IFERROR(__xludf.DUMMYFUNCTION("""COMPUTED_VALUE"""),"potulini@gmail.com")</f>
        <v>potulini@gmail.com</v>
      </c>
      <c r="C1639" s="15"/>
      <c r="D1639" s="15"/>
      <c r="E1639" s="14"/>
      <c r="F1639" s="8" t="str">
        <f ca="1">IFERROR(__xludf.DUMMYFUNCTION("""COMPUTED_VALUE"""),"- USA Челлендж Тишина")</f>
        <v>- USA Челлендж Тишина</v>
      </c>
      <c r="G1639" s="14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</row>
    <row r="1640" spans="1:26" ht="14.25">
      <c r="A1640" s="14" t="str">
        <f ca="1">IFERROR(__xludf.DUMMYFUNCTION("""COMPUTED_VALUE"""),"Павел, Павел ")</f>
        <v xml:space="preserve">Павел, Павел </v>
      </c>
      <c r="B1640" s="14" t="str">
        <f ca="1">IFERROR(__xludf.DUMMYFUNCTION("""COMPUTED_VALUE"""),"povel1980@gmail.com")</f>
        <v>povel1980@gmail.com</v>
      </c>
      <c r="C1640" s="15" t="str">
        <f ca="1">IFERROR(__xludf.DUMMYFUNCTION("""COMPUTED_VALUE"""),"+79619728678")</f>
        <v>+79619728678</v>
      </c>
      <c r="D1640" s="15" t="str">
        <f ca="1">IFERROR(__xludf.DUMMYFUNCTION("""COMPUTED_VALUE"""),"Россия")</f>
        <v>Россия</v>
      </c>
      <c r="E1640" s="14"/>
      <c r="F1640" s="8" t="str">
        <f ca="1">IFERROR(__xludf.DUMMYFUNCTION("""COMPUTED_VALUE"""),"-  Курс Пробуждение. Начало.")</f>
        <v>-  Курс Пробуждение. Начало.</v>
      </c>
      <c r="G1640" s="14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</row>
    <row r="1641" spans="1:26" ht="14.25">
      <c r="A1641" s="14" t="str">
        <f ca="1">IFERROR(__xludf.DUMMYFUNCTION("""COMPUTED_VALUE"""),"Владислав Киселев")</f>
        <v>Владислав Киселев</v>
      </c>
      <c r="B1641" s="14" t="str">
        <f ca="1">IFERROR(__xludf.DUMMYFUNCTION("""COMPUTED_VALUE"""),"prcenterkv@mail.ru")</f>
        <v>prcenterkv@mail.ru</v>
      </c>
      <c r="C1641" s="15" t="str">
        <f ca="1">IFERROR(__xludf.DUMMYFUNCTION("""COMPUTED_VALUE"""),"+79005375735")</f>
        <v>+79005375735</v>
      </c>
      <c r="D1641" s="15" t="str">
        <f ca="1">IFERROR(__xludf.DUMMYFUNCTION("""COMPUTED_VALUE"""),"Россия")</f>
        <v>Россия</v>
      </c>
      <c r="E1641" s="14"/>
      <c r="F1641" s="8" t="str">
        <f ca="1">IFERROR(__xludf.DUMMYFUNCTION("""COMPUTED_VALUE"""),"- Запись на ""Беседу по душам""")</f>
        <v>- Запись на "Беседу по душам"</v>
      </c>
      <c r="G1641" s="14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</row>
    <row r="1642" spans="1:26" ht="25.5">
      <c r="A1642" s="14" t="str">
        <f ca="1">IFERROR(__xludf.DUMMYFUNCTION("""COMPUTED_VALUE"""),"Татьяна Жумагалиева")</f>
        <v>Татьяна Жумагалиева</v>
      </c>
      <c r="B1642" s="14" t="str">
        <f ca="1">IFERROR(__xludf.DUMMYFUNCTION("""COMPUTED_VALUE"""),"Princessa_305@mail.ru")</f>
        <v>Princessa_305@mail.ru</v>
      </c>
      <c r="C1642" s="15" t="str">
        <f ca="1">IFERROR(__xludf.DUMMYFUNCTION("""COMPUTED_VALUE"""),"87756800084")</f>
        <v>87756800084</v>
      </c>
      <c r="D1642" s="15"/>
      <c r="E1642" s="14"/>
      <c r="F164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642" s="14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</row>
    <row r="1643" spans="1:26" ht="25.5">
      <c r="A1643" s="14" t="str">
        <f ca="1">IFERROR(__xludf.DUMMYFUNCTION("""COMPUTED_VALUE"""),"Алексей Смирнов")</f>
        <v>Алексей Смирнов</v>
      </c>
      <c r="B1643" s="14" t="str">
        <f ca="1">IFERROR(__xludf.DUMMYFUNCTION("""COMPUTED_VALUE"""),"printal@bk.ru")</f>
        <v>printal@bk.ru</v>
      </c>
      <c r="C1643" s="15" t="str">
        <f ca="1">IFERROR(__xludf.DUMMYFUNCTION("""COMPUTED_VALUE"""),"+79667626222")</f>
        <v>+79667626222</v>
      </c>
      <c r="D1643" s="15" t="str">
        <f ca="1">IFERROR(__xludf.DUMMYFUNCTION("""COMPUTED_VALUE"""),"Россия")</f>
        <v>Россия</v>
      </c>
      <c r="E1643" s="14"/>
      <c r="F1643" s="8" t="str">
        <f ca="1">IFERROR(__xludf.DUMMYFUNCTION("""COMPUTED_VALUE"""),"- Выездной ретрит Тюмень 18-20 марта 2022 (оплата с 11 по 16 марта)")</f>
        <v>- Выездной ретрит Тюмень 18-20 марта 2022 (оплата с 11 по 16 марта)</v>
      </c>
      <c r="G1643" s="14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</row>
    <row r="1644" spans="1:26" ht="14.25">
      <c r="A1644" s="14" t="str">
        <f ca="1">IFERROR(__xludf.DUMMYFUNCTION("""COMPUTED_VALUE"""),"Илья, Илья ")</f>
        <v xml:space="preserve">Илья, Илья </v>
      </c>
      <c r="B1644" s="14" t="str">
        <f ca="1">IFERROR(__xludf.DUMMYFUNCTION("""COMPUTED_VALUE"""),"Prioritet@bk.ru")</f>
        <v>Prioritet@bk.ru</v>
      </c>
      <c r="C1644" s="15" t="str">
        <f ca="1">IFERROR(__xludf.DUMMYFUNCTION("""COMPUTED_VALUE"""),"+79284192686")</f>
        <v>+79284192686</v>
      </c>
      <c r="D1644" s="15" t="str">
        <f ca="1">IFERROR(__xludf.DUMMYFUNCTION("""COMPUTED_VALUE"""),"Россия")</f>
        <v>Россия</v>
      </c>
      <c r="E1644" s="14"/>
      <c r="F1644" s="8" t="str">
        <f ca="1">IFERROR(__xludf.DUMMYFUNCTION("""COMPUTED_VALUE"""),"-  Курс Пробуждение. Начало.")</f>
        <v>-  Курс Пробуждение. Начало.</v>
      </c>
      <c r="G1644" s="14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</row>
    <row r="1645" spans="1:26" ht="14.25">
      <c r="A1645" s="14" t="str">
        <f ca="1">IFERROR(__xludf.DUMMYFUNCTION("""COMPUTED_VALUE"""),"privetmaria04,  ")</f>
        <v xml:space="preserve">privetmaria04,  </v>
      </c>
      <c r="B1645" s="14" t="str">
        <f ca="1">IFERROR(__xludf.DUMMYFUNCTION("""COMPUTED_VALUE"""),"privetmaria04@gmail.com")</f>
        <v>privetmaria04@gmail.com</v>
      </c>
      <c r="C1645" s="15"/>
      <c r="D1645" s="15"/>
      <c r="E1645" s="14"/>
      <c r="F1645" s="8" t="str">
        <f ca="1">IFERROR(__xludf.DUMMYFUNCTION("""COMPUTED_VALUE"""),"- USA Челлендж Тишина")</f>
        <v>- USA Челлендж Тишина</v>
      </c>
      <c r="G1645" s="14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</row>
    <row r="1646" spans="1:26" ht="25.5">
      <c r="A1646" s="14" t="str">
        <f ca="1">IFERROR(__xludf.DUMMYFUNCTION("""COMPUTED_VALUE"""),"Зульфия Иззетова")</f>
        <v>Зульфия Иззетова</v>
      </c>
      <c r="B1646" s="14" t="str">
        <f ca="1">IFERROR(__xludf.DUMMYFUNCTION("""COMPUTED_VALUE"""),"professor-69@mail.ru")</f>
        <v>professor-69@mail.ru</v>
      </c>
      <c r="C1646" s="15" t="str">
        <f ca="1">IFERROR(__xludf.DUMMYFUNCTION("""COMPUTED_VALUE"""),"+79052642924")</f>
        <v>+79052642924</v>
      </c>
      <c r="D1646" s="15" t="str">
        <f ca="1">IFERROR(__xludf.DUMMYFUNCTION("""COMPUTED_VALUE"""),"Россия")</f>
        <v>Россия</v>
      </c>
      <c r="E1646" s="14"/>
      <c r="F1646" s="8" t="str">
        <f ca="1">IFERROR(__xludf.DUMMYFUNCTION("""COMPUTED_VALUE"""),"- Живая ""Практика тишины"" г. Санкт-Петербург (регулярные занятия)")</f>
        <v>- Живая "Практика тишины" г. Санкт-Петербург (регулярные занятия)</v>
      </c>
      <c r="G1646" s="14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</row>
    <row r="1647" spans="1:26" ht="14.25">
      <c r="A1647" s="14" t="str">
        <f ca="1">IFERROR(__xludf.DUMMYFUNCTION("""COMPUTED_VALUE"""),"prolana7,  ")</f>
        <v xml:space="preserve">prolana7,  </v>
      </c>
      <c r="B1647" s="14" t="str">
        <f ca="1">IFERROR(__xludf.DUMMYFUNCTION("""COMPUTED_VALUE"""),"prolana7@gmail.com")</f>
        <v>prolana7@gmail.com</v>
      </c>
      <c r="C1647" s="15"/>
      <c r="D1647" s="15"/>
      <c r="E1647" s="14"/>
      <c r="F1647" s="8" t="str">
        <f ca="1">IFERROR(__xludf.DUMMYFUNCTION("""COMPUTED_VALUE"""),"- USA Челлендж Тишина")</f>
        <v>- USA Челлендж Тишина</v>
      </c>
      <c r="G1647" s="14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</row>
    <row r="1648" spans="1:26" ht="89.25">
      <c r="A1648" s="14" t="str">
        <f ca="1">IFERROR(__xludf.DUMMYFUNCTION("""COMPUTED_VALUE"""),"Юлия Пронина")</f>
        <v>Юлия Пронина</v>
      </c>
      <c r="B1648" s="14" t="str">
        <f ca="1">IFERROR(__xludf.DUMMYFUNCTION("""COMPUTED_VALUE"""),"pronina.79@mail.ru")</f>
        <v>pronina.79@mail.ru</v>
      </c>
      <c r="C1648" s="15" t="str">
        <f ca="1">IFERROR(__xludf.DUMMYFUNCTION("""COMPUTED_VALUE"""),"+79295801303")</f>
        <v>+79295801303</v>
      </c>
      <c r="D1648" s="15" t="str">
        <f ca="1">IFERROR(__xludf.DUMMYFUNCTION("""COMPUTED_VALUE"""),"Россия")</f>
        <v>Россия</v>
      </c>
      <c r="E1648" s="14"/>
      <c r="F1648" s="8" t="str">
        <f ca="1">IFERROR(__xludf.DUMMYFUNCTION("""COMPUTED_VALUE"""),"- Погружение 2.0 ""Пакет Базовый"" 15.01 - 06.02.2022 (поток 3)
- Беседа - сатсанг с Екатериной Сосниной: Счастье внутри нас 15.1.22
- Интенсив онлайн 11-13.02.2022
- Ретрит в РЦ Сочи 19-27 марта 2022 (Оплата до 6 марта)
- АнтиЭго 2.0 ""Пакет Базовый"" 19"&amp;".02 - 13.03.2022 (поток 1)
- Ретрит в РЦ Сочи май 2022 (Оплата до 17 апреля)")</f>
        <v>- Погружение 2.0 "Пакет Базовый" 15.01 - 06.02.2022 (поток 3)
- Беседа - сатсанг с Екатериной Сосниной: Счастье внутри нас 15.1.22
- Интенсив онлайн 11-13.02.2022
- Ретрит в РЦ Сочи 19-27 марта 2022 (Оплата до 6 марта)
- АнтиЭго 2.0 "Пакет Базовый" 19.02 - 13.03.2022 (поток 1)
- Ретрит в РЦ Сочи май 2022 (Оплата до 17 апреля)</v>
      </c>
      <c r="G1648" s="14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</row>
    <row r="1649" spans="1:26" ht="14.25">
      <c r="A1649" s="14" t="str">
        <f ca="1">IFERROR(__xludf.DUMMYFUNCTION("""COMPUTED_VALUE"""),"Яна Штевская")</f>
        <v>Яна Штевская</v>
      </c>
      <c r="B1649" s="14" t="str">
        <f ca="1">IFERROR(__xludf.DUMMYFUNCTION("""COMPUTED_VALUE"""),"prosto.yana.95@mail.ru")</f>
        <v>prosto.yana.95@mail.ru</v>
      </c>
      <c r="C1649" s="15" t="str">
        <f ca="1">IFERROR(__xludf.DUMMYFUNCTION("""COMPUTED_VALUE"""),"+375291283186")</f>
        <v>+375291283186</v>
      </c>
      <c r="D1649" s="15" t="str">
        <f ca="1">IFERROR(__xludf.DUMMYFUNCTION("""COMPUTED_VALUE"""),"Беларусь")</f>
        <v>Беларусь</v>
      </c>
      <c r="E1649" s="14"/>
      <c r="F1649" s="8" t="str">
        <f ca="1">IFERROR(__xludf.DUMMYFUNCTION("""COMPUTED_VALUE"""),"- Чайная встреча Минск 5.2 2022")</f>
        <v>- Чайная встреча Минск 5.2 2022</v>
      </c>
      <c r="G1649" s="14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</row>
    <row r="1650" spans="1:26" ht="14.25">
      <c r="A1650" s="14" t="str">
        <f ca="1">IFERROR(__xludf.DUMMYFUNCTION("""COMPUTED_VALUE"""),"Пётр Проц")</f>
        <v>Пётр Проц</v>
      </c>
      <c r="B1650" s="14" t="str">
        <f ca="1">IFERROR(__xludf.DUMMYFUNCTION("""COMPUTED_VALUE"""),"prots_p@hotmail.com")</f>
        <v>prots_p@hotmail.com</v>
      </c>
      <c r="C1650" s="15" t="str">
        <f ca="1">IFERROR(__xludf.DUMMYFUNCTION("""COMPUTED_VALUE"""),"491794845355")</f>
        <v>491794845355</v>
      </c>
      <c r="D1650" s="15" t="str">
        <f ca="1">IFERROR(__xludf.DUMMYFUNCTION("""COMPUTED_VALUE"""),"Германия")</f>
        <v>Германия</v>
      </c>
      <c r="E1650" s="14" t="str">
        <f ca="1">IFERROR(__xludf.DUMMYFUNCTION("""COMPUTED_VALUE"""),"@koktejlj")</f>
        <v>@koktejlj</v>
      </c>
      <c r="F1650" s="8" t="str">
        <f ca="1">IFERROR(__xludf.DUMMYFUNCTION("""COMPUTED_VALUE"""),"- Клуб пробуждения Друзья (2 уровень) - 3 месяца - скидка 7%")</f>
        <v>- Клуб пробуждения Друзья (2 уровень) - 3 месяца - скидка 7%</v>
      </c>
      <c r="G1650" s="14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</row>
    <row r="1651" spans="1:26" ht="14.25">
      <c r="A1651" s="14" t="str">
        <f ca="1">IFERROR(__xludf.DUMMYFUNCTION("""COMPUTED_VALUE"""),"Анна Арутюнян")</f>
        <v>Анна Арутюнян</v>
      </c>
      <c r="B1651" s="14" t="str">
        <f ca="1">IFERROR(__xludf.DUMMYFUNCTION("""COMPUTED_VALUE"""),"pru301@mail.ru")</f>
        <v>pru301@mail.ru</v>
      </c>
      <c r="C1651" s="15" t="str">
        <f ca="1">IFERROR(__xludf.DUMMYFUNCTION("""COMPUTED_VALUE"""),", +79255151769")</f>
        <v>, +79255151769</v>
      </c>
      <c r="D1651" s="15" t="str">
        <f ca="1">IFERROR(__xludf.DUMMYFUNCTION("""COMPUTED_VALUE"""),"Россия")</f>
        <v>Россия</v>
      </c>
      <c r="E1651" s="14"/>
      <c r="F1651" s="8" t="str">
        <f ca="1">IFERROR(__xludf.DUMMYFUNCTION("""COMPUTED_VALUE"""),"Мероприятий не обнаружено")</f>
        <v>Мероприятий не обнаружено</v>
      </c>
      <c r="G1651" s="14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</row>
    <row r="1652" spans="1:26" ht="14.25">
      <c r="A1652" s="14" t="str">
        <f ca="1">IFERROR(__xludf.DUMMYFUNCTION("""COMPUTED_VALUE"""),"Мария Прудник")</f>
        <v>Мария Прудник</v>
      </c>
      <c r="B1652" s="14" t="str">
        <f ca="1">IFERROR(__xludf.DUMMYFUNCTION("""COMPUTED_VALUE"""),"prudnik.mariya@mail.ru")</f>
        <v>prudnik.mariya@mail.ru</v>
      </c>
      <c r="C1652" s="15"/>
      <c r="D1652" s="15" t="str">
        <f ca="1">IFERROR(__xludf.DUMMYFUNCTION("""COMPUTED_VALUE"""),"Швеция")</f>
        <v>Швеция</v>
      </c>
      <c r="E1652" s="14"/>
      <c r="F1652" s="8" t="str">
        <f ca="1">IFERROR(__xludf.DUMMYFUNCTION("""COMPUTED_VALUE"""),"- Тишина Челлендж (бесплатная часть)")</f>
        <v>- Тишина Челлендж (бесплатная часть)</v>
      </c>
      <c r="G1652" s="14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</row>
    <row r="1653" spans="1:26" ht="14.25">
      <c r="A1653" s="14" t="str">
        <f ca="1">IFERROR(__xludf.DUMMYFUNCTION("""COMPUTED_VALUE"""),"Евгений Голдобин")</f>
        <v>Евгений Голдобин</v>
      </c>
      <c r="B1653" s="14" t="str">
        <f ca="1">IFERROR(__xludf.DUMMYFUNCTION("""COMPUTED_VALUE"""),"ps100es@gmail.com")</f>
        <v>ps100es@gmail.com</v>
      </c>
      <c r="C1653" s="15" t="str">
        <f ca="1">IFERROR(__xludf.DUMMYFUNCTION("""COMPUTED_VALUE"""),"79519415950")</f>
        <v>79519415950</v>
      </c>
      <c r="D1653" s="15" t="str">
        <f ca="1">IFERROR(__xludf.DUMMYFUNCTION("""COMPUTED_VALUE"""),"Россия")</f>
        <v>Россия</v>
      </c>
      <c r="E1653" s="14" t="str">
        <f ca="1">IFERROR(__xludf.DUMMYFUNCTION("""COMPUTED_VALUE"""),"@EvgeniyGoldobin")</f>
        <v>@EvgeniyGoldobin</v>
      </c>
      <c r="F1653" s="8" t="str">
        <f ca="1">IFERROR(__xludf.DUMMYFUNCTION("""COMPUTED_VALUE"""),"- Клуб пробуждения Друзья (2 уровень) - 1 месяц")</f>
        <v>- Клуб пробуждения Друзья (2 уровень) - 1 месяц</v>
      </c>
      <c r="G1653" s="14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</row>
    <row r="1654" spans="1:26" ht="25.5">
      <c r="A1654" s="14" t="str">
        <f ca="1">IFERROR(__xludf.DUMMYFUNCTION("""COMPUTED_VALUE"""),"Ilze Brauna")</f>
        <v>Ilze Brauna</v>
      </c>
      <c r="B1654" s="14" t="str">
        <f ca="1">IFERROR(__xludf.DUMMYFUNCTION("""COMPUTED_VALUE"""),"pucpuc@inbox.lv")</f>
        <v>pucpuc@inbox.lv</v>
      </c>
      <c r="C1654" s="15" t="str">
        <f ca="1">IFERROR(__xludf.DUMMYFUNCTION("""COMPUTED_VALUE"""),"+37129213099")</f>
        <v>+37129213099</v>
      </c>
      <c r="D1654" s="15" t="str">
        <f ca="1">IFERROR(__xludf.DUMMYFUNCTION("""COMPUTED_VALUE"""),"Латвия")</f>
        <v>Латвия</v>
      </c>
      <c r="E1654" s="14"/>
      <c r="F1654" s="8" t="str">
        <f ca="1">IFERROR(__xludf.DUMMYFUNCTION("""COMPUTED_VALUE"""),"- Шаг к Пробуждению №5 на латышском Латвия LV 11-18 декабря 2021 года ")</f>
        <v xml:space="preserve">- Шаг к Пробуждению №5 на латышском Латвия LV 11-18 декабря 2021 года </v>
      </c>
      <c r="G1654" s="14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</row>
    <row r="1655" spans="1:26" ht="25.5">
      <c r="A1655" s="14" t="str">
        <f ca="1">IFERROR(__xludf.DUMMYFUNCTION("""COMPUTED_VALUE"""),"Наргиза Пулатова")</f>
        <v>Наргиза Пулатова</v>
      </c>
      <c r="B1655" s="14" t="str">
        <f ca="1">IFERROR(__xludf.DUMMYFUNCTION("""COMPUTED_VALUE"""),"pulatovanargiza24@gmail.com")</f>
        <v>pulatovanargiza24@gmail.com</v>
      </c>
      <c r="C1655" s="15" t="str">
        <f ca="1">IFERROR(__xludf.DUMMYFUNCTION("""COMPUTED_VALUE"""),"998911620399")</f>
        <v>998911620399</v>
      </c>
      <c r="D1655" s="15"/>
      <c r="E1655" s="14"/>
      <c r="F165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655" s="14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</row>
    <row r="1656" spans="1:26" ht="25.5">
      <c r="A1656" s="14" t="str">
        <f ca="1">IFERROR(__xludf.DUMMYFUNCTION("""COMPUTED_VALUE"""),"ВЛАДИМИР ЗИНЬКОВСКИЙ")</f>
        <v>ВЛАДИМИР ЗИНЬКОВСКИЙ</v>
      </c>
      <c r="B1656" s="14" t="str">
        <f ca="1">IFERROR(__xludf.DUMMYFUNCTION("""COMPUTED_VALUE"""),"Putyvl@mail.ru")</f>
        <v>Putyvl@mail.ru</v>
      </c>
      <c r="C1656" s="15" t="str">
        <f ca="1">IFERROR(__xludf.DUMMYFUNCTION("""COMPUTED_VALUE"""),"9720543687050")</f>
        <v>9720543687050</v>
      </c>
      <c r="D1656" s="15" t="str">
        <f ca="1">IFERROR(__xludf.DUMMYFUNCTION("""COMPUTED_VALUE"""),"Израиль")</f>
        <v>Израиль</v>
      </c>
      <c r="E1656" s="14"/>
      <c r="F1656" s="8" t="str">
        <f ca="1">IFERROR(__xludf.DUMMYFUNCTION("""COMPUTED_VALUE"""),"- Беседа - сатсанг с Екатериной Сосниной: Счастье внутри нас 15.1.22")</f>
        <v>- Беседа - сатсанг с Екатериной Сосниной: Счастье внутри нас 15.1.22</v>
      </c>
      <c r="G1656" s="14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</row>
    <row r="1657" spans="1:26" ht="14.25">
      <c r="A1657" s="14" t="str">
        <f ca="1">IFERROR(__xludf.DUMMYFUNCTION("""COMPUTED_VALUE"""),"Ирина Пузравина")</f>
        <v>Ирина Пузравина</v>
      </c>
      <c r="B1657" s="14" t="str">
        <f ca="1">IFERROR(__xludf.DUMMYFUNCTION("""COMPUTED_VALUE"""),"Puzravina.ira@yandex.ru")</f>
        <v>Puzravina.ira@yandex.ru</v>
      </c>
      <c r="C1657" s="15" t="str">
        <f ca="1">IFERROR(__xludf.DUMMYFUNCTION("""COMPUTED_VALUE"""),"+37128769265")</f>
        <v>+37128769265</v>
      </c>
      <c r="D1657" s="15" t="str">
        <f ca="1">IFERROR(__xludf.DUMMYFUNCTION("""COMPUTED_VALUE"""),"Латвия")</f>
        <v>Латвия</v>
      </c>
      <c r="E1657" s="14"/>
      <c r="F1657" s="8" t="str">
        <f ca="1">IFERROR(__xludf.DUMMYFUNCTION("""COMPUTED_VALUE"""),"- Вебинар все о ретрите 12.2.2022")</f>
        <v>- Вебинар все о ретрите 12.2.2022</v>
      </c>
      <c r="G1657" s="14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</row>
    <row r="1658" spans="1:26" ht="25.5">
      <c r="A1658" s="14" t="str">
        <f ca="1">IFERROR(__xludf.DUMMYFUNCTION("""COMPUTED_VALUE"""),"Гуля Мухамедгали")</f>
        <v>Гуля Мухамедгали</v>
      </c>
      <c r="B1658" s="14" t="str">
        <f ca="1">IFERROR(__xludf.DUMMYFUNCTION("""COMPUTED_VALUE"""),"q.muhamedgalieva81@gmail.com")</f>
        <v>q.muhamedgalieva81@gmail.com</v>
      </c>
      <c r="C1658" s="15" t="str">
        <f ca="1">IFERROR(__xludf.DUMMYFUNCTION("""COMPUTED_VALUE"""),"87015965085")</f>
        <v>87015965085</v>
      </c>
      <c r="D1658" s="15"/>
      <c r="E1658" s="14"/>
      <c r="F165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658" s="14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</row>
    <row r="1659" spans="1:26" ht="14.25">
      <c r="A1659" s="14" t="str">
        <f ca="1">IFERROR(__xludf.DUMMYFUNCTION("""COMPUTED_VALUE"""),"Максим Максим")</f>
        <v>Максим Максим</v>
      </c>
      <c r="B1659" s="14" t="str">
        <f ca="1">IFERROR(__xludf.DUMMYFUNCTION("""COMPUTED_VALUE"""),"Qwerty@bk.ru")</f>
        <v>Qwerty@bk.ru</v>
      </c>
      <c r="C1659" s="15" t="str">
        <f ca="1">IFERROR(__xludf.DUMMYFUNCTION("""COMPUTED_VALUE"""),", +375336200933")</f>
        <v>, +375336200933</v>
      </c>
      <c r="D1659" s="15" t="str">
        <f ca="1">IFERROR(__xludf.DUMMYFUNCTION("""COMPUTED_VALUE"""),"Беларусь")</f>
        <v>Беларусь</v>
      </c>
      <c r="E1659" s="14"/>
      <c r="F1659" s="8" t="str">
        <f ca="1">IFERROR(__xludf.DUMMYFUNCTION("""COMPUTED_VALUE"""),"Мероприятий не обнаружено")</f>
        <v>Мероприятий не обнаружено</v>
      </c>
      <c r="G1659" s="14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</row>
    <row r="1660" spans="1:26" ht="14.25">
      <c r="A1660" s="14" t="str">
        <f ca="1">IFERROR(__xludf.DUMMYFUNCTION("""COMPUTED_VALUE"""),"Сания Рыскулбекова")</f>
        <v>Сания Рыскулбекова</v>
      </c>
      <c r="B1660" s="14" t="str">
        <f ca="1">IFERROR(__xludf.DUMMYFUNCTION("""COMPUTED_VALUE"""),"R.saniya777@gmail.com")</f>
        <v>R.saniya777@gmail.com</v>
      </c>
      <c r="C1660" s="15"/>
      <c r="D1660" s="15" t="str">
        <f ca="1">IFERROR(__xludf.DUMMYFUNCTION("""COMPUTED_VALUE"""),"Швеция")</f>
        <v>Швеция</v>
      </c>
      <c r="E1660" s="14"/>
      <c r="F1660" s="8" t="str">
        <f ca="1">IFERROR(__xludf.DUMMYFUNCTION("""COMPUTED_VALUE"""),"- Тишина Челлендж (бесплатная часть)")</f>
        <v>- Тишина Челлендж (бесплатная часть)</v>
      </c>
      <c r="G1660" s="14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</row>
    <row r="1661" spans="1:26" ht="14.25">
      <c r="A1661" s="14" t="str">
        <f ca="1">IFERROR(__xludf.DUMMYFUNCTION("""COMPUTED_VALUE"""),"Александр Родевич")</f>
        <v>Александр Родевич</v>
      </c>
      <c r="B1661" s="14" t="str">
        <f ca="1">IFERROR(__xludf.DUMMYFUNCTION("""COMPUTED_VALUE"""),"Radevich.sasha@mail.ru")</f>
        <v>Radevich.sasha@mail.ru</v>
      </c>
      <c r="C1661" s="15" t="str">
        <f ca="1">IFERROR(__xludf.DUMMYFUNCTION("""COMPUTED_VALUE"""),"+375333412244")</f>
        <v>+375333412244</v>
      </c>
      <c r="D1661" s="15" t="str">
        <f ca="1">IFERROR(__xludf.DUMMYFUNCTION("""COMPUTED_VALUE"""),"Беларусь")</f>
        <v>Беларусь</v>
      </c>
      <c r="E1661" s="14"/>
      <c r="F1661" s="8" t="str">
        <f ca="1">IFERROR(__xludf.DUMMYFUNCTION("""COMPUTED_VALUE"""),"- Йога тишины 28 марта 2022 Минск")</f>
        <v>- Йога тишины 28 марта 2022 Минск</v>
      </c>
      <c r="G1661" s="14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</row>
    <row r="1662" spans="1:26" ht="51">
      <c r="A1662" s="14" t="str">
        <f ca="1">IFERROR(__xludf.DUMMYFUNCTION("""COMPUTED_VALUE"""),"Радик Насыров")</f>
        <v>Радик Насыров</v>
      </c>
      <c r="B1662" s="14" t="str">
        <f ca="1">IFERROR(__xludf.DUMMYFUNCTION("""COMPUTED_VALUE"""),"radik04@gmail.com")</f>
        <v>radik04@gmail.com</v>
      </c>
      <c r="C1662" s="15" t="str">
        <f ca="1">IFERROR(__xludf.DUMMYFUNCTION("""COMPUTED_VALUE"""),"79173419788")</f>
        <v>79173419788</v>
      </c>
      <c r="D1662" s="15" t="str">
        <f ca="1">IFERROR(__xludf.DUMMYFUNCTION("""COMPUTED_VALUE"""),"Россия")</f>
        <v>Россия</v>
      </c>
      <c r="E1662" s="14"/>
      <c r="F1662" s="8" t="str">
        <f ca="1">IFERROR(__xludf.DUMMYFUNCTION("""COMPUTED_VALUE"""),"- Клуб пробуждения Друзья (2 уровень) - 1 месяц
- Беседа - сатсанг с Екатериной Сосниной: Счастье внутри нас 15.1.22
- Вводный вебинар 3.5.22 на Шаг к Пробуждению")</f>
        <v>- Клуб пробуждения Друзья (2 уровень) - 1 месяц
- Беседа - сатсанг с Екатериной Сосниной: Счастье внутри нас 15.1.22
- Вводный вебинар 3.5.22 на Шаг к Пробуждению</v>
      </c>
      <c r="G1662" s="14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</row>
    <row r="1663" spans="1:26" ht="14.25">
      <c r="A1663" s="14" t="str">
        <f ca="1">IFERROR(__xludf.DUMMYFUNCTION("""COMPUTED_VALUE"""),"Радик Зарипов")</f>
        <v>Радик Зарипов</v>
      </c>
      <c r="B1663" s="14" t="str">
        <f ca="1">IFERROR(__xludf.DUMMYFUNCTION("""COMPUTED_VALUE"""),"radium1990@mail.ru")</f>
        <v>radium1990@mail.ru</v>
      </c>
      <c r="C1663" s="15" t="str">
        <f ca="1">IFERROR(__xludf.DUMMYFUNCTION("""COMPUTED_VALUE"""),"79196914555")</f>
        <v>79196914555</v>
      </c>
      <c r="D1663" s="15" t="str">
        <f ca="1">IFERROR(__xludf.DUMMYFUNCTION("""COMPUTED_VALUE"""),"Россия")</f>
        <v>Россия</v>
      </c>
      <c r="E1663" s="14"/>
      <c r="F1663" s="8" t="str">
        <f ca="1">IFERROR(__xludf.DUMMYFUNCTION("""COMPUTED_VALUE"""),"- Тишина Челлендж (бесплатная часть)")</f>
        <v>- Тишина Челлендж (бесплатная часть)</v>
      </c>
      <c r="G1663" s="14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</row>
    <row r="1664" spans="1:26" ht="14.25">
      <c r="A1664" s="14" t="str">
        <f ca="1">IFERROR(__xludf.DUMMYFUNCTION("""COMPUTED_VALUE"""),"Ольга Прокудина")</f>
        <v>Ольга Прокудина</v>
      </c>
      <c r="B1664" s="14" t="str">
        <f ca="1">IFERROR(__xludf.DUMMYFUNCTION("""COMPUTED_VALUE"""),"raduga.o@list.ru")</f>
        <v>raduga.o@list.ru</v>
      </c>
      <c r="C1664" s="15" t="str">
        <f ca="1">IFERROR(__xludf.DUMMYFUNCTION("""COMPUTED_VALUE"""),"79999095867")</f>
        <v>79999095867</v>
      </c>
      <c r="D1664" s="15" t="str">
        <f ca="1">IFERROR(__xludf.DUMMYFUNCTION("""COMPUTED_VALUE"""),"Россия")</f>
        <v>Россия</v>
      </c>
      <c r="E1664" s="14"/>
      <c r="F1664" s="8" t="str">
        <f ca="1">IFERROR(__xludf.DUMMYFUNCTION("""COMPUTED_VALUE"""),"- Тишина Челлендж (бесплатная часть)")</f>
        <v>- Тишина Челлендж (бесплатная часть)</v>
      </c>
      <c r="G1664" s="14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</row>
    <row r="1665" spans="1:26" ht="14.25">
      <c r="A1665" s="14" t="str">
        <f ca="1">IFERROR(__xludf.DUMMYFUNCTION("""COMPUTED_VALUE"""),"Михаил Побылец")</f>
        <v>Михаил Побылец</v>
      </c>
      <c r="B1665" s="14" t="str">
        <f ca="1">IFERROR(__xludf.DUMMYFUNCTION("""COMPUTED_VALUE"""),"ragnarek222@gmail.com")</f>
        <v>ragnarek222@gmail.com</v>
      </c>
      <c r="C1665" s="15" t="str">
        <f ca="1">IFERROR(__xludf.DUMMYFUNCTION("""COMPUTED_VALUE"""),"+375336829350")</f>
        <v>+375336829350</v>
      </c>
      <c r="D1665" s="15"/>
      <c r="E1665" s="14"/>
      <c r="F1665" s="8" t="str">
        <f ca="1">IFERROR(__xludf.DUMMYFUNCTION("""COMPUTED_VALUE"""),"- Тишина Челлендж (бесплатная часть)")</f>
        <v>- Тишина Челлендж (бесплатная часть)</v>
      </c>
      <c r="G1665" s="14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</row>
    <row r="1666" spans="1:26" ht="14.25">
      <c r="A1666" s="14" t="str">
        <f ca="1">IFERROR(__xludf.DUMMYFUNCTION("""COMPUTED_VALUE"""),"Жора Рахимбаев")</f>
        <v>Жора Рахимбаев</v>
      </c>
      <c r="B1666" s="14" t="str">
        <f ca="1">IFERROR(__xludf.DUMMYFUNCTION("""COMPUTED_VALUE"""),"rahimbaevkostanay@qmail.com")</f>
        <v>rahimbaevkostanay@qmail.com</v>
      </c>
      <c r="C1666" s="15" t="str">
        <f ca="1">IFERROR(__xludf.DUMMYFUNCTION("""COMPUTED_VALUE"""),", +77713269408")</f>
        <v>, +77713269408</v>
      </c>
      <c r="D1666" s="15" t="str">
        <f ca="1">IFERROR(__xludf.DUMMYFUNCTION("""COMPUTED_VALUE"""),"Казахстан")</f>
        <v>Казахстан</v>
      </c>
      <c r="E1666" s="14"/>
      <c r="F1666" s="8" t="str">
        <f ca="1">IFERROR(__xludf.DUMMYFUNCTION("""COMPUTED_VALUE"""),"Мероприятий не обнаружено")</f>
        <v>Мероприятий не обнаружено</v>
      </c>
      <c r="G1666" s="14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</row>
    <row r="1667" spans="1:26" ht="25.5">
      <c r="A1667" s="14" t="str">
        <f ca="1">IFERROR(__xludf.DUMMYFUNCTION("""COMPUTED_VALUE"""),"Райхан Кустанова")</f>
        <v>Райхан Кустанова</v>
      </c>
      <c r="B1667" s="14" t="str">
        <f ca="1">IFERROR(__xludf.DUMMYFUNCTION("""COMPUTED_VALUE"""),"Raikustanova87@gmail.com")</f>
        <v>Raikustanova87@gmail.com</v>
      </c>
      <c r="C1667" s="15" t="str">
        <f ca="1">IFERROR(__xludf.DUMMYFUNCTION("""COMPUTED_VALUE"""),"87718492128")</f>
        <v>87718492128</v>
      </c>
      <c r="D1667" s="15"/>
      <c r="E1667" s="14"/>
      <c r="F166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667" s="14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</row>
    <row r="1668" spans="1:26" ht="14.25">
      <c r="A1668" s="14" t="str">
        <f ca="1">IFERROR(__xludf.DUMMYFUNCTION("""COMPUTED_VALUE"""),"Оксана Оксана")</f>
        <v>Оксана Оксана</v>
      </c>
      <c r="B1668" s="14" t="str">
        <f ca="1">IFERROR(__xludf.DUMMYFUNCTION("""COMPUTED_VALUE"""),"rainbow192009@rambler.ru")</f>
        <v>rainbow192009@rambler.ru</v>
      </c>
      <c r="C1668" s="15" t="str">
        <f ca="1">IFERROR(__xludf.DUMMYFUNCTION("""COMPUTED_VALUE"""),"+375256528202")</f>
        <v>+375256528202</v>
      </c>
      <c r="D1668" s="15" t="str">
        <f ca="1">IFERROR(__xludf.DUMMYFUNCTION("""COMPUTED_VALUE"""),"Беларусь")</f>
        <v>Беларусь</v>
      </c>
      <c r="E1668" s="14"/>
      <c r="F1668" s="8" t="str">
        <f ca="1">IFERROR(__xludf.DUMMYFUNCTION("""COMPUTED_VALUE"""),"- Чайная встреча в Минске 22.1.22")</f>
        <v>- Чайная встреча в Минске 22.1.22</v>
      </c>
      <c r="G1668" s="14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</row>
    <row r="1669" spans="1:26" ht="14.25">
      <c r="A1669" s="14" t="str">
        <f ca="1">IFERROR(__xludf.DUMMYFUNCTION("""COMPUTED_VALUE"""),"Анара Раис")</f>
        <v>Анара Раис</v>
      </c>
      <c r="B1669" s="14" t="str">
        <f ca="1">IFERROR(__xludf.DUMMYFUNCTION("""COMPUTED_VALUE"""),"rais_anara@mail.ru")</f>
        <v>rais_anara@mail.ru</v>
      </c>
      <c r="C1669" s="15"/>
      <c r="D1669" s="15" t="str">
        <f ca="1">IFERROR(__xludf.DUMMYFUNCTION("""COMPUTED_VALUE"""),"Швеция")</f>
        <v>Швеция</v>
      </c>
      <c r="E1669" s="14"/>
      <c r="F1669" s="8" t="str">
        <f ca="1">IFERROR(__xludf.DUMMYFUNCTION("""COMPUTED_VALUE"""),"- Тишина Челлендж (бесплатная часть)")</f>
        <v>- Тишина Челлендж (бесплатная часть)</v>
      </c>
      <c r="G1669" s="14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</row>
    <row r="1670" spans="1:26" ht="25.5">
      <c r="A1670" s="14" t="str">
        <f ca="1">IFERROR(__xludf.DUMMYFUNCTION("""COMPUTED_VALUE"""),"Raisa Pozdnjakova")</f>
        <v>Raisa Pozdnjakova</v>
      </c>
      <c r="B1670" s="14" t="str">
        <f ca="1">IFERROR(__xludf.DUMMYFUNCTION("""COMPUTED_VALUE"""),"Raisa48880@yandex.ru")</f>
        <v>Raisa48880@yandex.ru</v>
      </c>
      <c r="C1670" s="15" t="str">
        <f ca="1">IFERROR(__xludf.DUMMYFUNCTION("""COMPUTED_VALUE"""),"+48880168221")</f>
        <v>+48880168221</v>
      </c>
      <c r="D1670" s="15" t="str">
        <f ca="1">IFERROR(__xludf.DUMMYFUNCTION("""COMPUTED_VALUE"""),"Польша")</f>
        <v>Польша</v>
      </c>
      <c r="E1670" s="14"/>
      <c r="F1670" s="8" t="str">
        <f ca="1">IFERROR(__xludf.DUMMYFUNCTION("""COMPUTED_VALUE"""),"-  Ретрит в Латвии 19-27.03.2022
- Ретрит в Германии 30 апреля-7 мая 2022")</f>
        <v>-  Ретрит в Латвии 19-27.03.2022
- Ретрит в Германии 30 апреля-7 мая 2022</v>
      </c>
      <c r="G1670" s="14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</row>
    <row r="1671" spans="1:26" ht="25.5">
      <c r="A1671" s="14" t="str">
        <f ca="1">IFERROR(__xludf.DUMMYFUNCTION("""COMPUTED_VALUE"""),"Рано Акрамова")</f>
        <v>Рано Акрамова</v>
      </c>
      <c r="B1671" s="14" t="str">
        <f ca="1">IFERROR(__xludf.DUMMYFUNCTION("""COMPUTED_VALUE"""),"Rano_Akramova@mail.ru")</f>
        <v>Rano_Akramova@mail.ru</v>
      </c>
      <c r="C1671" s="15" t="str">
        <f ca="1">IFERROR(__xludf.DUMMYFUNCTION("""COMPUTED_VALUE"""),"+998972286633")</f>
        <v>+998972286633</v>
      </c>
      <c r="D1671" s="15"/>
      <c r="E1671" s="14"/>
      <c r="F167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671" s="14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</row>
    <row r="1672" spans="1:26" ht="14.25">
      <c r="A1672" s="14" t="str">
        <f ca="1">IFERROR(__xludf.DUMMYFUNCTION("""COMPUTED_VALUE"""),"Жанна Пак")</f>
        <v>Жанна Пак</v>
      </c>
      <c r="B1672" s="14" t="str">
        <f ca="1">IFERROR(__xludf.DUMMYFUNCTION("""COMPUTED_VALUE"""),"rarik1606@mail.ru")</f>
        <v>rarik1606@mail.ru</v>
      </c>
      <c r="C1672" s="15"/>
      <c r="D1672" s="15" t="str">
        <f ca="1">IFERROR(__xludf.DUMMYFUNCTION("""COMPUTED_VALUE"""),"Швеция")</f>
        <v>Швеция</v>
      </c>
      <c r="E1672" s="14"/>
      <c r="F1672" s="8" t="str">
        <f ca="1">IFERROR(__xludf.DUMMYFUNCTION("""COMPUTED_VALUE"""),"- Тишина Челлендж (бесплатная часть)")</f>
        <v>- Тишина Челлендж (бесплатная часть)</v>
      </c>
      <c r="G1672" s="14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</row>
    <row r="1673" spans="1:26" ht="14.25">
      <c r="A1673" s="14" t="str">
        <f ca="1">IFERROR(__xludf.DUMMYFUNCTION("""COMPUTED_VALUE"""),"Rasa Valaitiene")</f>
        <v>Rasa Valaitiene</v>
      </c>
      <c r="B1673" s="14" t="str">
        <f ca="1">IFERROR(__xludf.DUMMYFUNCTION("""COMPUTED_VALUE"""),"rasavalaitiene30@gmail.com")</f>
        <v>rasavalaitiene30@gmail.com</v>
      </c>
      <c r="C1673" s="15" t="str">
        <f ca="1">IFERROR(__xludf.DUMMYFUNCTION("""COMPUTED_VALUE"""),"+4796730445")</f>
        <v>+4796730445</v>
      </c>
      <c r="D1673" s="15" t="str">
        <f ca="1">IFERROR(__xludf.DUMMYFUNCTION("""COMPUTED_VALUE"""),"Норвегия")</f>
        <v>Норвегия</v>
      </c>
      <c r="E1673" s="14"/>
      <c r="F1673" s="8" t="str">
        <f ca="1">IFERROR(__xludf.DUMMYFUNCTION("""COMPUTED_VALUE"""),"- Интенсив онлайн 11-13.03.2022 ")</f>
        <v xml:space="preserve">- Интенсив онлайн 11-13.03.2022 </v>
      </c>
      <c r="G1673" s="14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</row>
    <row r="1674" spans="1:26" ht="14.25">
      <c r="A1674" s="14" t="str">
        <f ca="1">IFERROR(__xludf.DUMMYFUNCTION("""COMPUTED_VALUE"""),"Ратникова светлана Сучкова")</f>
        <v>Ратникова светлана Сучкова</v>
      </c>
      <c r="B1674" s="14" t="str">
        <f ca="1">IFERROR(__xludf.DUMMYFUNCTION("""COMPUTED_VALUE"""),"ratnikova77@internet.ru")</f>
        <v>ratnikova77@internet.ru</v>
      </c>
      <c r="C1674" s="15" t="str">
        <f ca="1">IFERROR(__xludf.DUMMYFUNCTION("""COMPUTED_VALUE"""),"+79533154499")</f>
        <v>+79533154499</v>
      </c>
      <c r="D1674" s="15" t="str">
        <f ca="1">IFERROR(__xludf.DUMMYFUNCTION("""COMPUTED_VALUE"""),"Россия")</f>
        <v>Россия</v>
      </c>
      <c r="E1674" s="14"/>
      <c r="F1674" s="8" t="str">
        <f ca="1">IFERROR(__xludf.DUMMYFUNCTION("""COMPUTED_VALUE"""),"- Вводный вебинар 3.5.22 на Шаг к Пробуждению")</f>
        <v>- Вводный вебинар 3.5.22 на Шаг к Пробуждению</v>
      </c>
      <c r="G1674" s="14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</row>
    <row r="1675" spans="1:26" ht="14.25">
      <c r="A1675" s="14" t="str">
        <f ca="1">IFERROR(__xludf.DUMMYFUNCTION("""COMPUTED_VALUE"""),"Raimonds Dreijers")</f>
        <v>Raimonds Dreijers</v>
      </c>
      <c r="B1675" s="14" t="str">
        <f ca="1">IFERROR(__xludf.DUMMYFUNCTION("""COMPUTED_VALUE"""),"raudre312@gmail.com")</f>
        <v>raudre312@gmail.com</v>
      </c>
      <c r="C1675" s="15" t="str">
        <f ca="1">IFERROR(__xludf.DUMMYFUNCTION("""COMPUTED_VALUE"""),"+37124973339")</f>
        <v>+37124973339</v>
      </c>
      <c r="D1675" s="15" t="str">
        <f ca="1">IFERROR(__xludf.DUMMYFUNCTION("""COMPUTED_VALUE"""),"Латвия")</f>
        <v>Латвия</v>
      </c>
      <c r="E1675" s="14"/>
      <c r="F1675" s="8" t="str">
        <f ca="1">IFERROR(__xludf.DUMMYFUNCTION("""COMPUTED_VALUE"""),"- ретрит ЕВРОПЕЙСКИЙ 14-21.1.2022 Латвия(550€)")</f>
        <v>- ретрит ЕВРОПЕЙСКИЙ 14-21.1.2022 Латвия(550€)</v>
      </c>
      <c r="G1675" s="14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</row>
    <row r="1676" spans="1:26" ht="14.25">
      <c r="A1676" s="14" t="str">
        <f ca="1">IFERROR(__xludf.DUMMYFUNCTION("""COMPUTED_VALUE"""),"Равиль Кропотов")</f>
        <v>Равиль Кропотов</v>
      </c>
      <c r="B1676" s="14" t="str">
        <f ca="1">IFERROR(__xludf.DUMMYFUNCTION("""COMPUTED_VALUE"""),"Ravil.kropotov@bk.ru")</f>
        <v>Ravil.kropotov@bk.ru</v>
      </c>
      <c r="C1676" s="15" t="str">
        <f ca="1">IFERROR(__xludf.DUMMYFUNCTION("""COMPUTED_VALUE"""),", 87770874568")</f>
        <v>, 87770874568</v>
      </c>
      <c r="D1676" s="15" t="str">
        <f ca="1">IFERROR(__xludf.DUMMYFUNCTION("""COMPUTED_VALUE"""),"Казахстан ")</f>
        <v xml:space="preserve">Казахстан </v>
      </c>
      <c r="E1676" s="14"/>
      <c r="F1676" s="8" t="str">
        <f ca="1">IFERROR(__xludf.DUMMYFUNCTION("""COMPUTED_VALUE"""),"Мероприятий не обнаружено")</f>
        <v>Мероприятий не обнаружено</v>
      </c>
      <c r="G1676" s="14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</row>
    <row r="1677" spans="1:26" ht="25.5">
      <c r="A1677" s="14" t="str">
        <f ca="1">IFERROR(__xludf.DUMMYFUNCTION("""COMPUTED_VALUE"""),"Равшан Каримов")</f>
        <v>Равшан Каримов</v>
      </c>
      <c r="B1677" s="14" t="str">
        <f ca="1">IFERROR(__xludf.DUMMYFUNCTION("""COMPUTED_VALUE"""),"Ravshan@Yandex.ru")</f>
        <v>Ravshan@Yandex.ru</v>
      </c>
      <c r="C1677" s="15" t="str">
        <f ca="1">IFERROR(__xludf.DUMMYFUNCTION("""COMPUTED_VALUE"""),"+998909112022")</f>
        <v>+998909112022</v>
      </c>
      <c r="D1677" s="15"/>
      <c r="E1677" s="14"/>
      <c r="F167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677" s="14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</row>
    <row r="1678" spans="1:26" ht="25.5">
      <c r="A1678" s="14" t="str">
        <f ca="1">IFERROR(__xludf.DUMMYFUNCTION("""COMPUTED_VALUE"""),"Азиза Абду")</f>
        <v>Азиза Абду</v>
      </c>
      <c r="B1678" s="14" t="str">
        <f ca="1">IFERROR(__xludf.DUMMYFUNCTION("""COMPUTED_VALUE"""),"Ravshanovna87@gmail.com")</f>
        <v>Ravshanovna87@gmail.com</v>
      </c>
      <c r="C1678" s="15" t="str">
        <f ca="1">IFERROR(__xludf.DUMMYFUNCTION("""COMPUTED_VALUE"""),"+998977066506")</f>
        <v>+998977066506</v>
      </c>
      <c r="D1678" s="15"/>
      <c r="E1678" s="14"/>
      <c r="F167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678" s="14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</row>
    <row r="1679" spans="1:26" ht="25.5">
      <c r="A1679" s="14" t="str">
        <f ca="1">IFERROR(__xludf.DUMMYFUNCTION("""COMPUTED_VALUE"""),"Окила Умарова")</f>
        <v>Окила Умарова</v>
      </c>
      <c r="B1679" s="14" t="str">
        <f ca="1">IFERROR(__xludf.DUMMYFUNCTION("""COMPUTED_VALUE"""),"regenbogen13@mail.ru")</f>
        <v>regenbogen13@mail.ru</v>
      </c>
      <c r="C1679" s="15" t="str">
        <f ca="1">IFERROR(__xludf.DUMMYFUNCTION("""COMPUTED_VALUE"""),"+998881881383")</f>
        <v>+998881881383</v>
      </c>
      <c r="D1679" s="15"/>
      <c r="E1679" s="14"/>
      <c r="F167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679" s="14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</row>
    <row r="1680" spans="1:26" ht="14.25">
      <c r="A1680" s="14" t="str">
        <f ca="1">IFERROR(__xludf.DUMMYFUNCTION("""COMPUTED_VALUE"""),"Регина Миронец")</f>
        <v>Регина Миронец</v>
      </c>
      <c r="B1680" s="14" t="str">
        <f ca="1">IFERROR(__xludf.DUMMYFUNCTION("""COMPUTED_VALUE"""),"regina_raz@mail.ru")</f>
        <v>regina_raz@mail.ru</v>
      </c>
      <c r="C1680" s="15" t="str">
        <f ca="1">IFERROR(__xludf.DUMMYFUNCTION("""COMPUTED_VALUE"""),", 87087468863")</f>
        <v>, 87087468863</v>
      </c>
      <c r="D1680" s="15"/>
      <c r="E1680" s="14"/>
      <c r="F1680" s="8" t="str">
        <f ca="1">IFERROR(__xludf.DUMMYFUNCTION("""COMPUTED_VALUE"""),"Мероприятий не обнаружено")</f>
        <v>Мероприятий не обнаружено</v>
      </c>
      <c r="G1680" s="14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</row>
    <row r="1681" spans="1:26" ht="25.5">
      <c r="A1681" s="14" t="str">
        <f ca="1">IFERROR(__xludf.DUMMYFUNCTION("""COMPUTED_VALUE"""),"Регина Егель")</f>
        <v>Регина Егель</v>
      </c>
      <c r="B1681" s="14" t="str">
        <f ca="1">IFERROR(__xludf.DUMMYFUNCTION("""COMPUTED_VALUE"""),"regina.shubina@mail.ru")</f>
        <v>regina.shubina@mail.ru</v>
      </c>
      <c r="C1681" s="15" t="str">
        <f ca="1">IFERROR(__xludf.DUMMYFUNCTION("""COMPUTED_VALUE"""),"87009185733")</f>
        <v>87009185733</v>
      </c>
      <c r="D1681" s="15"/>
      <c r="E1681" s="14"/>
      <c r="F168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681" s="14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</row>
    <row r="1682" spans="1:26" ht="14.25">
      <c r="A1682" s="14" t="str">
        <f ca="1">IFERROR(__xludf.DUMMYFUNCTION("""COMPUTED_VALUE"""),"Regina Warkentin")</f>
        <v>Regina Warkentin</v>
      </c>
      <c r="B1682" s="14" t="str">
        <f ca="1">IFERROR(__xludf.DUMMYFUNCTION("""COMPUTED_VALUE"""),"regina2501@web.de")</f>
        <v>regina2501@web.de</v>
      </c>
      <c r="C1682" s="15" t="str">
        <f ca="1">IFERROR(__xludf.DUMMYFUNCTION("""COMPUTED_VALUE"""),"017696347657")</f>
        <v>017696347657</v>
      </c>
      <c r="D1682" s="15" t="str">
        <f ca="1">IFERROR(__xludf.DUMMYFUNCTION("""COMPUTED_VALUE"""),"Германия")</f>
        <v>Германия</v>
      </c>
      <c r="E1682" s="14"/>
      <c r="F1682" s="8" t="str">
        <f ca="1">IFERROR(__xludf.DUMMYFUNCTION("""COMPUTED_VALUE"""),"- Ретрит в Германии 30 апреля-7 мая 2022")</f>
        <v>- Ретрит в Германии 30 апреля-7 мая 2022</v>
      </c>
      <c r="G1682" s="14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</row>
    <row r="1683" spans="1:26" ht="14.25">
      <c r="A1683" s="14" t="str">
        <f ca="1">IFERROR(__xludf.DUMMYFUNCTION("""COMPUTED_VALUE"""),"Sabine Krebs")</f>
        <v>Sabine Krebs</v>
      </c>
      <c r="B1683" s="14" t="str">
        <f ca="1">IFERROR(__xludf.DUMMYFUNCTION("""COMPUTED_VALUE"""),"reinoldsave@gmx.ch")</f>
        <v>reinoldsave@gmx.ch</v>
      </c>
      <c r="C1683" s="15" t="str">
        <f ca="1">IFERROR(__xludf.DUMMYFUNCTION("""COMPUTED_VALUE"""),"+410788124367")</f>
        <v>+410788124367</v>
      </c>
      <c r="D1683" s="15" t="str">
        <f ca="1">IFERROR(__xludf.DUMMYFUNCTION("""COMPUTED_VALUE"""),"Швейцария")</f>
        <v>Швейцария</v>
      </c>
      <c r="E1683" s="14"/>
      <c r="F1683" s="8" t="str">
        <f ca="1">IFERROR(__xludf.DUMMYFUNCTION("""COMPUTED_VALUE"""),"- Retreat, 14-21 Januar 2022, Bad Meinberg (550€)")</f>
        <v>- Retreat, 14-21 Januar 2022, Bad Meinberg (550€)</v>
      </c>
      <c r="G1683" s="14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</row>
    <row r="1684" spans="1:26" ht="14.25">
      <c r="A1684" s="14" t="str">
        <f ca="1">IFERROR(__xludf.DUMMYFUNCTION("""COMPUTED_VALUE"""),"Сергей Кукушкин")</f>
        <v>Сергей Кукушкин</v>
      </c>
      <c r="B1684" s="14" t="str">
        <f ca="1">IFERROR(__xludf.DUMMYFUNCTION("""COMPUTED_VALUE"""),"rekus-2@yandex.ru")</f>
        <v>rekus-2@yandex.ru</v>
      </c>
      <c r="C1684" s="15" t="str">
        <f ca="1">IFERROR(__xludf.DUMMYFUNCTION("""COMPUTED_VALUE"""),"+79194458435")</f>
        <v>+79194458435</v>
      </c>
      <c r="D1684" s="15" t="str">
        <f ca="1">IFERROR(__xludf.DUMMYFUNCTION("""COMPUTED_VALUE"""),"Россия")</f>
        <v>Россия</v>
      </c>
      <c r="E1684" s="14"/>
      <c r="F1684" s="8" t="str">
        <f ca="1">IFERROR(__xludf.DUMMYFUNCTION("""COMPUTED_VALUE"""),"- Партнерская программа")</f>
        <v>- Партнерская программа</v>
      </c>
      <c r="G1684" s="14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</row>
    <row r="1685" spans="1:26" ht="38.25">
      <c r="A1685" s="14" t="str">
        <f ca="1">IFERROR(__xludf.DUMMYFUNCTION("""COMPUTED_VALUE"""),"София Яковлева")</f>
        <v>София Яковлева</v>
      </c>
      <c r="B1685" s="14" t="str">
        <f ca="1">IFERROR(__xludf.DUMMYFUNCTION("""COMPUTED_VALUE"""),"remember.your.may@mail.ru")</f>
        <v>remember.your.may@mail.ru</v>
      </c>
      <c r="C1685" s="15" t="str">
        <f ca="1">IFERROR(__xludf.DUMMYFUNCTION("""COMPUTED_VALUE"""),"+79003067090")</f>
        <v>+79003067090</v>
      </c>
      <c r="D1685" s="15" t="str">
        <f ca="1">IFERROR(__xludf.DUMMYFUNCTION("""COMPUTED_VALUE"""),"Россия")</f>
        <v>Россия</v>
      </c>
      <c r="E1685" s="14"/>
      <c r="F1685" s="8" t="str">
        <f ca="1">IFERROR(__xludf.DUMMYFUNCTION("""COMPUTED_VALUE"""),"- Регулярная практика тишины в Москве 
- Практика Тишины общая платная
- Городской ретрит Москва 18-20.02.2022")</f>
        <v>- Регулярная практика тишины в Москве 
- Практика Тишины общая платная
- Городской ретрит Москва 18-20.02.2022</v>
      </c>
      <c r="G1685" s="14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</row>
    <row r="1686" spans="1:26" ht="14.25">
      <c r="A1686" s="14" t="str">
        <f ca="1">IFERROR(__xludf.DUMMYFUNCTION("""COMPUTED_VALUE"""),"Денис Хакимов")</f>
        <v>Денис Хакимов</v>
      </c>
      <c r="B1686" s="14" t="str">
        <f ca="1">IFERROR(__xludf.DUMMYFUNCTION("""COMPUTED_VALUE"""),"remontadin82@mail.ru")</f>
        <v>remontadin82@mail.ru</v>
      </c>
      <c r="C1686" s="15" t="str">
        <f ca="1">IFERROR(__xludf.DUMMYFUNCTION("""COMPUTED_VALUE"""),"79871909929")</f>
        <v>79871909929</v>
      </c>
      <c r="D1686" s="15"/>
      <c r="E1686" s="14"/>
      <c r="F1686" s="8" t="str">
        <f ca="1">IFERROR(__xludf.DUMMYFUNCTION("""COMPUTED_VALUE"""),"- Партнерская программа")</f>
        <v>- Партнерская программа</v>
      </c>
      <c r="G1686" s="14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</row>
    <row r="1687" spans="1:26" ht="14.25">
      <c r="A1687" s="14" t="str">
        <f ca="1">IFERROR(__xludf.DUMMYFUNCTION("""COMPUTED_VALUE"""),"Рен Рен")</f>
        <v>Рен Рен</v>
      </c>
      <c r="B1687" s="14" t="str">
        <f ca="1">IFERROR(__xludf.DUMMYFUNCTION("""COMPUTED_VALUE"""),"Ren-for_f@mail.ru")</f>
        <v>Ren-for_f@mail.ru</v>
      </c>
      <c r="C1687" s="15" t="str">
        <f ca="1">IFERROR(__xludf.DUMMYFUNCTION("""COMPUTED_VALUE"""),"+79255427689")</f>
        <v>+79255427689</v>
      </c>
      <c r="D1687" s="15" t="str">
        <f ca="1">IFERROR(__xludf.DUMMYFUNCTION("""COMPUTED_VALUE"""),"Шри-Ланка")</f>
        <v>Шри-Ланка</v>
      </c>
      <c r="E1687" s="14"/>
      <c r="F1687" s="8" t="str">
        <f ca="1">IFERROR(__xludf.DUMMYFUNCTION("""COMPUTED_VALUE"""),"- Вебинар все о ретрите 12.2.2022")</f>
        <v>- Вебинар все о ретрите 12.2.2022</v>
      </c>
      <c r="G1687" s="14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</row>
    <row r="1688" spans="1:26" ht="14.25">
      <c r="A1688" s="14" t="str">
        <f ca="1">IFERROR(__xludf.DUMMYFUNCTION("""COMPUTED_VALUE"""),"Рената Романова")</f>
        <v>Рената Романова</v>
      </c>
      <c r="B1688" s="14" t="str">
        <f ca="1">IFERROR(__xludf.DUMMYFUNCTION("""COMPUTED_VALUE"""),"Renatasifl@mail.ru")</f>
        <v>Renatasifl@mail.ru</v>
      </c>
      <c r="C1688" s="15" t="str">
        <f ca="1">IFERROR(__xludf.DUMMYFUNCTION("""COMPUTED_VALUE"""),", +998915401091")</f>
        <v>, +998915401091</v>
      </c>
      <c r="D1688" s="15"/>
      <c r="E1688" s="14"/>
      <c r="F1688" s="8" t="str">
        <f ca="1">IFERROR(__xludf.DUMMYFUNCTION("""COMPUTED_VALUE"""),"Мероприятий не обнаружено")</f>
        <v>Мероприятий не обнаружено</v>
      </c>
      <c r="G1688" s="14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</row>
    <row r="1689" spans="1:26" ht="14.25">
      <c r="A1689" s="14" t="str">
        <f ca="1">IFERROR(__xludf.DUMMYFUNCTION("""COMPUTED_VALUE"""),"Renee Meijer")</f>
        <v>Renee Meijer</v>
      </c>
      <c r="B1689" s="14" t="str">
        <f ca="1">IFERROR(__xludf.DUMMYFUNCTION("""COMPUTED_VALUE"""),"reneemeij@gmail.com")</f>
        <v>reneemeij@gmail.com</v>
      </c>
      <c r="C1689" s="15"/>
      <c r="D1689" s="15"/>
      <c r="E1689" s="14"/>
      <c r="F1689" s="8" t="str">
        <f ca="1">IFERROR(__xludf.DUMMYFUNCTION("""COMPUTED_VALUE"""),"- What hides behind anxiety? The quantum leap [EU]")</f>
        <v>- What hides behind anxiety? The quantum leap [EU]</v>
      </c>
      <c r="G1689" s="14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</row>
    <row r="1690" spans="1:26" ht="25.5">
      <c r="A1690" s="14" t="str">
        <f ca="1">IFERROR(__xludf.DUMMYFUNCTION("""COMPUTED_VALUE"""),"Андрей Биккерт")</f>
        <v>Андрей Биккерт</v>
      </c>
      <c r="B1690" s="14" t="str">
        <f ca="1">IFERROR(__xludf.DUMMYFUNCTION("""COMPUTED_VALUE"""),"Repsamec@mail.ru")</f>
        <v>Repsamec@mail.ru</v>
      </c>
      <c r="C1690" s="15" t="str">
        <f ca="1">IFERROR(__xludf.DUMMYFUNCTION("""COMPUTED_VALUE"""),"+77752199199")</f>
        <v>+77752199199</v>
      </c>
      <c r="D1690" s="15"/>
      <c r="E1690" s="14"/>
      <c r="F169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690" s="14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</row>
    <row r="1691" spans="1:26" ht="14.25">
      <c r="A1691" s="14" t="str">
        <f ca="1">IFERROR(__xludf.DUMMYFUNCTION("""COMPUTED_VALUE"""),"res2u,  ")</f>
        <v xml:space="preserve">res2u,  </v>
      </c>
      <c r="B1691" s="14" t="str">
        <f ca="1">IFERROR(__xludf.DUMMYFUNCTION("""COMPUTED_VALUE"""),"res2u@mail.ru")</f>
        <v>res2u@mail.ru</v>
      </c>
      <c r="C1691" s="15"/>
      <c r="D1691" s="15"/>
      <c r="E1691" s="14"/>
      <c r="F1691" s="8" t="str">
        <f ca="1">IFERROR(__xludf.DUMMYFUNCTION("""COMPUTED_VALUE"""),"- USA Челлендж Тишина")</f>
        <v>- USA Челлендж Тишина</v>
      </c>
      <c r="G1691" s="14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</row>
    <row r="1692" spans="1:26" ht="25.5">
      <c r="A1692" s="14" t="str">
        <f ca="1">IFERROR(__xludf.DUMMYFUNCTION("""COMPUTED_VALUE"""),"Мария Реутт")</f>
        <v>Мария Реутт</v>
      </c>
      <c r="B1692" s="14" t="str">
        <f ca="1">IFERROR(__xludf.DUMMYFUNCTION("""COMPUTED_VALUE"""),"Reutt@bk.ru")</f>
        <v>Reutt@bk.ru</v>
      </c>
      <c r="C1692" s="15" t="str">
        <f ca="1">IFERROR(__xludf.DUMMYFUNCTION("""COMPUTED_VALUE"""),"79122370099")</f>
        <v>79122370099</v>
      </c>
      <c r="D1692" s="15" t="str">
        <f ca="1">IFERROR(__xludf.DUMMYFUNCTION("""COMPUTED_VALUE"""),"Россия")</f>
        <v>Россия</v>
      </c>
      <c r="E1692" s="14"/>
      <c r="F1692" s="8" t="str">
        <f ca="1">IFERROR(__xludf.DUMMYFUNCTION("""COMPUTED_VALUE"""),"- Интенсив  в Каменск-Уральском 27-29.5.2022 (оплата со 16 по 26 мая)")</f>
        <v>- Интенсив  в Каменск-Уральском 27-29.5.2022 (оплата со 16 по 26 мая)</v>
      </c>
      <c r="G1692" s="14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</row>
    <row r="1693" spans="1:26" ht="25.5">
      <c r="A1693" s="14" t="str">
        <f ca="1">IFERROR(__xludf.DUMMYFUNCTION("""COMPUTED_VALUE"""),"Римма Хафизова")</f>
        <v>Римма Хафизова</v>
      </c>
      <c r="B1693" s="14" t="str">
        <f ca="1">IFERROR(__xludf.DUMMYFUNCTION("""COMPUTED_VALUE"""),"rimfankhaf@mail.ru")</f>
        <v>rimfankhaf@mail.ru</v>
      </c>
      <c r="C1693" s="15" t="str">
        <f ca="1">IFERROR(__xludf.DUMMYFUNCTION("""COMPUTED_VALUE"""),"+998998630848")</f>
        <v>+998998630848</v>
      </c>
      <c r="D1693" s="15"/>
      <c r="E1693" s="14"/>
      <c r="F169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693" s="14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</row>
    <row r="1694" spans="1:26" ht="14.25">
      <c r="A1694" s="14" t="str">
        <f ca="1">IFERROR(__xludf.DUMMYFUNCTION("""COMPUTED_VALUE"""),"Римма Борисова")</f>
        <v>Римма Борисова</v>
      </c>
      <c r="B1694" s="14" t="str">
        <f ca="1">IFERROR(__xludf.DUMMYFUNCTION("""COMPUTED_VALUE"""),"Rimma.gulieva@mail.ru")</f>
        <v>Rimma.gulieva@mail.ru</v>
      </c>
      <c r="C1694" s="15" t="str">
        <f ca="1">IFERROR(__xludf.DUMMYFUNCTION("""COMPUTED_VALUE"""),", 998915465065")</f>
        <v>, 998915465065</v>
      </c>
      <c r="D1694" s="15"/>
      <c r="E1694" s="14"/>
      <c r="F1694" s="8" t="str">
        <f ca="1">IFERROR(__xludf.DUMMYFUNCTION("""COMPUTED_VALUE"""),"Мероприятий не обнаружено")</f>
        <v>Мероприятий не обнаружено</v>
      </c>
      <c r="G1694" s="14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</row>
    <row r="1695" spans="1:26" ht="25.5">
      <c r="A1695" s="14" t="str">
        <f ca="1">IFERROR(__xludf.DUMMYFUNCTION("""COMPUTED_VALUE"""),"Римма М")</f>
        <v>Римма М</v>
      </c>
      <c r="B1695" s="14" t="str">
        <f ca="1">IFERROR(__xludf.DUMMYFUNCTION("""COMPUTED_VALUE"""),"rimmamashanova@gmail.com")</f>
        <v>rimmamashanova@gmail.com</v>
      </c>
      <c r="C1695" s="15" t="str">
        <f ca="1">IFERROR(__xludf.DUMMYFUNCTION("""COMPUTED_VALUE"""),"87782416762")</f>
        <v>87782416762</v>
      </c>
      <c r="D1695" s="15" t="str">
        <f ca="1">IFERROR(__xludf.DUMMYFUNCTION("""COMPUTED_VALUE"""),"Казахстан")</f>
        <v>Казахстан</v>
      </c>
      <c r="E1695" s="14"/>
      <c r="F169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695" s="14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</row>
    <row r="1696" spans="1:26" ht="14.25">
      <c r="A1696" s="14" t="str">
        <f ca="1">IFERROR(__xludf.DUMMYFUNCTION("""COMPUTED_VALUE"""),"Маргарита Лебедева")</f>
        <v>Маргарита Лебедева</v>
      </c>
      <c r="B1696" s="14" t="str">
        <f ca="1">IFERROR(__xludf.DUMMYFUNCTION("""COMPUTED_VALUE"""),"rita282828@mail.ru")</f>
        <v>rita282828@mail.ru</v>
      </c>
      <c r="C1696" s="15" t="str">
        <f ca="1">IFERROR(__xludf.DUMMYFUNCTION("""COMPUTED_VALUE"""),"+79136566518")</f>
        <v>+79136566518</v>
      </c>
      <c r="D1696" s="15" t="str">
        <f ca="1">IFERROR(__xludf.DUMMYFUNCTION("""COMPUTED_VALUE"""),"Россия")</f>
        <v>Россия</v>
      </c>
      <c r="E1696" s="14"/>
      <c r="F1696" s="8" t="str">
        <f ca="1">IFERROR(__xludf.DUMMYFUNCTION("""COMPUTED_VALUE"""),"- Однодневный онлайн ретрит Россия 14 мая 2022")</f>
        <v>- Однодневный онлайн ретрит Россия 14 мая 2022</v>
      </c>
      <c r="G1696" s="14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</row>
    <row r="1697" spans="1:26" ht="51">
      <c r="A1697" s="14" t="str">
        <f ca="1">IFERROR(__xludf.DUMMYFUNCTION("""COMPUTED_VALUE"""),"Rita Reiha")</f>
        <v>Rita Reiha</v>
      </c>
      <c r="B1697" s="14" t="str">
        <f ca="1">IFERROR(__xludf.DUMMYFUNCTION("""COMPUTED_VALUE"""),"ritta.reiha@gmail.com")</f>
        <v>ritta.reiha@gmail.com</v>
      </c>
      <c r="C1697" s="15" t="str">
        <f ca="1">IFERROR(__xludf.DUMMYFUNCTION("""COMPUTED_VALUE"""),"25488544")</f>
        <v>25488544</v>
      </c>
      <c r="D1697" s="15" t="str">
        <f ca="1">IFERROR(__xludf.DUMMYFUNCTION("""COMPUTED_VALUE"""),"Латвия")</f>
        <v>Латвия</v>
      </c>
      <c r="E1697" s="14"/>
      <c r="F1697" s="8" t="str">
        <f ca="1">IFERROR(__xludf.DUMMYFUNCTION("""COMPUTED_VALUE"""),"- Шаг к Пробуждению №5 на латышском Латвия LV 11-18 декабря 2021 года 
- ретрит ЕВРОПЕЙСКИЙ 14-21.1.2022 Латвия (цена- 390€) 
- Ретрит ""Проектная деятельность"" для участников ретритов")</f>
        <v>- Шаг к Пробуждению №5 на латышском Латвия LV 11-18 декабря 2021 года 
- ретрит ЕВРОПЕЙСКИЙ 14-21.1.2022 Латвия (цена- 390€) 
- Ретрит "Проектная деятельность" для участников ретритов</v>
      </c>
      <c r="G1697" s="14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</row>
    <row r="1698" spans="1:26" ht="14.25">
      <c r="A1698" s="14" t="str">
        <f ca="1">IFERROR(__xludf.DUMMYFUNCTION("""COMPUTED_VALUE"""),"Иван Дрёмин Дремин")</f>
        <v>Иван Дрёмин Дремин</v>
      </c>
      <c r="B1698" s="14" t="str">
        <f ca="1">IFERROR(__xludf.DUMMYFUNCTION("""COMPUTED_VALUE"""),"riverbreeze.ivan@gmail.com")</f>
        <v>riverbreeze.ivan@gmail.com</v>
      </c>
      <c r="C1698" s="15" t="str">
        <f ca="1">IFERROR(__xludf.DUMMYFUNCTION("""COMPUTED_VALUE"""),"+79265205689")</f>
        <v>+79265205689</v>
      </c>
      <c r="D1698" s="15" t="str">
        <f ca="1">IFERROR(__xludf.DUMMYFUNCTION("""COMPUTED_VALUE"""),"Россия")</f>
        <v>Россия</v>
      </c>
      <c r="E1698" s="14"/>
      <c r="F1698" s="8" t="str">
        <f ca="1">IFERROR(__xludf.DUMMYFUNCTION("""COMPUTED_VALUE"""),"- Партнерская программа")</f>
        <v>- Партнерская программа</v>
      </c>
      <c r="G1698" s="14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</row>
    <row r="1699" spans="1:26" ht="25.5">
      <c r="A1699" s="14" t="str">
        <f ca="1">IFERROR(__xludf.DUMMYFUNCTION("""COMPUTED_VALUE"""),"Расима Капсатова")</f>
        <v>Расима Капсатова</v>
      </c>
      <c r="B1699" s="14" t="str">
        <f ca="1">IFERROR(__xludf.DUMMYFUNCTION("""COMPUTED_VALUE"""),"Rkapsatova@mail.ru")</f>
        <v>Rkapsatova@mail.ru</v>
      </c>
      <c r="C1699" s="15" t="str">
        <f ca="1">IFERROR(__xludf.DUMMYFUNCTION("""COMPUTED_VALUE"""),"87787111557")</f>
        <v>87787111557</v>
      </c>
      <c r="D1699" s="15"/>
      <c r="E1699" s="14"/>
      <c r="F169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699" s="14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</row>
    <row r="1700" spans="1:26" ht="14.25">
      <c r="A1700" s="14" t="str">
        <f ca="1">IFERROR(__xludf.DUMMYFUNCTION("""COMPUTED_VALUE"""),"Людмила Рассолоаа")</f>
        <v>Людмила Рассолоаа</v>
      </c>
      <c r="B1700" s="14" t="str">
        <f ca="1">IFERROR(__xludf.DUMMYFUNCTION("""COMPUTED_VALUE"""),"rlyudmilap.51@mail.ru")</f>
        <v>rlyudmilap.51@mail.ru</v>
      </c>
      <c r="C1700" s="15" t="str">
        <f ca="1">IFERROR(__xludf.DUMMYFUNCTION("""COMPUTED_VALUE"""),", 79841434879")</f>
        <v>, 79841434879</v>
      </c>
      <c r="D1700" s="15" t="str">
        <f ca="1">IFERROR(__xludf.DUMMYFUNCTION("""COMPUTED_VALUE"""),"Россия")</f>
        <v>Россия</v>
      </c>
      <c r="E1700" s="14"/>
      <c r="F1700" s="8" t="str">
        <f ca="1">IFERROR(__xludf.DUMMYFUNCTION("""COMPUTED_VALUE"""),"Мероприятий не обнаружено")</f>
        <v>Мероприятий не обнаружено</v>
      </c>
      <c r="G1700" s="14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</row>
    <row r="1701" spans="1:26" ht="14.25">
      <c r="A1701" s="14" t="str">
        <f ca="1">IFERROR(__xludf.DUMMYFUNCTION("""COMPUTED_VALUE"""),"Андрей Кунц")</f>
        <v>Андрей Кунц</v>
      </c>
      <c r="B1701" s="14" t="str">
        <f ca="1">IFERROR(__xludf.DUMMYFUNCTION("""COMPUTED_VALUE"""),"Robka-kunz@web.de")</f>
        <v>Robka-kunz@web.de</v>
      </c>
      <c r="C1701" s="15" t="str">
        <f ca="1">IFERROR(__xludf.DUMMYFUNCTION("""COMPUTED_VALUE"""),"+491732749639")</f>
        <v>+491732749639</v>
      </c>
      <c r="D1701" s="15" t="str">
        <f ca="1">IFERROR(__xludf.DUMMYFUNCTION("""COMPUTED_VALUE"""),"Германия")</f>
        <v>Германия</v>
      </c>
      <c r="E1701" s="14"/>
      <c r="F1701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1701" s="14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</row>
    <row r="1702" spans="1:26" ht="14.25">
      <c r="A1702" s="14" t="str">
        <f ca="1">IFERROR(__xludf.DUMMYFUNCTION("""COMPUTED_VALUE"""),"Тереза Оганисян")</f>
        <v>Тереза Оганисян</v>
      </c>
      <c r="B1702" s="14" t="str">
        <f ca="1">IFERROR(__xludf.DUMMYFUNCTION("""COMPUTED_VALUE"""),"rodn-77f@mail.ru")</f>
        <v>rodn-77f@mail.ru</v>
      </c>
      <c r="C1702" s="15"/>
      <c r="D1702" s="15" t="str">
        <f ca="1">IFERROR(__xludf.DUMMYFUNCTION("""COMPUTED_VALUE"""),"Швеция")</f>
        <v>Швеция</v>
      </c>
      <c r="E1702" s="14"/>
      <c r="F1702" s="8" t="str">
        <f ca="1">IFERROR(__xludf.DUMMYFUNCTION("""COMPUTED_VALUE"""),"- Тишина Челлендж (бесплатная часть)")</f>
        <v>- Тишина Челлендж (бесплатная часть)</v>
      </c>
      <c r="G1702" s="14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</row>
    <row r="1703" spans="1:26" ht="14.25">
      <c r="A1703" s="14" t="str">
        <f ca="1">IFERROR(__xludf.DUMMYFUNCTION("""COMPUTED_VALUE"""),"Роман Коновалов")</f>
        <v>Роман Коновалов</v>
      </c>
      <c r="B1703" s="14" t="str">
        <f ca="1">IFERROR(__xludf.DUMMYFUNCTION("""COMPUTED_VALUE"""),"roman_konovalov_2014@mail.ru")</f>
        <v>roman_konovalov_2014@mail.ru</v>
      </c>
      <c r="C1703" s="15"/>
      <c r="D1703" s="15" t="str">
        <f ca="1">IFERROR(__xludf.DUMMYFUNCTION("""COMPUTED_VALUE"""),"Россия")</f>
        <v>Россия</v>
      </c>
      <c r="E1703" s="14"/>
      <c r="F1703" s="8" t="str">
        <f ca="1">IFERROR(__xludf.DUMMYFUNCTION("""COMPUTED_VALUE"""),"- Базовая бесплатная часть")</f>
        <v>- Базовая бесплатная часть</v>
      </c>
      <c r="G1703" s="14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</row>
    <row r="1704" spans="1:26" ht="14.25">
      <c r="A1704" s="14" t="str">
        <f ca="1">IFERROR(__xludf.DUMMYFUNCTION("""COMPUTED_VALUE"""),"Роман Прядко")</f>
        <v>Роман Прядко</v>
      </c>
      <c r="B1704" s="14" t="str">
        <f ca="1">IFERROR(__xludf.DUMMYFUNCTION("""COMPUTED_VALUE"""),"romanpryadko11@gmail.com")</f>
        <v>romanpryadko11@gmail.com</v>
      </c>
      <c r="C1704" s="15" t="str">
        <f ca="1">IFERROR(__xludf.DUMMYFUNCTION("""COMPUTED_VALUE"""),"79875834568")</f>
        <v>79875834568</v>
      </c>
      <c r="D1704" s="15" t="str">
        <f ca="1">IFERROR(__xludf.DUMMYFUNCTION("""COMPUTED_VALUE"""),"Россия")</f>
        <v>Россия</v>
      </c>
      <c r="E1704" s="14"/>
      <c r="F1704" s="8" t="str">
        <f ca="1">IFERROR(__xludf.DUMMYFUNCTION("""COMPUTED_VALUE"""),"- Тишина Челлендж (бесплатная часть)")</f>
        <v>- Тишина Челлендж (бесплатная часть)</v>
      </c>
      <c r="G1704" s="14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</row>
    <row r="1705" spans="1:26" ht="25.5">
      <c r="A1705" s="14" t="str">
        <f ca="1">IFERROR(__xludf.DUMMYFUNCTION("""COMPUTED_VALUE"""),"Алишер Алимов")</f>
        <v>Алишер Алимов</v>
      </c>
      <c r="B1705" s="14" t="str">
        <f ca="1">IFERROR(__xludf.DUMMYFUNCTION("""COMPUTED_VALUE"""),"romantik092016@mail.ru")</f>
        <v>romantik092016@mail.ru</v>
      </c>
      <c r="C1705" s="15" t="str">
        <f ca="1">IFERROR(__xludf.DUMMYFUNCTION("""COMPUTED_VALUE"""),"+998880121709")</f>
        <v>+998880121709</v>
      </c>
      <c r="D1705" s="15"/>
      <c r="E1705" s="14"/>
      <c r="F170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705" s="14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</row>
    <row r="1706" spans="1:26" ht="14.25">
      <c r="A1706" s="14" t="str">
        <f ca="1">IFERROR(__xludf.DUMMYFUNCTION("""COMPUTED_VALUE"""),"Мечислав Романовски")</f>
        <v>Мечислав Романовски</v>
      </c>
      <c r="B1706" s="14" t="str">
        <f ca="1">IFERROR(__xludf.DUMMYFUNCTION("""COMPUTED_VALUE"""),"romicius@yandex.com")</f>
        <v>romicius@yandex.com</v>
      </c>
      <c r="C1706" s="15" t="str">
        <f ca="1">IFERROR(__xludf.DUMMYFUNCTION("""COMPUTED_VALUE"""),"37061864017")</f>
        <v>37061864017</v>
      </c>
      <c r="D1706" s="15" t="str">
        <f ca="1">IFERROR(__xludf.DUMMYFUNCTION("""COMPUTED_VALUE"""),"Литва")</f>
        <v>Литва</v>
      </c>
      <c r="E1706" s="14"/>
      <c r="F1706" s="8" t="str">
        <f ca="1">IFERROR(__xludf.DUMMYFUNCTION("""COMPUTED_VALUE"""),"- Интенсив онлайн 21-22.05.2022")</f>
        <v>- Интенсив онлайн 21-22.05.2022</v>
      </c>
      <c r="G1706" s="14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</row>
    <row r="1707" spans="1:26" ht="38.25">
      <c r="A1707" s="14" t="str">
        <f ca="1">IFERROR(__xludf.DUMMYFUNCTION("""COMPUTED_VALUE"""),"Test Test")</f>
        <v>Test Test</v>
      </c>
      <c r="B1707" s="14" t="str">
        <f ca="1">IFERROR(__xludf.DUMMYFUNCTION("""COMPUTED_VALUE"""),"romualdas@givinschool.org")</f>
        <v>romualdas@givinschool.org</v>
      </c>
      <c r="C1707" s="15" t="str">
        <f ca="1">IFERROR(__xludf.DUMMYFUNCTION("""COMPUTED_VALUE"""),"+79384940883")</f>
        <v>+79384940883</v>
      </c>
      <c r="D1707" s="15" t="str">
        <f ca="1">IFERROR(__xludf.DUMMYFUNCTION("""COMPUTED_VALUE"""),"Россия")</f>
        <v>Россия</v>
      </c>
      <c r="E1707" s="14"/>
      <c r="F1707" s="8" t="str">
        <f ca="1">IFERROR(__xludf.DUMMYFUNCTION("""COMPUTED_VALUE"""),"- ретрит ЕВРОПЕЙСКИЙ 14-21.1.2022 Германия (550€)в номере на двоих
- Запись на ""Беседу по душам""")</f>
        <v>- ретрит ЕВРОПЕЙСКИЙ 14-21.1.2022 Германия (550€)в номере на двоих
- Запись на "Беседу по душам"</v>
      </c>
      <c r="G1707" s="14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</row>
    <row r="1708" spans="1:26" ht="14.25">
      <c r="A1708" s="14" t="str">
        <f ca="1">IFERROR(__xludf.DUMMYFUNCTION("""COMPUTED_VALUE"""),"Екатерина Алексанян")</f>
        <v>Екатерина Алексанян</v>
      </c>
      <c r="B1708" s="14" t="str">
        <f ca="1">IFERROR(__xludf.DUMMYFUNCTION("""COMPUTED_VALUE"""),"roschinakatia@yandex.ru")</f>
        <v>roschinakatia@yandex.ru</v>
      </c>
      <c r="C1708" s="15" t="str">
        <f ca="1">IFERROR(__xludf.DUMMYFUNCTION("""COMPUTED_VALUE"""),"+79057695720")</f>
        <v>+79057695720</v>
      </c>
      <c r="D1708" s="15" t="str">
        <f ca="1">IFERROR(__xludf.DUMMYFUNCTION("""COMPUTED_VALUE"""),"Швеция")</f>
        <v>Швеция</v>
      </c>
      <c r="E1708" s="14"/>
      <c r="F1708" s="8" t="str">
        <f ca="1">IFERROR(__xludf.DUMMYFUNCTION("""COMPUTED_VALUE"""),"- Театр трансформаций - Живи сейчас!  (Оплата по сердцу)")</f>
        <v>- Театр трансформаций - Живи сейчас!  (Оплата по сердцу)</v>
      </c>
      <c r="G1708" s="14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</row>
    <row r="1709" spans="1:26" ht="14.25">
      <c r="A1709" s="14" t="str">
        <f ca="1">IFERROR(__xludf.DUMMYFUNCTION("""COMPUTED_VALUE"""),"rose.georgi.art,  ")</f>
        <v xml:space="preserve">rose.georgi.art,  </v>
      </c>
      <c r="B1709" s="14" t="str">
        <f ca="1">IFERROR(__xludf.DUMMYFUNCTION("""COMPUTED_VALUE"""),"rose.georgi.art@gmail.com")</f>
        <v>rose.georgi.art@gmail.com</v>
      </c>
      <c r="C1709" s="15"/>
      <c r="D1709" s="15"/>
      <c r="E1709" s="14"/>
      <c r="F1709" s="8" t="str">
        <f ca="1">IFERROR(__xludf.DUMMYFUNCTION("""COMPUTED_VALUE"""),"- USA Челлендж Тишина")</f>
        <v>- USA Челлендж Тишина</v>
      </c>
      <c r="G1709" s="14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</row>
    <row r="1710" spans="1:26" ht="14.25">
      <c r="A1710" s="14" t="str">
        <f ca="1">IFERROR(__xludf.DUMMYFUNCTION("""COMPUTED_VALUE""")," ")</f>
        <v xml:space="preserve"> </v>
      </c>
      <c r="B1710" s="14" t="str">
        <f ca="1">IFERROR(__xludf.DUMMYFUNCTION("""COMPUTED_VALUE"""),"rosnata1@mail.ru")</f>
        <v>rosnata1@mail.ru</v>
      </c>
      <c r="C1710" s="15"/>
      <c r="D1710" s="15" t="str">
        <f ca="1">IFERROR(__xludf.DUMMYFUNCTION("""COMPUTED_VALUE"""),"Россия")</f>
        <v>Россия</v>
      </c>
      <c r="E1710" s="14"/>
      <c r="F1710" s="8" t="str">
        <f ca="1">IFERROR(__xludf.DUMMYFUNCTION("""COMPUTED_VALUE"""),"Мероприятий не обнаружено")</f>
        <v>Мероприятий не обнаружено</v>
      </c>
      <c r="G1710" s="14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</row>
    <row r="1711" spans="1:26" ht="14.25">
      <c r="A1711" s="14" t="str">
        <f ca="1">IFERROR(__xludf.DUMMYFUNCTION("""COMPUTED_VALUE""")," ")</f>
        <v xml:space="preserve"> </v>
      </c>
      <c r="B1711" s="14" t="str">
        <f ca="1">IFERROR(__xludf.DUMMYFUNCTION("""COMPUTED_VALUE"""),"rosnata2@mail.ru")</f>
        <v>rosnata2@mail.ru</v>
      </c>
      <c r="C1711" s="15"/>
      <c r="D1711" s="15" t="str">
        <f ca="1">IFERROR(__xludf.DUMMYFUNCTION("""COMPUTED_VALUE"""),"Россия")</f>
        <v>Россия</v>
      </c>
      <c r="E1711" s="14"/>
      <c r="F1711" s="8" t="str">
        <f ca="1">IFERROR(__xludf.DUMMYFUNCTION("""COMPUTED_VALUE"""),"Мероприятий не обнаружено")</f>
        <v>Мероприятий не обнаружено</v>
      </c>
      <c r="G1711" s="14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</row>
    <row r="1712" spans="1:26" ht="14.25">
      <c r="A1712" s="14" t="str">
        <f ca="1">IFERROR(__xludf.DUMMYFUNCTION("""COMPUTED_VALUE""")," ")</f>
        <v xml:space="preserve"> </v>
      </c>
      <c r="B1712" s="14" t="str">
        <f ca="1">IFERROR(__xludf.DUMMYFUNCTION("""COMPUTED_VALUE"""),"rosnata33@mail.ru")</f>
        <v>rosnata33@mail.ru</v>
      </c>
      <c r="C1712" s="15"/>
      <c r="D1712" s="15" t="str">
        <f ca="1">IFERROR(__xludf.DUMMYFUNCTION("""COMPUTED_VALUE"""),"Россия")</f>
        <v>Россия</v>
      </c>
      <c r="E1712" s="14"/>
      <c r="F1712" s="8" t="str">
        <f ca="1">IFERROR(__xludf.DUMMYFUNCTION("""COMPUTED_VALUE"""),"Мероприятий не обнаружено")</f>
        <v>Мероприятий не обнаружено</v>
      </c>
      <c r="G1712" s="14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</row>
    <row r="1713" spans="1:26" ht="14.25">
      <c r="A1713" s="14" t="str">
        <f ca="1">IFERROR(__xludf.DUMMYFUNCTION("""COMPUTED_VALUE""")," ")</f>
        <v xml:space="preserve"> </v>
      </c>
      <c r="B1713" s="14" t="str">
        <f ca="1">IFERROR(__xludf.DUMMYFUNCTION("""COMPUTED_VALUE"""),"rosnata44@mail.ru")</f>
        <v>rosnata44@mail.ru</v>
      </c>
      <c r="C1713" s="15"/>
      <c r="D1713" s="15" t="str">
        <f ca="1">IFERROR(__xludf.DUMMYFUNCTION("""COMPUTED_VALUE"""),"Россия")</f>
        <v>Россия</v>
      </c>
      <c r="E1713" s="14"/>
      <c r="F1713" s="8" t="str">
        <f ca="1">IFERROR(__xludf.DUMMYFUNCTION("""COMPUTED_VALUE"""),"Мероприятий не обнаружено")</f>
        <v>Мероприятий не обнаружено</v>
      </c>
      <c r="G1713" s="14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</row>
    <row r="1714" spans="1:26" ht="14.25">
      <c r="A1714" s="14" t="str">
        <f ca="1">IFERROR(__xludf.DUMMYFUNCTION("""COMPUTED_VALUE"""),"Olga Rossikhina")</f>
        <v>Olga Rossikhina</v>
      </c>
      <c r="B1714" s="14" t="str">
        <f ca="1">IFERROR(__xludf.DUMMYFUNCTION("""COMPUTED_VALUE"""),"rossikhina@mail.ru")</f>
        <v>rossikhina@mail.ru</v>
      </c>
      <c r="C1714" s="15"/>
      <c r="D1714" s="15" t="str">
        <f ca="1">IFERROR(__xludf.DUMMYFUNCTION("""COMPUTED_VALUE"""),"Россия")</f>
        <v>Россия</v>
      </c>
      <c r="E1714" s="14"/>
      <c r="F1714" s="8" t="str">
        <f ca="1">IFERROR(__xludf.DUMMYFUNCTION("""COMPUTED_VALUE"""),"- Тишина Челлендж (бесплатная часть)")</f>
        <v>- Тишина Челлендж (бесплатная часть)</v>
      </c>
      <c r="G1714" s="14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</row>
    <row r="1715" spans="1:26" ht="25.5">
      <c r="A1715" s="14" t="str">
        <f ca="1">IFERROR(__xludf.DUMMYFUNCTION("""COMPUTED_VALUE"""),"Роза Усманова")</f>
        <v>Роза Усманова</v>
      </c>
      <c r="B1715" s="14" t="str">
        <f ca="1">IFERROR(__xludf.DUMMYFUNCTION("""COMPUTED_VALUE"""),"roza_usmanova@mail.ru")</f>
        <v>roza_usmanova@mail.ru</v>
      </c>
      <c r="C1715" s="15" t="str">
        <f ca="1">IFERROR(__xludf.DUMMYFUNCTION("""COMPUTED_VALUE"""),"87071707151")</f>
        <v>87071707151</v>
      </c>
      <c r="D1715" s="15"/>
      <c r="E1715" s="14"/>
      <c r="F171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715" s="14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</row>
    <row r="1716" spans="1:26" ht="25.5">
      <c r="A1716" s="14" t="str">
        <f ca="1">IFERROR(__xludf.DUMMYFUNCTION("""COMPUTED_VALUE"""),"Рлза Айтбаева")</f>
        <v>Рлза Айтбаева</v>
      </c>
      <c r="B1716" s="14" t="str">
        <f ca="1">IFERROR(__xludf.DUMMYFUNCTION("""COMPUTED_VALUE"""),"roza2205@mail.ru")</f>
        <v>roza2205@mail.ru</v>
      </c>
      <c r="C1716" s="15" t="str">
        <f ca="1">IFERROR(__xludf.DUMMYFUNCTION("""COMPUTED_VALUE"""),"88058286181")</f>
        <v>88058286181</v>
      </c>
      <c r="D1716" s="15" t="str">
        <f ca="1">IFERROR(__xludf.DUMMYFUNCTION("""COMPUTED_VALUE"""),"Kz")</f>
        <v>Kz</v>
      </c>
      <c r="E1716" s="14"/>
      <c r="F171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716" s="14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</row>
    <row r="1717" spans="1:26" ht="38.25">
      <c r="A1717" s="14" t="str">
        <f ca="1">IFERROR(__xludf.DUMMYFUNCTION("""COMPUTED_VALUE"""),"Роза Джусупкалиева")</f>
        <v>Роза Джусупкалиева</v>
      </c>
      <c r="B1717" s="14" t="str">
        <f ca="1">IFERROR(__xludf.DUMMYFUNCTION("""COMPUTED_VALUE"""),"Rozaid2@mail.ru")</f>
        <v>Rozaid2@mail.ru</v>
      </c>
      <c r="C1717" s="15" t="str">
        <f ca="1">IFERROR(__xludf.DUMMYFUNCTION("""COMPUTED_VALUE"""),"87769163657")</f>
        <v>87769163657</v>
      </c>
      <c r="D1717" s="15" t="str">
        <f ca="1">IFERROR(__xludf.DUMMYFUNCTION("""COMPUTED_VALUE"""),"Казахстан")</f>
        <v>Казахстан</v>
      </c>
      <c r="E1717" s="14"/>
      <c r="F1717" s="8" t="str">
        <f ca="1">IFERROR(__xludf.DUMMYFUNCTION("""COMPUTED_VALUE"""),"- Марафон Тишины - Тишина челлендж: Урал, Казахстан, Узбекистан 25-29.04.2022
- Тишина Челлендж (бесплатная часть)")</f>
        <v>- Марафон Тишины - Тишина челлендж: Урал, Казахстан, Узбекистан 25-29.04.2022
- Тишина Челлендж (бесплатная часть)</v>
      </c>
      <c r="G1717" s="14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</row>
    <row r="1718" spans="1:26" ht="14.25">
      <c r="A1718" s="14" t="str">
        <f ca="1">IFERROR(__xludf.DUMMYFUNCTION("""COMPUTED_VALUE"""),"Юлия Сафарова")</f>
        <v>Юлия Сафарова</v>
      </c>
      <c r="B1718" s="14" t="str">
        <f ca="1">IFERROR(__xludf.DUMMYFUNCTION("""COMPUTED_VALUE"""),"rs-0de5@yandex.ru")</f>
        <v>rs-0de5@yandex.ru</v>
      </c>
      <c r="C1718" s="15" t="str">
        <f ca="1">IFERROR(__xludf.DUMMYFUNCTION("""COMPUTED_VALUE"""),", 79269991399")</f>
        <v>, 79269991399</v>
      </c>
      <c r="D1718" s="15" t="str">
        <f ca="1">IFERROR(__xludf.DUMMYFUNCTION("""COMPUTED_VALUE"""),"Россия")</f>
        <v>Россия</v>
      </c>
      <c r="E1718" s="14"/>
      <c r="F1718" s="8" t="str">
        <f ca="1">IFERROR(__xludf.DUMMYFUNCTION("""COMPUTED_VALUE"""),"Мероприятий не обнаружено")</f>
        <v>Мероприятий не обнаружено</v>
      </c>
      <c r="G1718" s="14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</row>
    <row r="1719" spans="1:26" ht="14.25">
      <c r="A1719" s="14" t="str">
        <f ca="1">IFERROR(__xludf.DUMMYFUNCTION("""COMPUTED_VALUE"""),"Виктория Василюк")</f>
        <v>Виктория Василюк</v>
      </c>
      <c r="B1719" s="14" t="str">
        <f ca="1">IFERROR(__xludf.DUMMYFUNCTION("""COMPUTED_VALUE"""),"rs-1323@yandex.ru")</f>
        <v>rs-1323@yandex.ru</v>
      </c>
      <c r="C1719" s="15" t="str">
        <f ca="1">IFERROR(__xludf.DUMMYFUNCTION("""COMPUTED_VALUE"""),"79002607797")</f>
        <v>79002607797</v>
      </c>
      <c r="D1719" s="15" t="str">
        <f ca="1">IFERROR(__xludf.DUMMYFUNCTION("""COMPUTED_VALUE"""),"Россия")</f>
        <v>Россия</v>
      </c>
      <c r="E1719" s="14"/>
      <c r="F1719" s="8" t="str">
        <f ca="1">IFERROR(__xludf.DUMMYFUNCTION("""COMPUTED_VALUE"""),"- Медитация без стереотипов")</f>
        <v>- Медитация без стереотипов</v>
      </c>
      <c r="G1719" s="14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</row>
    <row r="1720" spans="1:26" ht="14.25">
      <c r="A1720" s="14" t="str">
        <f ca="1">IFERROR(__xludf.DUMMYFUNCTION("""COMPUTED_VALUE"""),"Ольга Баланчук")</f>
        <v>Ольга Баланчук</v>
      </c>
      <c r="B1720" s="14" t="str">
        <f ca="1">IFERROR(__xludf.DUMMYFUNCTION("""COMPUTED_VALUE"""),"rs-42c5@mail.ru")</f>
        <v>rs-42c5@mail.ru</v>
      </c>
      <c r="C1720" s="15" t="str">
        <f ca="1">IFERROR(__xludf.DUMMYFUNCTION("""COMPUTED_VALUE"""),"79234928914")</f>
        <v>79234928914</v>
      </c>
      <c r="D1720" s="15" t="str">
        <f ca="1">IFERROR(__xludf.DUMMYFUNCTION("""COMPUTED_VALUE"""),"Россия")</f>
        <v>Россия</v>
      </c>
      <c r="E1720" s="14"/>
      <c r="F1720" s="8" t="str">
        <f ca="1">IFERROR(__xludf.DUMMYFUNCTION("""COMPUTED_VALUE"""),"- Медитация без стереотипов")</f>
        <v>- Медитация без стереотипов</v>
      </c>
      <c r="G1720" s="14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</row>
    <row r="1721" spans="1:26" ht="14.25">
      <c r="A1721" s="14" t="str">
        <f ca="1">IFERROR(__xludf.DUMMYFUNCTION("""COMPUTED_VALUE"""),"Анна Тарасова")</f>
        <v>Анна Тарасова</v>
      </c>
      <c r="B1721" s="14" t="str">
        <f ca="1">IFERROR(__xludf.DUMMYFUNCTION("""COMPUTED_VALUE"""),"rs-4c20@yandex.ru")</f>
        <v>rs-4c20@yandex.ru</v>
      </c>
      <c r="C1721" s="15" t="str">
        <f ca="1">IFERROR(__xludf.DUMMYFUNCTION("""COMPUTED_VALUE"""),", 79313673625")</f>
        <v>, 79313673625</v>
      </c>
      <c r="D1721" s="15" t="str">
        <f ca="1">IFERROR(__xludf.DUMMYFUNCTION("""COMPUTED_VALUE"""),"Россия")</f>
        <v>Россия</v>
      </c>
      <c r="E1721" s="14"/>
      <c r="F1721" s="8" t="str">
        <f ca="1">IFERROR(__xludf.DUMMYFUNCTION("""COMPUTED_VALUE"""),"Мероприятий не обнаружено")</f>
        <v>Мероприятий не обнаружено</v>
      </c>
      <c r="G1721" s="14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</row>
    <row r="1722" spans="1:26" ht="14.25">
      <c r="A1722" s="14" t="str">
        <f ca="1">IFERROR(__xludf.DUMMYFUNCTION("""COMPUTED_VALUE"""),"Ольга Никищеко")</f>
        <v>Ольга Никищеко</v>
      </c>
      <c r="B1722" s="14" t="str">
        <f ca="1">IFERROR(__xludf.DUMMYFUNCTION("""COMPUTED_VALUE"""),"rs-4upl@yandex.ru")</f>
        <v>rs-4upl@yandex.ru</v>
      </c>
      <c r="C1722" s="15" t="str">
        <f ca="1">IFERROR(__xludf.DUMMYFUNCTION("""COMPUTED_VALUE"""),", 79034165115")</f>
        <v>, 79034165115</v>
      </c>
      <c r="D1722" s="15" t="str">
        <f ca="1">IFERROR(__xludf.DUMMYFUNCTION("""COMPUTED_VALUE"""),"США")</f>
        <v>США</v>
      </c>
      <c r="E1722" s="14"/>
      <c r="F1722" s="8" t="str">
        <f ca="1">IFERROR(__xludf.DUMMYFUNCTION("""COMPUTED_VALUE"""),"Мероприятий не обнаружено")</f>
        <v>Мероприятий не обнаружено</v>
      </c>
      <c r="G1722" s="14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</row>
    <row r="1723" spans="1:26" ht="14.25">
      <c r="A1723" s="14" t="str">
        <f ca="1">IFERROR(__xludf.DUMMYFUNCTION("""COMPUTED_VALUE"""),"Дмитрий Донченко")</f>
        <v>Дмитрий Донченко</v>
      </c>
      <c r="B1723" s="14" t="str">
        <f ca="1">IFERROR(__xludf.DUMMYFUNCTION("""COMPUTED_VALUE"""),"rs-7ngc@yandex.ru")</f>
        <v>rs-7ngc@yandex.ru</v>
      </c>
      <c r="C1723" s="15" t="str">
        <f ca="1">IFERROR(__xludf.DUMMYFUNCTION("""COMPUTED_VALUE"""),"79889526104")</f>
        <v>79889526104</v>
      </c>
      <c r="D1723" s="15" t="str">
        <f ca="1">IFERROR(__xludf.DUMMYFUNCTION("""COMPUTED_VALUE"""),"Россия")</f>
        <v>Россия</v>
      </c>
      <c r="E1723" s="14"/>
      <c r="F1723" s="8" t="str">
        <f ca="1">IFERROR(__xludf.DUMMYFUNCTION("""COMPUTED_VALUE"""),"- Медитация без стереотипов")</f>
        <v>- Медитация без стереотипов</v>
      </c>
      <c r="G1723" s="14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</row>
    <row r="1724" spans="1:26" ht="14.25">
      <c r="A1724" s="14" t="str">
        <f ca="1">IFERROR(__xludf.DUMMYFUNCTION("""COMPUTED_VALUE"""),"Кристина Тарутина")</f>
        <v>Кристина Тарутина</v>
      </c>
      <c r="B1724" s="14" t="str">
        <f ca="1">IFERROR(__xludf.DUMMYFUNCTION("""COMPUTED_VALUE"""),"rs-c461@mail.ru")</f>
        <v>rs-c461@mail.ru</v>
      </c>
      <c r="C1724" s="15" t="str">
        <f ca="1">IFERROR(__xludf.DUMMYFUNCTION("""COMPUTED_VALUE"""),"79183580605")</f>
        <v>79183580605</v>
      </c>
      <c r="D1724" s="15" t="str">
        <f ca="1">IFERROR(__xludf.DUMMYFUNCTION("""COMPUTED_VALUE"""),"Россия")</f>
        <v>Россия</v>
      </c>
      <c r="E1724" s="14"/>
      <c r="F1724" s="8" t="str">
        <f ca="1">IFERROR(__xludf.DUMMYFUNCTION("""COMPUTED_VALUE"""),"- Медитация без стереотипов")</f>
        <v>- Медитация без стереотипов</v>
      </c>
      <c r="G1724" s="14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</row>
    <row r="1725" spans="1:26" ht="14.25">
      <c r="A1725" s="14" t="str">
        <f ca="1">IFERROR(__xludf.DUMMYFUNCTION("""COMPUTED_VALUE"""),"Татьяна Гусева")</f>
        <v>Татьяна Гусева</v>
      </c>
      <c r="B1725" s="14" t="str">
        <f ca="1">IFERROR(__xludf.DUMMYFUNCTION("""COMPUTED_VALUE"""),"rs-fadd@mail.ru")</f>
        <v>rs-fadd@mail.ru</v>
      </c>
      <c r="C1725" s="15" t="str">
        <f ca="1">IFERROR(__xludf.DUMMYFUNCTION("""COMPUTED_VALUE"""),", 79649996479")</f>
        <v>, 79649996479</v>
      </c>
      <c r="D1725" s="15" t="str">
        <f ca="1">IFERROR(__xludf.DUMMYFUNCTION("""COMPUTED_VALUE"""),"США")</f>
        <v>США</v>
      </c>
      <c r="E1725" s="14"/>
      <c r="F1725" s="8" t="str">
        <f ca="1">IFERROR(__xludf.DUMMYFUNCTION("""COMPUTED_VALUE"""),"Мероприятий не обнаружено")</f>
        <v>Мероприятий не обнаружено</v>
      </c>
      <c r="G1725" s="14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</row>
    <row r="1726" spans="1:26" ht="14.25">
      <c r="A1726" s="14" t="str">
        <f ca="1">IFERROR(__xludf.DUMMYFUNCTION("""COMPUTED_VALUE"""),"Анастасия Маенкова")</f>
        <v>Анастасия Маенкова</v>
      </c>
      <c r="B1726" s="14" t="str">
        <f ca="1">IFERROR(__xludf.DUMMYFUNCTION("""COMPUTED_VALUE"""),"rs-he6c@yandex.ru")</f>
        <v>rs-he6c@yandex.ru</v>
      </c>
      <c r="C1726" s="15" t="str">
        <f ca="1">IFERROR(__xludf.DUMMYFUNCTION("""COMPUTED_VALUE"""),", 79303573772")</f>
        <v>, 79303573772</v>
      </c>
      <c r="D1726" s="15" t="str">
        <f ca="1">IFERROR(__xludf.DUMMYFUNCTION("""COMPUTED_VALUE"""),"Россия")</f>
        <v>Россия</v>
      </c>
      <c r="E1726" s="14"/>
      <c r="F1726" s="8" t="str">
        <f ca="1">IFERROR(__xludf.DUMMYFUNCTION("""COMPUTED_VALUE"""),"Мероприятий не обнаружено")</f>
        <v>Мероприятий не обнаружено</v>
      </c>
      <c r="G1726" s="14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</row>
    <row r="1727" spans="1:26" ht="14.25">
      <c r="A1727" s="14" t="str">
        <f ca="1">IFERROR(__xludf.DUMMYFUNCTION("""COMPUTED_VALUE"""),"Ксения Малышкина")</f>
        <v>Ксения Малышкина</v>
      </c>
      <c r="B1727" s="14" t="str">
        <f ca="1">IFERROR(__xludf.DUMMYFUNCTION("""COMPUTED_VALUE"""),"rs-i0ho@yandex.ru")</f>
        <v>rs-i0ho@yandex.ru</v>
      </c>
      <c r="C1727" s="15" t="str">
        <f ca="1">IFERROR(__xludf.DUMMYFUNCTION("""COMPUTED_VALUE"""),"79245110238")</f>
        <v>79245110238</v>
      </c>
      <c r="D1727" s="15" t="str">
        <f ca="1">IFERROR(__xludf.DUMMYFUNCTION("""COMPUTED_VALUE"""),"Россия")</f>
        <v>Россия</v>
      </c>
      <c r="E1727" s="14"/>
      <c r="F1727" s="8" t="str">
        <f ca="1">IFERROR(__xludf.DUMMYFUNCTION("""COMPUTED_VALUE"""),"- Медитация без стереотипов")</f>
        <v>- Медитация без стереотипов</v>
      </c>
      <c r="G1727" s="14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</row>
    <row r="1728" spans="1:26" ht="14.25">
      <c r="A1728" s="14" t="str">
        <f ca="1">IFERROR(__xludf.DUMMYFUNCTION("""COMPUTED_VALUE"""),"etetrt ertertert")</f>
        <v>etetrt ertertert</v>
      </c>
      <c r="B1728" s="14" t="str">
        <f ca="1">IFERROR(__xludf.DUMMYFUNCTION("""COMPUTED_VALUE"""),"rtettert@gmail.com")</f>
        <v>rtettert@gmail.com</v>
      </c>
      <c r="C1728" s="15" t="str">
        <f ca="1">IFERROR(__xludf.DUMMYFUNCTION("""COMPUTED_VALUE"""),"345453455345")</f>
        <v>345453455345</v>
      </c>
      <c r="D1728" s="15" t="str">
        <f ca="1">IFERROR(__xludf.DUMMYFUNCTION("""COMPUTED_VALUE"""),"Россия")</f>
        <v>Россия</v>
      </c>
      <c r="E1728" s="14"/>
      <c r="F1728" s="8" t="str">
        <f ca="1">IFERROR(__xludf.DUMMYFUNCTION("""COMPUTED_VALUE"""),"- Медитация без стереотипов")</f>
        <v>- Медитация без стереотипов</v>
      </c>
      <c r="G1728" s="14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</row>
    <row r="1729" spans="1:26" ht="14.25">
      <c r="A1729" s="14" t="str">
        <f ca="1">IFERROR(__xludf.DUMMYFUNCTION("""COMPUTED_VALUE"""),"Натали Мик")</f>
        <v>Натали Мик</v>
      </c>
      <c r="B1729" s="14" t="str">
        <f ca="1">IFERROR(__xludf.DUMMYFUNCTION("""COMPUTED_VALUE"""),"ruby_bleecker@mail.ru")</f>
        <v>ruby_bleecker@mail.ru</v>
      </c>
      <c r="C1729" s="15" t="str">
        <f ca="1">IFERROR(__xludf.DUMMYFUNCTION("""COMPUTED_VALUE"""),"+375297522724")</f>
        <v>+375297522724</v>
      </c>
      <c r="D1729" s="15" t="str">
        <f ca="1">IFERROR(__xludf.DUMMYFUNCTION("""COMPUTED_VALUE"""),"Беларусь")</f>
        <v>Беларусь</v>
      </c>
      <c r="E1729" s="14"/>
      <c r="F1729" s="8" t="str">
        <f ca="1">IFERROR(__xludf.DUMMYFUNCTION("""COMPUTED_VALUE"""),"- Чайная встреча Разговор по душам Минск 9.04.2022")</f>
        <v>- Чайная встреча Разговор по душам Минск 9.04.2022</v>
      </c>
      <c r="G1729" s="14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</row>
    <row r="1730" spans="1:26" ht="14.25">
      <c r="A1730" s="14" t="str">
        <f ca="1">IFERROR(__xludf.DUMMYFUNCTION("""COMPUTED_VALUE"""),"Marina Ruchman")</f>
        <v>Marina Ruchman</v>
      </c>
      <c r="B1730" s="14" t="str">
        <f ca="1">IFERROR(__xludf.DUMMYFUNCTION("""COMPUTED_VALUE"""),"ruchmary@gmail.com")</f>
        <v>ruchmary@gmail.com</v>
      </c>
      <c r="C1730" s="15" t="str">
        <f ca="1">IFERROR(__xludf.DUMMYFUNCTION("""COMPUTED_VALUE"""),"+972506503511")</f>
        <v>+972506503511</v>
      </c>
      <c r="D1730" s="15" t="str">
        <f ca="1">IFERROR(__xludf.DUMMYFUNCTION("""COMPUTED_VALUE"""),"Израиль")</f>
        <v>Израиль</v>
      </c>
      <c r="E1730" s="14"/>
      <c r="F1730" s="8" t="str">
        <f ca="1">IFERROR(__xludf.DUMMYFUNCTION("""COMPUTED_VALUE"""),"- Вебинар все о ретрите 12.2.2022")</f>
        <v>- Вебинар все о ретрите 12.2.2022</v>
      </c>
      <c r="G1730" s="14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</row>
    <row r="1731" spans="1:26" ht="14.25">
      <c r="A1731" s="14" t="str">
        <f ca="1">IFERROR(__xludf.DUMMYFUNCTION("""COMPUTED_VALUE"""),"Наталья Рудковская")</f>
        <v>Наталья Рудковская</v>
      </c>
      <c r="B1731" s="14" t="str">
        <f ca="1">IFERROR(__xludf.DUMMYFUNCTION("""COMPUTED_VALUE"""),"rudnata1968@gmail.com")</f>
        <v>rudnata1968@gmail.com</v>
      </c>
      <c r="C1731" s="15" t="str">
        <f ca="1">IFERROR(__xludf.DUMMYFUNCTION("""COMPUTED_VALUE"""),"+79834421418")</f>
        <v>+79834421418</v>
      </c>
      <c r="D1731" s="15" t="str">
        <f ca="1">IFERROR(__xludf.DUMMYFUNCTION("""COMPUTED_VALUE"""),"Россия")</f>
        <v>Россия</v>
      </c>
      <c r="E1731" s="14"/>
      <c r="F1731" s="8" t="str">
        <f ca="1">IFERROR(__xludf.DUMMYFUNCTION("""COMPUTED_VALUE"""),"-  встреча Космос внутри Сочи 5.3.2022")</f>
        <v>-  встреча Космос внутри Сочи 5.3.2022</v>
      </c>
      <c r="G1731" s="14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</row>
    <row r="1732" spans="1:26" ht="25.5">
      <c r="A1732" s="14" t="str">
        <f ca="1">IFERROR(__xludf.DUMMYFUNCTION("""COMPUTED_VALUE"""),"Руфина Файрушина")</f>
        <v>Руфина Файрушина</v>
      </c>
      <c r="B1732" s="14" t="str">
        <f ca="1">IFERROR(__xludf.DUMMYFUNCTION("""COMPUTED_VALUE"""),"rufayri86@gmail.com")</f>
        <v>rufayri86@gmail.com</v>
      </c>
      <c r="C1732" s="15" t="str">
        <f ca="1">IFERROR(__xludf.DUMMYFUNCTION("""COMPUTED_VALUE"""),"+998974545403")</f>
        <v>+998974545403</v>
      </c>
      <c r="D1732" s="15"/>
      <c r="E1732" s="14"/>
      <c r="F173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732" s="14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</row>
    <row r="1733" spans="1:26" ht="38.25">
      <c r="A1733" s="14" t="str">
        <f ca="1">IFERROR(__xludf.DUMMYFUNCTION("""COMPUTED_VALUE"""),"Jānis Albrekts")</f>
        <v>Jānis Albrekts</v>
      </c>
      <c r="B1733" s="14" t="str">
        <f ca="1">IFERROR(__xludf.DUMMYFUNCTION("""COMPUTED_VALUE"""),"rumuli28@inbox.lv")</f>
        <v>rumuli28@inbox.lv</v>
      </c>
      <c r="C1733" s="15" t="str">
        <f ca="1">IFERROR(__xludf.DUMMYFUNCTION("""COMPUTED_VALUE"""),"28145078")</f>
        <v>28145078</v>
      </c>
      <c r="D1733" s="15" t="str">
        <f ca="1">IFERROR(__xludf.DUMMYFUNCTION("""COMPUTED_VALUE"""),"Латвия")</f>
        <v>Латвия</v>
      </c>
      <c r="E1733" s="14"/>
      <c r="F1733" s="8" t="str">
        <f ca="1">IFERROR(__xludf.DUMMYFUNCTION("""COMPUTED_VALUE"""),"- Онлайн Интенсив 29-30 января 2022 Европа
- Шаг к Пробуждению №6 на латышском Латвия LV 19-26 февраля 2022 г.")</f>
        <v>- Онлайн Интенсив 29-30 января 2022 Европа
- Шаг к Пробуждению №6 на латышском Латвия LV 19-26 февраля 2022 г.</v>
      </c>
      <c r="G1733" s="14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</row>
    <row r="1734" spans="1:26" ht="14.25">
      <c r="A1734" s="14" t="str">
        <f ca="1">IFERROR(__xludf.DUMMYFUNCTION("""COMPUTED_VALUE"""),"Руслан Заболотец")</f>
        <v>Руслан Заболотец</v>
      </c>
      <c r="B1734" s="14" t="str">
        <f ca="1">IFERROR(__xludf.DUMMYFUNCTION("""COMPUTED_VALUE"""),"ruslan.zabolotets@yandex.by")</f>
        <v>ruslan.zabolotets@yandex.by</v>
      </c>
      <c r="C1734" s="15" t="str">
        <f ca="1">IFERROR(__xludf.DUMMYFUNCTION("""COMPUTED_VALUE"""),"+375293149947")</f>
        <v>+375293149947</v>
      </c>
      <c r="D1734" s="15" t="str">
        <f ca="1">IFERROR(__xludf.DUMMYFUNCTION("""COMPUTED_VALUE"""),"Беларусь")</f>
        <v>Беларусь</v>
      </c>
      <c r="E1734" s="14" t="str">
        <f ca="1">IFERROR(__xludf.DUMMYFUNCTION("""COMPUTED_VALUE"""),"@zabolotrus")</f>
        <v>@zabolotrus</v>
      </c>
      <c r="F1734" s="8" t="str">
        <f ca="1">IFERROR(__xludf.DUMMYFUNCTION("""COMPUTED_VALUE"""),"- Клуб пробуждения Друзья (2 уровень) - 1 месяц")</f>
        <v>- Клуб пробуждения Друзья (2 уровень) - 1 месяц</v>
      </c>
      <c r="G1734" s="14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</row>
    <row r="1735" spans="1:26" ht="14.25">
      <c r="A1735" s="14" t="str">
        <f ca="1">IFERROR(__xludf.DUMMYFUNCTION("""COMPUTED_VALUE"""),"ruslanlisenko6,  ")</f>
        <v xml:space="preserve">ruslanlisenko6,  </v>
      </c>
      <c r="B1735" s="14" t="str">
        <f ca="1">IFERROR(__xludf.DUMMYFUNCTION("""COMPUTED_VALUE"""),"ruslanlisenko6@gmail.com")</f>
        <v>ruslanlisenko6@gmail.com</v>
      </c>
      <c r="C1735" s="15"/>
      <c r="D1735" s="15" t="str">
        <f ca="1">IFERROR(__xludf.DUMMYFUNCTION("""COMPUTED_VALUE"""),"Украина")</f>
        <v>Украина</v>
      </c>
      <c r="E1735" s="14"/>
      <c r="F1735" s="8" t="str">
        <f ca="1">IFERROR(__xludf.DUMMYFUNCTION("""COMPUTED_VALUE"""),"- Базовая бесплатная часть")</f>
        <v>- Базовая бесплатная часть</v>
      </c>
      <c r="G1735" s="14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</row>
    <row r="1736" spans="1:26" ht="14.25">
      <c r="A1736" s="14" t="str">
        <f ca="1">IFERROR(__xludf.DUMMYFUNCTION("""COMPUTED_VALUE"""),"Рустам Натяганчук")</f>
        <v>Рустам Натяганчук</v>
      </c>
      <c r="B1736" s="14" t="str">
        <f ca="1">IFERROR(__xludf.DUMMYFUNCTION("""COMPUTED_VALUE"""),"rusnavi1991@gmail.com")</f>
        <v>rusnavi1991@gmail.com</v>
      </c>
      <c r="C1736" s="15"/>
      <c r="D1736" s="15" t="str">
        <f ca="1">IFERROR(__xludf.DUMMYFUNCTION("""COMPUTED_VALUE"""),"Швеция")</f>
        <v>Швеция</v>
      </c>
      <c r="E1736" s="14"/>
      <c r="F1736" s="8" t="str">
        <f ca="1">IFERROR(__xludf.DUMMYFUNCTION("""COMPUTED_VALUE"""),"- Тишина Челлендж (бесплатная часть)")</f>
        <v>- Тишина Челлендж (бесплатная часть)</v>
      </c>
      <c r="G1736" s="14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</row>
    <row r="1737" spans="1:26" ht="25.5">
      <c r="A1737" s="14" t="str">
        <f ca="1">IFERROR(__xludf.DUMMYFUNCTION("""COMPUTED_VALUE"""),"Ruslan Halikov")</f>
        <v>Ruslan Halikov</v>
      </c>
      <c r="B1737" s="14" t="str">
        <f ca="1">IFERROR(__xludf.DUMMYFUNCTION("""COMPUTED_VALUE"""),"russo56@mail.ru")</f>
        <v>russo56@mail.ru</v>
      </c>
      <c r="C1737" s="15" t="str">
        <f ca="1">IFERROR(__xludf.DUMMYFUNCTION("""COMPUTED_VALUE"""),"+998977121316")</f>
        <v>+998977121316</v>
      </c>
      <c r="D1737" s="15"/>
      <c r="E1737" s="14"/>
      <c r="F173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737" s="14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</row>
    <row r="1738" spans="1:26" ht="14.25">
      <c r="A1738" s="14" t="str">
        <f ca="1">IFERROR(__xludf.DUMMYFUNCTION("""COMPUTED_VALUE"""),"Ruzica Marinkovic")</f>
        <v>Ruzica Marinkovic</v>
      </c>
      <c r="B1738" s="14" t="str">
        <f ca="1">IFERROR(__xludf.DUMMYFUNCTION("""COMPUTED_VALUE"""),"ruzica.marinkivic@cloud.com")</f>
        <v>ruzica.marinkivic@cloud.com</v>
      </c>
      <c r="C1738" s="15" t="str">
        <f ca="1">IFERROR(__xludf.DUMMYFUNCTION("""COMPUTED_VALUE"""),"15788766734")</f>
        <v>15788766734</v>
      </c>
      <c r="D1738" s="15"/>
      <c r="E1738" s="14"/>
      <c r="F1738" s="8" t="str">
        <f ca="1">IFERROR(__xludf.DUMMYFUNCTION("""COMPUTED_VALUE"""),"- Онлайн курс Шаг к Пробуждению №14 4-14.12.2021 DEU")</f>
        <v>- Онлайн курс Шаг к Пробуждению №14 4-14.12.2021 DEU</v>
      </c>
      <c r="G1738" s="14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</row>
    <row r="1739" spans="1:26" ht="14.25">
      <c r="A1739" s="14" t="str">
        <f ca="1">IFERROR(__xludf.DUMMYFUNCTION("""COMPUTED_VALUE"""),"Саша Рузматова")</f>
        <v>Саша Рузматова</v>
      </c>
      <c r="B1739" s="14" t="str">
        <f ca="1">IFERROR(__xludf.DUMMYFUNCTION("""COMPUTED_VALUE"""),"RuzmatovaShakhodat@mail.com")</f>
        <v>RuzmatovaShakhodat@mail.com</v>
      </c>
      <c r="C1739" s="15" t="str">
        <f ca="1">IFERROR(__xludf.DUMMYFUNCTION("""COMPUTED_VALUE"""),", 909968680")</f>
        <v>, 909968680</v>
      </c>
      <c r="D1739" s="15"/>
      <c r="E1739" s="14"/>
      <c r="F1739" s="8" t="str">
        <f ca="1">IFERROR(__xludf.DUMMYFUNCTION("""COMPUTED_VALUE"""),"Мероприятий не обнаружено")</f>
        <v>Мероприятий не обнаружено</v>
      </c>
      <c r="G1739" s="14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</row>
    <row r="1740" spans="1:26" ht="14.25">
      <c r="A1740" s="14" t="str">
        <f ca="1">IFERROR(__xludf.DUMMYFUNCTION("""COMPUTED_VALUE"""),"Ryskul Abduvalieva")</f>
        <v>Ryskul Abduvalieva</v>
      </c>
      <c r="B1740" s="14" t="str">
        <f ca="1">IFERROR(__xludf.DUMMYFUNCTION("""COMPUTED_VALUE"""),"Ryskul72@mail.ru")</f>
        <v>Ryskul72@mail.ru</v>
      </c>
      <c r="C1740" s="15" t="str">
        <f ca="1">IFERROR(__xludf.DUMMYFUNCTION("""COMPUTED_VALUE"""),"+996777951058")</f>
        <v>+996777951058</v>
      </c>
      <c r="D1740" s="15" t="str">
        <f ca="1">IFERROR(__xludf.DUMMYFUNCTION("""COMPUTED_VALUE"""),"Киргизия")</f>
        <v>Киргизия</v>
      </c>
      <c r="E1740" s="14"/>
      <c r="F1740" s="8" t="str">
        <f ca="1">IFERROR(__xludf.DUMMYFUNCTION("""COMPUTED_VALUE"""),"- Медитация без стереотипов")</f>
        <v>- Медитация без стереотипов</v>
      </c>
      <c r="G1740" s="14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</row>
    <row r="1741" spans="1:26" ht="14.25">
      <c r="A1741" s="14" t="str">
        <f ca="1">IFERROR(__xludf.DUMMYFUNCTION("""COMPUTED_VALUE"""),"Павел Лагойко")</f>
        <v>Павел Лагойко</v>
      </c>
      <c r="B1741" s="14" t="str">
        <f ca="1">IFERROR(__xludf.DUMMYFUNCTION("""COMPUTED_VALUE"""),"rytppoop@mail.ru")</f>
        <v>rytppoop@mail.ru</v>
      </c>
      <c r="C1741" s="15" t="str">
        <f ca="1">IFERROR(__xludf.DUMMYFUNCTION("""COMPUTED_VALUE"""),"255470691")</f>
        <v>255470691</v>
      </c>
      <c r="D1741" s="15" t="str">
        <f ca="1">IFERROR(__xludf.DUMMYFUNCTION("""COMPUTED_VALUE"""),"Беларусь")</f>
        <v>Беларусь</v>
      </c>
      <c r="E1741" s="14"/>
      <c r="F1741" s="8" t="str">
        <f ca="1">IFERROR(__xludf.DUMMYFUNCTION("""COMPUTED_VALUE"""),"- Чайная встреча Разговор по душам 26.2.2022 Минск")</f>
        <v>- Чайная встреча Разговор по душам 26.2.2022 Минск</v>
      </c>
      <c r="G1741" s="14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</row>
    <row r="1742" spans="1:26" ht="38.25">
      <c r="A1742" s="14" t="str">
        <f ca="1">IFERROR(__xludf.DUMMYFUNCTION("""COMPUTED_VALUE"""),"Светлана Поспелова")</f>
        <v>Светлана Поспелова</v>
      </c>
      <c r="B1742" s="14" t="str">
        <f ca="1">IFERROR(__xludf.DUMMYFUNCTION("""COMPUTED_VALUE"""),"S_p2020@mail.ru")</f>
        <v>S_p2020@mail.ru</v>
      </c>
      <c r="C1742" s="15" t="str">
        <f ca="1">IFERROR(__xludf.DUMMYFUNCTION("""COMPUTED_VALUE"""),"79033992548")</f>
        <v>79033992548</v>
      </c>
      <c r="D1742" s="15" t="str">
        <f ca="1">IFERROR(__xludf.DUMMYFUNCTION("""COMPUTED_VALUE"""),"Россия")</f>
        <v>Россия</v>
      </c>
      <c r="E1742" s="14"/>
      <c r="F1742" s="8" t="str">
        <f ca="1">IFERROR(__xludf.DUMMYFUNCTION("""COMPUTED_VALUE"""),"- Онлайн курс Шаг к Пробуждению №14 4.12 по 14.12
- Друзья. Базовый уровень (ежемесячная платная подписка) 
- Вебинар все о ретрите 12.2.2022")</f>
        <v>- Онлайн курс Шаг к Пробуждению №14 4.12 по 14.12
- Друзья. Базовый уровень (ежемесячная платная подписка) 
- Вебинар все о ретрите 12.2.2022</v>
      </c>
      <c r="G1742" s="14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</row>
    <row r="1743" spans="1:26" ht="14.25">
      <c r="A1743" s="14" t="str">
        <f ca="1">IFERROR(__xludf.DUMMYFUNCTION("""COMPUTED_VALUE"""),"Светлана Антипова")</f>
        <v>Светлана Антипова</v>
      </c>
      <c r="B1743" s="14" t="str">
        <f ca="1">IFERROR(__xludf.DUMMYFUNCTION("""COMPUTED_VALUE"""),"S.a.7008@mail.ru")</f>
        <v>S.a.7008@mail.ru</v>
      </c>
      <c r="C1743" s="15" t="str">
        <f ca="1">IFERROR(__xludf.DUMMYFUNCTION("""COMPUTED_VALUE"""),"79085729595")</f>
        <v>79085729595</v>
      </c>
      <c r="D1743" s="15" t="str">
        <f ca="1">IFERROR(__xludf.DUMMYFUNCTION("""COMPUTED_VALUE"""),"Россия ")</f>
        <v xml:space="preserve">Россия </v>
      </c>
      <c r="E1743" s="14"/>
      <c r="F1743" s="8" t="str">
        <f ca="1">IFERROR(__xludf.DUMMYFUNCTION("""COMPUTED_VALUE"""),"- Тишина Челлендж (бесплатная часть)")</f>
        <v>- Тишина Челлендж (бесплатная часть)</v>
      </c>
      <c r="G1743" s="14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</row>
    <row r="1744" spans="1:26" ht="14.25">
      <c r="A1744" s="14" t="str">
        <f ca="1">IFERROR(__xludf.DUMMYFUNCTION("""COMPUTED_VALUE"""),"Андрей Сончев")</f>
        <v>Андрей Сончев</v>
      </c>
      <c r="B1744" s="14" t="str">
        <f ca="1">IFERROR(__xludf.DUMMYFUNCTION("""COMPUTED_VALUE"""),"s.a.v.41080@mail.ru")</f>
        <v>s.a.v.41080@mail.ru</v>
      </c>
      <c r="C1744" s="15" t="str">
        <f ca="1">IFERROR(__xludf.DUMMYFUNCTION("""COMPUTED_VALUE"""),"79123935407")</f>
        <v>79123935407</v>
      </c>
      <c r="D1744" s="15"/>
      <c r="E1744" s="14"/>
      <c r="F1744" s="8" t="str">
        <f ca="1">IFERROR(__xludf.DUMMYFUNCTION("""COMPUTED_VALUE"""),"- Тишина Челлендж (бесплатная часть)")</f>
        <v>- Тишина Челлендж (бесплатная часть)</v>
      </c>
      <c r="G1744" s="14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</row>
    <row r="1745" spans="1:26" ht="25.5">
      <c r="A1745" s="14" t="str">
        <f ca="1">IFERROR(__xludf.DUMMYFUNCTION("""COMPUTED_VALUE"""),"Светлана Романова")</f>
        <v>Светлана Романова</v>
      </c>
      <c r="B1745" s="14" t="str">
        <f ca="1">IFERROR(__xludf.DUMMYFUNCTION("""COMPUTED_VALUE"""),"s.romanova@bk.ru")</f>
        <v>s.romanova@bk.ru</v>
      </c>
      <c r="C1745" s="15" t="str">
        <f ca="1">IFERROR(__xludf.DUMMYFUNCTION("""COMPUTED_VALUE"""),"+79168346467")</f>
        <v>+79168346467</v>
      </c>
      <c r="D1745" s="15" t="str">
        <f ca="1">IFERROR(__xludf.DUMMYFUNCTION("""COMPUTED_VALUE"""),"Россия")</f>
        <v>Россия</v>
      </c>
      <c r="E1745" s="14"/>
      <c r="F1745" s="8" t="str">
        <f ca="1">IFERROR(__xludf.DUMMYFUNCTION("""COMPUTED_VALUE"""),"- Интенсив 15-17 апреля Москва
- Однодневный ретрит Россия 14 мая 2022")</f>
        <v>- Интенсив 15-17 апреля Москва
- Однодневный ретрит Россия 14 мая 2022</v>
      </c>
      <c r="G1745" s="14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</row>
    <row r="1746" spans="1:26" ht="14.25">
      <c r="A1746" s="14" t="str">
        <f ca="1">IFERROR(__xludf.DUMMYFUNCTION("""COMPUTED_VALUE"""),"Сергей Шимель")</f>
        <v>Сергей Шимель</v>
      </c>
      <c r="B1746" s="14" t="str">
        <f ca="1">IFERROR(__xludf.DUMMYFUNCTION("""COMPUTED_VALUE"""),"s.shimel@yandex.ru")</f>
        <v>s.shimel@yandex.ru</v>
      </c>
      <c r="C1746" s="15" t="str">
        <f ca="1">IFERROR(__xludf.DUMMYFUNCTION("""COMPUTED_VALUE"""),"+79182445399")</f>
        <v>+79182445399</v>
      </c>
      <c r="D1746" s="15" t="str">
        <f ca="1">IFERROR(__xludf.DUMMYFUNCTION("""COMPUTED_VALUE"""),"Россия")</f>
        <v>Россия</v>
      </c>
      <c r="E1746" s="14"/>
      <c r="F1746" s="8" t="str">
        <f ca="1">IFERROR(__xludf.DUMMYFUNCTION("""COMPUTED_VALUE"""),"- Тишина Челлендж (бесплатная часть)")</f>
        <v>- Тишина Челлендж (бесплатная часть)</v>
      </c>
      <c r="G1746" s="14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</row>
    <row r="1747" spans="1:26" ht="14.25">
      <c r="A1747" s="14" t="str">
        <f ca="1">IFERROR(__xludf.DUMMYFUNCTION("""COMPUTED_VALUE"""),"Светлана Шве")</f>
        <v>Светлана Шве</v>
      </c>
      <c r="B1747" s="14" t="str">
        <f ca="1">IFERROR(__xludf.DUMMYFUNCTION("""COMPUTED_VALUE"""),"S.vasilyeva@profit.kz")</f>
        <v>S.vasilyeva@profit.kz</v>
      </c>
      <c r="C1747" s="15"/>
      <c r="D1747" s="15" t="str">
        <f ca="1">IFERROR(__xludf.DUMMYFUNCTION("""COMPUTED_VALUE"""),"Россия")</f>
        <v>Россия</v>
      </c>
      <c r="E1747" s="14"/>
      <c r="F1747" s="8" t="str">
        <f ca="1">IFERROR(__xludf.DUMMYFUNCTION("""COMPUTED_VALUE"""),"Мероприятий не обнаружено")</f>
        <v>Мероприятий не обнаружено</v>
      </c>
      <c r="G1747" s="14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</row>
    <row r="1748" spans="1:26" ht="14.25">
      <c r="A1748" s="14" t="str">
        <f ca="1">IFERROR(__xludf.DUMMYFUNCTION("""COMPUTED_VALUE"""),"Светлана Павленко")</f>
        <v>Светлана Павленко</v>
      </c>
      <c r="B1748" s="14" t="str">
        <f ca="1">IFERROR(__xludf.DUMMYFUNCTION("""COMPUTED_VALUE"""),"s9112151024@icloud.com")</f>
        <v>s9112151024@icloud.com</v>
      </c>
      <c r="C1748" s="15" t="str">
        <f ca="1">IFERROR(__xludf.DUMMYFUNCTION("""COMPUTED_VALUE"""),"79112151024")</f>
        <v>79112151024</v>
      </c>
      <c r="D1748" s="15" t="str">
        <f ca="1">IFERROR(__xludf.DUMMYFUNCTION("""COMPUTED_VALUE"""),"Россия")</f>
        <v>Россия</v>
      </c>
      <c r="E1748" s="14"/>
      <c r="F1748" s="8" t="str">
        <f ca="1">IFERROR(__xludf.DUMMYFUNCTION("""COMPUTED_VALUE"""),"- Заявка на СЪЕЗД+ФЕСТИВАЛЬ ""Мы вместе"" 3-8.01.22")</f>
        <v>- Заявка на СЪЕЗД+ФЕСТИВАЛЬ "Мы вместе" 3-8.01.22</v>
      </c>
      <c r="G1748" s="14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</row>
    <row r="1749" spans="1:26" ht="14.25">
      <c r="A1749" s="14" t="str">
        <f ca="1">IFERROR(__xludf.DUMMYFUNCTION("""COMPUTED_VALUE"""),"Анна Волкова")</f>
        <v>Анна Волкова</v>
      </c>
      <c r="B1749" s="14" t="str">
        <f ca="1">IFERROR(__xludf.DUMMYFUNCTION("""COMPUTED_VALUE"""),"sabertoothediceax@gmail.com")</f>
        <v>sabertoothediceax@gmail.com</v>
      </c>
      <c r="C1749" s="15"/>
      <c r="D1749" s="15" t="str">
        <f ca="1">IFERROR(__xludf.DUMMYFUNCTION("""COMPUTED_VALUE"""),"Россия")</f>
        <v>Россия</v>
      </c>
      <c r="E1749" s="14"/>
      <c r="F1749" s="8" t="str">
        <f ca="1">IFERROR(__xludf.DUMMYFUNCTION("""COMPUTED_VALUE"""),"- Тишина Челлендж (бесплатная часть)")</f>
        <v>- Тишина Челлендж (бесплатная часть)</v>
      </c>
      <c r="G1749" s="14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</row>
    <row r="1750" spans="1:26" ht="14.25">
      <c r="A1750" s="14" t="str">
        <f ca="1">IFERROR(__xludf.DUMMYFUNCTION("""COMPUTED_VALUE"""),"Артур Сабитов")</f>
        <v>Артур Сабитов</v>
      </c>
      <c r="B1750" s="14" t="str">
        <f ca="1">IFERROR(__xludf.DUMMYFUNCTION("""COMPUTED_VALUE"""),"Sabit5555@gmail.com")</f>
        <v>Sabit5555@gmail.com</v>
      </c>
      <c r="C1750" s="15" t="str">
        <f ca="1">IFERROR(__xludf.DUMMYFUNCTION("""COMPUTED_VALUE"""),"+79777558830")</f>
        <v>+79777558830</v>
      </c>
      <c r="D1750" s="15" t="str">
        <f ca="1">IFERROR(__xludf.DUMMYFUNCTION("""COMPUTED_VALUE"""),"Россия")</f>
        <v>Россия</v>
      </c>
      <c r="E1750" s="14"/>
      <c r="F1750" s="8" t="str">
        <f ca="1">IFERROR(__xludf.DUMMYFUNCTION("""COMPUTED_VALUE"""),"- Новогодний вечер в Givin School Москва 30.12.2021")</f>
        <v>- Новогодний вечер в Givin School Москва 30.12.2021</v>
      </c>
      <c r="G1750" s="14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</row>
    <row r="1751" spans="1:26" ht="14.25">
      <c r="A1751" s="14" t="str">
        <f ca="1">IFERROR(__xludf.DUMMYFUNCTION("""COMPUTED_VALUE"""),"sabizahir2019,  ")</f>
        <v xml:space="preserve">sabizahir2019,  </v>
      </c>
      <c r="B1751" s="14" t="str">
        <f ca="1">IFERROR(__xludf.DUMMYFUNCTION("""COMPUTED_VALUE"""),"sabizahir2019@gmail.com")</f>
        <v>sabizahir2019@gmail.com</v>
      </c>
      <c r="C1751" s="15"/>
      <c r="D1751" s="15"/>
      <c r="E1751" s="14"/>
      <c r="F1751" s="8" t="str">
        <f ca="1">IFERROR(__xludf.DUMMYFUNCTION("""COMPUTED_VALUE"""),"- USA Челлендж Тишина")</f>
        <v>- USA Челлендж Тишина</v>
      </c>
      <c r="G1751" s="14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</row>
    <row r="1752" spans="1:26" ht="14.25">
      <c r="A1752" s="14" t="str">
        <f ca="1">IFERROR(__xludf.DUMMYFUNCTION("""COMPUTED_VALUE"""),"Мария Порываева")</f>
        <v>Мария Порываева</v>
      </c>
      <c r="B1752" s="14" t="str">
        <f ca="1">IFERROR(__xludf.DUMMYFUNCTION("""COMPUTED_VALUE"""),"sablina23@bk.ru")</f>
        <v>sablina23@bk.ru</v>
      </c>
      <c r="C1752" s="15" t="str">
        <f ca="1">IFERROR(__xludf.DUMMYFUNCTION("""COMPUTED_VALUE"""),"79284053388")</f>
        <v>79284053388</v>
      </c>
      <c r="D1752" s="15" t="str">
        <f ca="1">IFERROR(__xludf.DUMMYFUNCTION("""COMPUTED_VALUE"""),"Россия")</f>
        <v>Россия</v>
      </c>
      <c r="E1752" s="14"/>
      <c r="F1752" s="8" t="str">
        <f ca="1">IFERROR(__xludf.DUMMYFUNCTION("""COMPUTED_VALUE"""),"- Тишина Челлендж (бесплатная часть)")</f>
        <v>- Тишина Челлендж (бесплатная часть)</v>
      </c>
      <c r="G1752" s="14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</row>
    <row r="1753" spans="1:26" ht="14.25">
      <c r="A1753" s="14" t="str">
        <f ca="1">IFERROR(__xludf.DUMMYFUNCTION("""COMPUTED_VALUE"""),"Сабина Мурадова")</f>
        <v>Сабина Мурадова</v>
      </c>
      <c r="B1753" s="14" t="str">
        <f ca="1">IFERROR(__xludf.DUMMYFUNCTION("""COMPUTED_VALUE"""),"Sabunamsh@msil.ru")</f>
        <v>Sabunamsh@msil.ru</v>
      </c>
      <c r="C1753" s="15" t="str">
        <f ca="1">IFERROR(__xludf.DUMMYFUNCTION("""COMPUTED_VALUE"""),", +998901181615")</f>
        <v>, +998901181615</v>
      </c>
      <c r="D1753" s="15"/>
      <c r="E1753" s="14"/>
      <c r="F1753" s="8" t="str">
        <f ca="1">IFERROR(__xludf.DUMMYFUNCTION("""COMPUTED_VALUE"""),"Мероприятий не обнаружено")</f>
        <v>Мероприятий не обнаружено</v>
      </c>
      <c r="G1753" s="14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</row>
    <row r="1754" spans="1:26" ht="25.5">
      <c r="A1754" s="14" t="str">
        <f ca="1">IFERROR(__xludf.DUMMYFUNCTION("""COMPUTED_VALUE"""),"Саодат Сабурова")</f>
        <v>Саодат Сабурова</v>
      </c>
      <c r="B1754" s="14" t="str">
        <f ca="1">IFERROR(__xludf.DUMMYFUNCTION("""COMPUTED_VALUE"""),"saburova.saodat@mail.ru")</f>
        <v>saburova.saodat@mail.ru</v>
      </c>
      <c r="C1754" s="15" t="str">
        <f ca="1">IFERROR(__xludf.DUMMYFUNCTION("""COMPUTED_VALUE"""),"+998913005555")</f>
        <v>+998913005555</v>
      </c>
      <c r="D1754" s="15"/>
      <c r="E1754" s="14"/>
      <c r="F175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754" s="14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</row>
    <row r="1755" spans="1:26" ht="14.25">
      <c r="A1755" s="14" t="str">
        <f ca="1">IFERROR(__xludf.DUMMYFUNCTION("""COMPUTED_VALUE"""),"Sacha Haas")</f>
        <v>Sacha Haas</v>
      </c>
      <c r="B1755" s="14" t="str">
        <f ca="1">IFERROR(__xludf.DUMMYFUNCTION("""COMPUTED_VALUE"""),"sachahaas66@gmail.com")</f>
        <v>sachahaas66@gmail.com</v>
      </c>
      <c r="C1755" s="15"/>
      <c r="D1755" s="15"/>
      <c r="E1755" s="14"/>
      <c r="F1755" s="8" t="str">
        <f ca="1">IFERROR(__xludf.DUMMYFUNCTION("""COMPUTED_VALUE"""),"- What hides behind anxiety? The quantum leap [EU]")</f>
        <v>- What hides behind anxiety? The quantum leap [EU]</v>
      </c>
      <c r="G1755" s="14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</row>
    <row r="1756" spans="1:26" ht="25.5">
      <c r="A1756" s="14" t="str">
        <f ca="1">IFERROR(__xludf.DUMMYFUNCTION("""COMPUTED_VALUE"""),"Ардак Садыкова")</f>
        <v>Ардак Садыкова</v>
      </c>
      <c r="B1756" s="14" t="str">
        <f ca="1">IFERROR(__xludf.DUMMYFUNCTION("""COMPUTED_VALUE"""),"Sadykova.com1@gmail.com")</f>
        <v>Sadykova.com1@gmail.com</v>
      </c>
      <c r="C1756" s="15" t="str">
        <f ca="1">IFERROR(__xludf.DUMMYFUNCTION("""COMPUTED_VALUE"""),"87055084661")</f>
        <v>87055084661</v>
      </c>
      <c r="D1756" s="15" t="str">
        <f ca="1">IFERROR(__xludf.DUMMYFUNCTION("""COMPUTED_VALUE"""),"Қазақстан ")</f>
        <v xml:space="preserve">Қазақстан </v>
      </c>
      <c r="E1756" s="14"/>
      <c r="F175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756" s="14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</row>
    <row r="1757" spans="1:26" ht="14.25">
      <c r="A1757" s="14" t="str">
        <f ca="1">IFERROR(__xludf.DUMMYFUNCTION("""COMPUTED_VALUE"""),"Алексей Саевич")</f>
        <v>Алексей Саевич</v>
      </c>
      <c r="B1757" s="14" t="str">
        <f ca="1">IFERROR(__xludf.DUMMYFUNCTION("""COMPUTED_VALUE"""),"saevicalekcej2@gmail.com")</f>
        <v>saevicalekcej2@gmail.com</v>
      </c>
      <c r="C1757" s="15" t="str">
        <f ca="1">IFERROR(__xludf.DUMMYFUNCTION("""COMPUTED_VALUE"""),"+79996373502")</f>
        <v>+79996373502</v>
      </c>
      <c r="D1757" s="15" t="str">
        <f ca="1">IFERROR(__xludf.DUMMYFUNCTION("""COMPUTED_VALUE"""),"Россия")</f>
        <v>Россия</v>
      </c>
      <c r="E1757" s="14"/>
      <c r="F1757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1757" s="14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</row>
    <row r="1758" spans="1:26" ht="14.25">
      <c r="A1758" s="14" t="str">
        <f ca="1">IFERROR(__xludf.DUMMYFUNCTION("""COMPUTED_VALUE"""),"Гузель Сафина")</f>
        <v>Гузель Сафина</v>
      </c>
      <c r="B1758" s="14" t="str">
        <f ca="1">IFERROR(__xludf.DUMMYFUNCTION("""COMPUTED_VALUE"""),"Safina8923@gmail.com")</f>
        <v>Safina8923@gmail.com</v>
      </c>
      <c r="C1758" s="15" t="str">
        <f ca="1">IFERROR(__xludf.DUMMYFUNCTION("""COMPUTED_VALUE"""),"+79924047441")</f>
        <v>+79924047441</v>
      </c>
      <c r="D1758" s="15" t="str">
        <f ca="1">IFERROR(__xludf.DUMMYFUNCTION("""COMPUTED_VALUE"""),"Россия")</f>
        <v>Россия</v>
      </c>
      <c r="E1758" s="14"/>
      <c r="F1758" s="8" t="str">
        <f ca="1">IFERROR(__xludf.DUMMYFUNCTION("""COMPUTED_VALUE"""),"- Тишина Челлендж (бесплатная часть)")</f>
        <v>- Тишина Челлендж (бесплатная часть)</v>
      </c>
      <c r="G1758" s="14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</row>
    <row r="1759" spans="1:26" ht="14.25">
      <c r="A1759" s="14" t="str">
        <f ca="1">IFERROR(__xludf.DUMMYFUNCTION("""COMPUTED_VALUE"""),"Натали Сагив")</f>
        <v>Натали Сагив</v>
      </c>
      <c r="B1759" s="14" t="str">
        <f ca="1">IFERROR(__xludf.DUMMYFUNCTION("""COMPUTED_VALUE"""),"Sagivnatali2017@yandex.com")</f>
        <v>Sagivnatali2017@yandex.com</v>
      </c>
      <c r="C1759" s="15"/>
      <c r="D1759" s="15" t="str">
        <f ca="1">IFERROR(__xludf.DUMMYFUNCTION("""COMPUTED_VALUE"""),"Израиль")</f>
        <v>Израиль</v>
      </c>
      <c r="E1759" s="14"/>
      <c r="F1759" s="8" t="str">
        <f ca="1">IFERROR(__xludf.DUMMYFUNCTION("""COMPUTED_VALUE"""),"- Тишина Челлендж (бесплатная часть)")</f>
        <v>- Тишина Челлендж (бесплатная часть)</v>
      </c>
      <c r="G1759" s="14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</row>
    <row r="1760" spans="1:26" ht="14.25">
      <c r="A1760" s="14" t="str">
        <f ca="1">IFERROR(__xludf.DUMMYFUNCTION("""COMPUTED_VALUE"""),"Денис Архипов")</f>
        <v>Денис Архипов</v>
      </c>
      <c r="B1760" s="14" t="str">
        <f ca="1">IFERROR(__xludf.DUMMYFUNCTION("""COMPUTED_VALUE"""),"sahalindenis@gmail.com")</f>
        <v>sahalindenis@gmail.com</v>
      </c>
      <c r="C1760" s="15" t="str">
        <f ca="1">IFERROR(__xludf.DUMMYFUNCTION("""COMPUTED_VALUE"""),"79994707986")</f>
        <v>79994707986</v>
      </c>
      <c r="D1760" s="15" t="str">
        <f ca="1">IFERROR(__xludf.DUMMYFUNCTION("""COMPUTED_VALUE"""),"Россия")</f>
        <v>Россия</v>
      </c>
      <c r="E1760" s="14"/>
      <c r="F1760" s="8" t="str">
        <f ca="1">IFERROR(__xludf.DUMMYFUNCTION("""COMPUTED_VALUE"""),"- Партнерская программа")</f>
        <v>- Партнерская программа</v>
      </c>
      <c r="G1760" s="14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</row>
    <row r="1761" spans="1:26" ht="38.25">
      <c r="A1761" s="14" t="str">
        <f ca="1">IFERROR(__xludf.DUMMYFUNCTION("""COMPUTED_VALUE"""),"Уля Солнцева")</f>
        <v>Уля Солнцева</v>
      </c>
      <c r="B1761" s="14" t="str">
        <f ca="1">IFERROR(__xludf.DUMMYFUNCTION("""COMPUTED_VALUE"""),"Sahautda@mail.ru")</f>
        <v>Sahautda@mail.ru</v>
      </c>
      <c r="C1761" s="15" t="str">
        <f ca="1">IFERROR(__xludf.DUMMYFUNCTION("""COMPUTED_VALUE"""),"79160284757")</f>
        <v>79160284757</v>
      </c>
      <c r="D1761" s="15" t="str">
        <f ca="1">IFERROR(__xludf.DUMMYFUNCTION("""COMPUTED_VALUE"""),"Россия")</f>
        <v>Россия</v>
      </c>
      <c r="E1761" s="14"/>
      <c r="F1761" s="8" t="str">
        <f ca="1">IFERROR(__xludf.DUMMYFUNCTION("""COMPUTED_VALUE"""),"- Онлайн курс Шаг к Пробуждению №17 2-19.4.22 Пакет стандартный
- Ретрит в РЦ Сочи май 2022  (Оплата с 18 до 29 апреля)")</f>
        <v>- Онлайн курс Шаг к Пробуждению №17 2-19.4.22 Пакет стандартный
- Ретрит в РЦ Сочи май 2022  (Оплата с 18 до 29 апреля)</v>
      </c>
      <c r="G1761" s="14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</row>
    <row r="1762" spans="1:26" ht="14.25">
      <c r="A1762" s="14" t="str">
        <f ca="1">IFERROR(__xludf.DUMMYFUNCTION("""COMPUTED_VALUE"""),"С С")</f>
        <v>С С</v>
      </c>
      <c r="B1762" s="14" t="str">
        <f ca="1">IFERROR(__xludf.DUMMYFUNCTION("""COMPUTED_VALUE"""),"Said76@internet.ru")</f>
        <v>Said76@internet.ru</v>
      </c>
      <c r="C1762" s="15"/>
      <c r="D1762" s="15" t="str">
        <f ca="1">IFERROR(__xludf.DUMMYFUNCTION("""COMPUTED_VALUE"""),"Германия")</f>
        <v>Германия</v>
      </c>
      <c r="E1762" s="14"/>
      <c r="F1762" s="8" t="str">
        <f ca="1">IFERROR(__xludf.DUMMYFUNCTION("""COMPUTED_VALUE"""),"- Тишина Челлендж (бесплатная часть)")</f>
        <v>- Тишина Челлендж (бесплатная часть)</v>
      </c>
      <c r="G1762" s="14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</row>
    <row r="1763" spans="1:26" ht="25.5">
      <c r="A1763" s="14" t="str">
        <f ca="1">IFERROR(__xludf.DUMMYFUNCTION("""COMPUTED_VALUE"""),"Саида Каримова")</f>
        <v>Саида Каримова</v>
      </c>
      <c r="B1763" s="14" t="str">
        <f ca="1">IFERROR(__xludf.DUMMYFUNCTION("""COMPUTED_VALUE"""),"Saidaisardor@gmail.com")</f>
        <v>Saidaisardor@gmail.com</v>
      </c>
      <c r="C1763" s="15" t="str">
        <f ca="1">IFERROR(__xludf.DUMMYFUNCTION("""COMPUTED_VALUE"""),"+998946222255")</f>
        <v>+998946222255</v>
      </c>
      <c r="D1763" s="15"/>
      <c r="E1763" s="14"/>
      <c r="F176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763" s="14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</row>
    <row r="1764" spans="1:26" ht="25.5">
      <c r="A1764" s="14" t="str">
        <f ca="1">IFERROR(__xludf.DUMMYFUNCTION("""COMPUTED_VALUE"""),"Камила Нигманходжаева")</f>
        <v>Камила Нигманходжаева</v>
      </c>
      <c r="B1764" s="14" t="str">
        <f ca="1">IFERROR(__xludf.DUMMYFUNCTION("""COMPUTED_VALUE"""),"Saidmuradova85@mail.ru")</f>
        <v>Saidmuradova85@mail.ru</v>
      </c>
      <c r="C1764" s="15" t="str">
        <f ca="1">IFERROR(__xludf.DUMMYFUNCTION("""COMPUTED_VALUE"""),"+998909586888")</f>
        <v>+998909586888</v>
      </c>
      <c r="D1764" s="15" t="str">
        <f ca="1">IFERROR(__xludf.DUMMYFUNCTION("""COMPUTED_VALUE"""),"Узбекистан ")</f>
        <v xml:space="preserve">Узбекистан </v>
      </c>
      <c r="E1764" s="14"/>
      <c r="F176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764" s="14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</row>
    <row r="1765" spans="1:26" ht="14.25">
      <c r="A1765" s="14" t="str">
        <f ca="1">IFERROR(__xludf.DUMMYFUNCTION("""COMPUTED_VALUE"""),"Оксана Салдан")</f>
        <v>Оксана Салдан</v>
      </c>
      <c r="B1765" s="14" t="str">
        <f ca="1">IFERROR(__xludf.DUMMYFUNCTION("""COMPUTED_VALUE"""),"Saldanov@gmail.com")</f>
        <v>Saldanov@gmail.com</v>
      </c>
      <c r="C1765" s="15" t="str">
        <f ca="1">IFERROR(__xludf.DUMMYFUNCTION("""COMPUTED_VALUE"""),"79031930091")</f>
        <v>79031930091</v>
      </c>
      <c r="D1765" s="15" t="str">
        <f ca="1">IFERROR(__xludf.DUMMYFUNCTION("""COMPUTED_VALUE"""),"Россия")</f>
        <v>Россия</v>
      </c>
      <c r="E1765" s="14"/>
      <c r="F1765" s="8" t="str">
        <f ca="1">IFERROR(__xludf.DUMMYFUNCTION("""COMPUTED_VALUE"""),"- Тишина Челлендж (бесплатная часть)")</f>
        <v>- Тишина Челлендж (бесплатная часть)</v>
      </c>
      <c r="G1765" s="14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</row>
    <row r="1766" spans="1:26" ht="25.5">
      <c r="A1766" s="14" t="str">
        <f ca="1">IFERROR(__xludf.DUMMYFUNCTION("""COMPUTED_VALUE"""),"Dina Salimova")</f>
        <v>Dina Salimova</v>
      </c>
      <c r="B1766" s="14" t="str">
        <f ca="1">IFERROR(__xludf.DUMMYFUNCTION("""COMPUTED_VALUE"""),"Salimovad@mail.ru")</f>
        <v>Salimovad@mail.ru</v>
      </c>
      <c r="C1766" s="15" t="str">
        <f ca="1">IFERROR(__xludf.DUMMYFUNCTION("""COMPUTED_VALUE"""),"87777778309")</f>
        <v>87777778309</v>
      </c>
      <c r="D1766" s="15"/>
      <c r="E1766" s="14"/>
      <c r="F176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766" s="14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</row>
    <row r="1767" spans="1:26" ht="14.25">
      <c r="A1767" s="14" t="str">
        <f ca="1">IFERROR(__xludf.DUMMYFUNCTION("""COMPUTED_VALUE"""),"Павел Сальков")</f>
        <v>Павел Сальков</v>
      </c>
      <c r="B1767" s="14" t="str">
        <f ca="1">IFERROR(__xludf.DUMMYFUNCTION("""COMPUTED_VALUE"""),"Salkov.pavel@icloud.com")</f>
        <v>Salkov.pavel@icloud.com</v>
      </c>
      <c r="C1767" s="15" t="str">
        <f ca="1">IFERROR(__xludf.DUMMYFUNCTION("""COMPUTED_VALUE"""),"79997554050")</f>
        <v>79997554050</v>
      </c>
      <c r="D1767" s="15" t="str">
        <f ca="1">IFERROR(__xludf.DUMMYFUNCTION("""COMPUTED_VALUE"""),"Россия")</f>
        <v>Россия</v>
      </c>
      <c r="E1767" s="14"/>
      <c r="F1767" s="8" t="str">
        <f ca="1">IFERROR(__xludf.DUMMYFUNCTION("""COMPUTED_VALUE"""),"- Тишина Челлендж (бесплатная часть)")</f>
        <v>- Тишина Челлендж (бесплатная часть)</v>
      </c>
      <c r="G1767" s="14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</row>
    <row r="1768" spans="1:26" ht="25.5">
      <c r="A1768" s="14" t="str">
        <f ca="1">IFERROR(__xludf.DUMMYFUNCTION("""COMPUTED_VALUE"""),"Саломат Бахриддинова")</f>
        <v>Саломат Бахриддинова</v>
      </c>
      <c r="B1768" s="14" t="str">
        <f ca="1">IFERROR(__xludf.DUMMYFUNCTION("""COMPUTED_VALUE"""),"Salomka.uz@gmail.com")</f>
        <v>Salomka.uz@gmail.com</v>
      </c>
      <c r="C1768" s="15" t="str">
        <f ca="1">IFERROR(__xludf.DUMMYFUNCTION("""COMPUTED_VALUE"""),"+998903986866")</f>
        <v>+998903986866</v>
      </c>
      <c r="D1768" s="15"/>
      <c r="E1768" s="14"/>
      <c r="F176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768" s="14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</row>
    <row r="1769" spans="1:26" ht="25.5">
      <c r="A1769" s="14" t="str">
        <f ca="1">IFERROR(__xludf.DUMMYFUNCTION("""COMPUTED_VALUE"""),"Салтанат Салтанат")</f>
        <v>Салтанат Салтанат</v>
      </c>
      <c r="B1769" s="14" t="str">
        <f ca="1">IFERROR(__xludf.DUMMYFUNCTION("""COMPUTED_VALUE"""),"saltanat_the_best@mail.ru")</f>
        <v>saltanat_the_best@mail.ru</v>
      </c>
      <c r="C1769" s="15" t="str">
        <f ca="1">IFERROR(__xludf.DUMMYFUNCTION("""COMPUTED_VALUE"""),"87476002593")</f>
        <v>87476002593</v>
      </c>
      <c r="D1769" s="15"/>
      <c r="E1769" s="14"/>
      <c r="F176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769" s="14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</row>
    <row r="1770" spans="1:26" ht="25.5">
      <c r="A1770" s="14" t="str">
        <f ca="1">IFERROR(__xludf.DUMMYFUNCTION("""COMPUTED_VALUE"""),"Салтанат Мур")</f>
        <v>Салтанат Мур</v>
      </c>
      <c r="B1770" s="14" t="str">
        <f ca="1">IFERROR(__xludf.DUMMYFUNCTION("""COMPUTED_VALUE"""),"Saltanat.kz@inbox.ru")</f>
        <v>Saltanat.kz@inbox.ru</v>
      </c>
      <c r="C1770" s="15" t="str">
        <f ca="1">IFERROR(__xludf.DUMMYFUNCTION("""COMPUTED_VALUE"""),"87015310151")</f>
        <v>87015310151</v>
      </c>
      <c r="D1770" s="15"/>
      <c r="E1770" s="14"/>
      <c r="F177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770" s="14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</row>
    <row r="1771" spans="1:26" ht="25.5">
      <c r="A1771" s="14" t="str">
        <f ca="1">IFERROR(__xludf.DUMMYFUNCTION("""COMPUTED_VALUE"""),"Самал Султанова")</f>
        <v>Самал Султанова</v>
      </c>
      <c r="B1771" s="14" t="str">
        <f ca="1">IFERROR(__xludf.DUMMYFUNCTION("""COMPUTED_VALUE"""),"samalek1980@gmail.com")</f>
        <v>samalek1980@gmail.com</v>
      </c>
      <c r="C1771" s="15" t="str">
        <f ca="1">IFERROR(__xludf.DUMMYFUNCTION("""COMPUTED_VALUE"""),"+77016580165")</f>
        <v>+77016580165</v>
      </c>
      <c r="D1771" s="15"/>
      <c r="E1771" s="14"/>
      <c r="F177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771" s="14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</row>
    <row r="1772" spans="1:26" ht="14.25">
      <c r="A1772" s="14" t="str">
        <f ca="1">IFERROR(__xludf.DUMMYFUNCTION("""COMPUTED_VALUE"""),"samara8384,  ")</f>
        <v xml:space="preserve">samara8384,  </v>
      </c>
      <c r="B1772" s="14" t="str">
        <f ca="1">IFERROR(__xludf.DUMMYFUNCTION("""COMPUTED_VALUE"""),"samara8384@gmail.com")</f>
        <v>samara8384@gmail.com</v>
      </c>
      <c r="C1772" s="15"/>
      <c r="D1772" s="15"/>
      <c r="E1772" s="14"/>
      <c r="F1772" s="8" t="str">
        <f ca="1">IFERROR(__xludf.DUMMYFUNCTION("""COMPUTED_VALUE"""),"- USA Челлендж Тишина")</f>
        <v>- USA Челлендж Тишина</v>
      </c>
      <c r="G1772" s="14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</row>
    <row r="1773" spans="1:26" ht="25.5">
      <c r="A1773" s="14" t="str">
        <f ca="1">IFERROR(__xludf.DUMMYFUNCTION("""COMPUTED_VALUE"""),"Акжаркын Самбетова")</f>
        <v>Акжаркын Самбетова</v>
      </c>
      <c r="B1773" s="14" t="str">
        <f ca="1">IFERROR(__xludf.DUMMYFUNCTION("""COMPUTED_VALUE"""),"sambetova56@gmail.com")</f>
        <v>sambetova56@gmail.com</v>
      </c>
      <c r="C1773" s="15" t="str">
        <f ca="1">IFERROR(__xludf.DUMMYFUNCTION("""COMPUTED_VALUE"""),"+77001929392")</f>
        <v>+77001929392</v>
      </c>
      <c r="D1773" s="15"/>
      <c r="E1773" s="14"/>
      <c r="F177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773" s="14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</row>
    <row r="1774" spans="1:26" ht="25.5">
      <c r="A1774" s="14" t="str">
        <f ca="1">IFERROR(__xludf.DUMMYFUNCTION("""COMPUTED_VALUE"""),"Юлия Лаврина")</f>
        <v>Юлия Лаврина</v>
      </c>
      <c r="B1774" s="14" t="str">
        <f ca="1">IFERROR(__xludf.DUMMYFUNCTION("""COMPUTED_VALUE"""),"samorigaulia@gmail.com")</f>
        <v>samorigaulia@gmail.com</v>
      </c>
      <c r="C1774" s="15" t="str">
        <f ca="1">IFERROR(__xludf.DUMMYFUNCTION("""COMPUTED_VALUE"""),"+998909648354")</f>
        <v>+998909648354</v>
      </c>
      <c r="D1774" s="15"/>
      <c r="E1774" s="14"/>
      <c r="F177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774" s="14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</row>
    <row r="1775" spans="1:26" ht="38.25">
      <c r="A1775" s="14" t="str">
        <f ca="1">IFERROR(__xludf.DUMMYFUNCTION("""COMPUTED_VALUE"""),"Polina Troshenkova")</f>
        <v>Polina Troshenkova</v>
      </c>
      <c r="B1775" s="14" t="str">
        <f ca="1">IFERROR(__xludf.DUMMYFUNCTION("""COMPUTED_VALUE"""),"samoylova8@yandex.ru")</f>
        <v>samoylova8@yandex.ru</v>
      </c>
      <c r="C1775" s="15" t="str">
        <f ca="1">IFERROR(__xludf.DUMMYFUNCTION("""COMPUTED_VALUE"""),"+79661919170")</f>
        <v>+79661919170</v>
      </c>
      <c r="D1775" s="15" t="str">
        <f ca="1">IFERROR(__xludf.DUMMYFUNCTION("""COMPUTED_VALUE"""),"Russia")</f>
        <v>Russia</v>
      </c>
      <c r="E1775" s="14"/>
      <c r="F1775" s="8" t="str">
        <f ca="1">IFERROR(__xludf.DUMMYFUNCTION("""COMPUTED_VALUE"""),"- Челлендж Тишины
- Онлайн курс Шаг к Пробуждению №16 26.2-5.3.22 Пакет стандартный")</f>
        <v>- Челлендж Тишины
- Онлайн курс Шаг к Пробуждению №16 26.2-5.3.22 Пакет стандартный</v>
      </c>
      <c r="G1775" s="14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</row>
    <row r="1776" spans="1:26" ht="14.25">
      <c r="A1776" s="14" t="str">
        <f ca="1">IFERROR(__xludf.DUMMYFUNCTION("""COMPUTED_VALUE"""),"светлана боровкова")</f>
        <v>светлана боровкова</v>
      </c>
      <c r="B1776" s="14" t="str">
        <f ca="1">IFERROR(__xludf.DUMMYFUNCTION("""COMPUTED_VALUE"""),"samtavev@yandex.ru")</f>
        <v>samtavev@yandex.ru</v>
      </c>
      <c r="C1776" s="15" t="str">
        <f ca="1">IFERROR(__xludf.DUMMYFUNCTION("""COMPUTED_VALUE"""),", 79035135578")</f>
        <v>, 79035135578</v>
      </c>
      <c r="D1776" s="15" t="str">
        <f ca="1">IFERROR(__xludf.DUMMYFUNCTION("""COMPUTED_VALUE"""),"Россия")</f>
        <v>Россия</v>
      </c>
      <c r="E1776" s="14"/>
      <c r="F1776" s="8" t="str">
        <f ca="1">IFERROR(__xludf.DUMMYFUNCTION("""COMPUTED_VALUE"""),"Мероприятий не обнаружено")</f>
        <v>Мероприятий не обнаружено</v>
      </c>
      <c r="G1776" s="14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</row>
    <row r="1777" spans="1:26" ht="14.25">
      <c r="A1777" s="14" t="str">
        <f ca="1">IFERROR(__xludf.DUMMYFUNCTION("""COMPUTED_VALUE"""),"Татьяна Савчук")</f>
        <v>Татьяна Савчук</v>
      </c>
      <c r="B1777" s="14" t="str">
        <f ca="1">IFERROR(__xludf.DUMMYFUNCTION("""COMPUTED_VALUE"""),"samuel2@brainzm.awsapps.com")</f>
        <v>samuel2@brainzm.awsapps.com</v>
      </c>
      <c r="C1777" s="15" t="str">
        <f ca="1">IFERROR(__xludf.DUMMYFUNCTION("""COMPUTED_VALUE"""),", +375295207941")</f>
        <v>, +375295207941</v>
      </c>
      <c r="D1777" s="15" t="str">
        <f ca="1">IFERROR(__xludf.DUMMYFUNCTION("""COMPUTED_VALUE"""),"Беларусь")</f>
        <v>Беларусь</v>
      </c>
      <c r="E1777" s="14"/>
      <c r="F1777" s="8" t="str">
        <f ca="1">IFERROR(__xludf.DUMMYFUNCTION("""COMPUTED_VALUE"""),"Мероприятий не обнаружено")</f>
        <v>Мероприятий не обнаружено</v>
      </c>
      <c r="G1777" s="14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</row>
    <row r="1778" spans="1:26" ht="14.25">
      <c r="A1778" s="14" t="str">
        <f ca="1">IFERROR(__xludf.DUMMYFUNCTION("""COMPUTED_VALUE"""),"Сергей Савчук")</f>
        <v>Сергей Савчук</v>
      </c>
      <c r="B1778" s="14" t="str">
        <f ca="1">IFERROR(__xludf.DUMMYFUNCTION("""COMPUTED_VALUE"""),"samuel3@brainzm.awsapps.com")</f>
        <v>samuel3@brainzm.awsapps.com</v>
      </c>
      <c r="C1778" s="15" t="str">
        <f ca="1">IFERROR(__xludf.DUMMYFUNCTION("""COMPUTED_VALUE"""),", +375336407514")</f>
        <v>, +375336407514</v>
      </c>
      <c r="D1778" s="15" t="str">
        <f ca="1">IFERROR(__xludf.DUMMYFUNCTION("""COMPUTED_VALUE"""),"Беларусь")</f>
        <v>Беларусь</v>
      </c>
      <c r="E1778" s="14"/>
      <c r="F1778" s="8" t="str">
        <f ca="1">IFERROR(__xludf.DUMMYFUNCTION("""COMPUTED_VALUE"""),"Мероприятий не обнаружено")</f>
        <v>Мероприятий не обнаружено</v>
      </c>
      <c r="G1778" s="14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</row>
    <row r="1779" spans="1:26" ht="51">
      <c r="A1779" s="14" t="str">
        <f ca="1">IFERROR(__xludf.DUMMYFUNCTION("""COMPUTED_VALUE"""),"Ирина Самусенко")</f>
        <v>Ирина Самусенко</v>
      </c>
      <c r="B1779" s="14" t="str">
        <f ca="1">IFERROR(__xludf.DUMMYFUNCTION("""COMPUTED_VALUE"""),"Samysenkoirina@yandex.ru")</f>
        <v>Samysenkoirina@yandex.ru</v>
      </c>
      <c r="C1779" s="15" t="str">
        <f ca="1">IFERROR(__xludf.DUMMYFUNCTION("""COMPUTED_VALUE"""),"+79106820656")</f>
        <v>+79106820656</v>
      </c>
      <c r="D1779" s="15" t="str">
        <f ca="1">IFERROR(__xludf.DUMMYFUNCTION("""COMPUTED_VALUE"""),"Россия")</f>
        <v>Россия</v>
      </c>
      <c r="E1779" s="14"/>
      <c r="F1779" s="8" t="str">
        <f ca="1">IFERROR(__xludf.DUMMYFUNCTION("""COMPUTED_VALUE"""),"- Онлайн курс Шаг к Пробуждению №15 29.1-8.02.22 Пакет стандартный
- Вебинар все о ретрите 12.2.2022
- АнтиЭго 2.0 ""Пакет Базовый"" 19.02 - 13.03.2022 (поток 1)")</f>
        <v>- Онлайн курс Шаг к Пробуждению №15 29.1-8.02.22 Пакет стандартный
- Вебинар все о ретрите 12.2.2022
- АнтиЭго 2.0 "Пакет Базовый" 19.02 - 13.03.2022 (поток 1)</v>
      </c>
      <c r="G1779" s="14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</row>
    <row r="1780" spans="1:26" ht="14.25">
      <c r="A1780" s="14" t="str">
        <f ca="1">IFERROR(__xludf.DUMMYFUNCTION("""COMPUTED_VALUE"""),"Ксения Зинченко")</f>
        <v>Ксения Зинченко</v>
      </c>
      <c r="B1780" s="14" t="str">
        <f ca="1">IFERROR(__xludf.DUMMYFUNCTION("""COMPUTED_VALUE"""),"Sana1509@rambler.ru")</f>
        <v>Sana1509@rambler.ru</v>
      </c>
      <c r="C1780" s="15" t="str">
        <f ca="1">IFERROR(__xludf.DUMMYFUNCTION("""COMPUTED_VALUE"""),"79167839074")</f>
        <v>79167839074</v>
      </c>
      <c r="D1780" s="15"/>
      <c r="E1780" s="14"/>
      <c r="F1780" s="8" t="str">
        <f ca="1">IFERROR(__xludf.DUMMYFUNCTION("""COMPUTED_VALUE"""),"- Тишина Челлендж (бесплатная часть)")</f>
        <v>- Тишина Челлендж (бесплатная часть)</v>
      </c>
      <c r="G1780" s="14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</row>
    <row r="1781" spans="1:26" ht="14.25">
      <c r="A1781" s="14" t="str">
        <f ca="1">IFERROR(__xludf.DUMMYFUNCTION("""COMPUTED_VALUE"""),"Анастасия  Жиленко, Анастасия Жиленко")</f>
        <v>Анастасия  Жиленко, Анастасия Жиленко</v>
      </c>
      <c r="B1781" s="14" t="str">
        <f ca="1">IFERROR(__xludf.DUMMYFUNCTION("""COMPUTED_VALUE"""),"Sanatastar@yandex.ru")</f>
        <v>Sanatastar@yandex.ru</v>
      </c>
      <c r="C1781" s="15" t="str">
        <f ca="1">IFERROR(__xludf.DUMMYFUNCTION("""COMPUTED_VALUE"""),"79185463636")</f>
        <v>79185463636</v>
      </c>
      <c r="D1781" s="15" t="str">
        <f ca="1">IFERROR(__xludf.DUMMYFUNCTION("""COMPUTED_VALUE"""),"Россия")</f>
        <v>Россия</v>
      </c>
      <c r="E1781" s="14"/>
      <c r="F1781" s="8" t="str">
        <f ca="1">IFERROR(__xludf.DUMMYFUNCTION("""COMPUTED_VALUE"""),"- Вебинар все о ретрите 12.2.2022")</f>
        <v>- Вебинар все о ретрите 12.2.2022</v>
      </c>
      <c r="G1781" s="14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</row>
    <row r="1782" spans="1:26" ht="25.5">
      <c r="A1782" s="14" t="str">
        <f ca="1">IFERROR(__xludf.DUMMYFUNCTION("""COMPUTED_VALUE"""),"Александра Левченко")</f>
        <v>Александра Левченко</v>
      </c>
      <c r="B1782" s="14" t="str">
        <f ca="1">IFERROR(__xludf.DUMMYFUNCTION("""COMPUTED_VALUE"""),"Sandleovinch@mail.ru")</f>
        <v>Sandleovinch@mail.ru</v>
      </c>
      <c r="C1782" s="15" t="str">
        <f ca="1">IFERROR(__xludf.DUMMYFUNCTION("""COMPUTED_VALUE"""),"87776474754")</f>
        <v>87776474754</v>
      </c>
      <c r="D1782" s="15"/>
      <c r="E1782" s="14"/>
      <c r="F178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782" s="14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</row>
    <row r="1783" spans="1:26" ht="25.5">
      <c r="A1783" s="14" t="str">
        <f ca="1">IFERROR(__xludf.DUMMYFUNCTION("""COMPUTED_VALUE"""),"Sandra Sarmiņa")</f>
        <v>Sandra Sarmiņa</v>
      </c>
      <c r="B1783" s="14" t="str">
        <f ca="1">IFERROR(__xludf.DUMMYFUNCTION("""COMPUTED_VALUE"""),"sandra.kaspars@gmail.com")</f>
        <v>sandra.kaspars@gmail.com</v>
      </c>
      <c r="C1783" s="15" t="str">
        <f ca="1">IFERROR(__xludf.DUMMYFUNCTION("""COMPUTED_VALUE"""),"+37126812993")</f>
        <v>+37126812993</v>
      </c>
      <c r="D1783" s="15" t="str">
        <f ca="1">IFERROR(__xludf.DUMMYFUNCTION("""COMPUTED_VALUE"""),"Латвия")</f>
        <v>Латвия</v>
      </c>
      <c r="E1783" s="14"/>
      <c r="F1783" s="8" t="str">
        <f ca="1">IFERROR(__xludf.DUMMYFUNCTION("""COMPUTED_VALUE"""),"- Шаг к Пробуждению №5 на латышском Латвия LV 11-18 декабря 2021 года ")</f>
        <v xml:space="preserve">- Шаг к Пробуждению №5 на латышском Латвия LV 11-18 декабря 2021 года </v>
      </c>
      <c r="G1783" s="14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</row>
    <row r="1784" spans="1:26" ht="25.5">
      <c r="A1784" s="14" t="str">
        <f ca="1">IFERROR(__xludf.DUMMYFUNCTION("""COMPUTED_VALUE"""),"Гузаль Алиева")</f>
        <v>Гузаль Алиева</v>
      </c>
      <c r="B1784" s="14" t="str">
        <f ca="1">IFERROR(__xludf.DUMMYFUNCTION("""COMPUTED_VALUE"""),"Sansi_92@mail.ru")</f>
        <v>Sansi_92@mail.ru</v>
      </c>
      <c r="C1784" s="15" t="str">
        <f ca="1">IFERROR(__xludf.DUMMYFUNCTION("""COMPUTED_VALUE"""),"+998907285505")</f>
        <v>+998907285505</v>
      </c>
      <c r="D1784" s="15"/>
      <c r="E1784" s="14"/>
      <c r="F178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784" s="14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</row>
    <row r="1785" spans="1:26" ht="14.25">
      <c r="A1785" s="14" t="str">
        <f ca="1">IFERROR(__xludf.DUMMYFUNCTION("""COMPUTED_VALUE"""),"Надежда Фульга")</f>
        <v>Надежда Фульга</v>
      </c>
      <c r="B1785" s="14" t="str">
        <f ca="1">IFERROR(__xludf.DUMMYFUNCTION("""COMPUTED_VALUE"""),"Santarina@list.ru")</f>
        <v>Santarina@list.ru</v>
      </c>
      <c r="C1785" s="15" t="str">
        <f ca="1">IFERROR(__xludf.DUMMYFUNCTION("""COMPUTED_VALUE"""),"79257405011")</f>
        <v>79257405011</v>
      </c>
      <c r="D1785" s="15" t="str">
        <f ca="1">IFERROR(__xludf.DUMMYFUNCTION("""COMPUTED_VALUE"""),"США")</f>
        <v>США</v>
      </c>
      <c r="E1785" s="14"/>
      <c r="F1785" s="8" t="str">
        <f ca="1">IFERROR(__xludf.DUMMYFUNCTION("""COMPUTED_VALUE"""),"- Интенсив 15-17 апреля Москва")</f>
        <v>- Интенсив 15-17 апреля Москва</v>
      </c>
      <c r="G1785" s="14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</row>
    <row r="1786" spans="1:26" ht="14.25">
      <c r="A1786" s="14" t="str">
        <f ca="1">IFERROR(__xludf.DUMMYFUNCTION("""COMPUTED_VALUE"""),"Александр Щербаков")</f>
        <v>Александр Щербаков</v>
      </c>
      <c r="B1786" s="14" t="str">
        <f ca="1">IFERROR(__xludf.DUMMYFUNCTION("""COMPUTED_VALUE"""),"sanya.shherbakov.82@mail.ru")</f>
        <v>sanya.shherbakov.82@mail.ru</v>
      </c>
      <c r="C1786" s="15" t="str">
        <f ca="1">IFERROR(__xludf.DUMMYFUNCTION("""COMPUTED_VALUE"""),"79638441814")</f>
        <v>79638441814</v>
      </c>
      <c r="D1786" s="15" t="str">
        <f ca="1">IFERROR(__xludf.DUMMYFUNCTION("""COMPUTED_VALUE"""),"Россия")</f>
        <v>Россия</v>
      </c>
      <c r="E1786" s="14"/>
      <c r="F1786" s="8" t="str">
        <f ca="1">IFERROR(__xludf.DUMMYFUNCTION("""COMPUTED_VALUE"""),"- Онлайн Интенсив Дальний Восток 25-27.03.2022 ")</f>
        <v xml:space="preserve">- Онлайн Интенсив Дальний Восток 25-27.03.2022 </v>
      </c>
      <c r="G1786" s="14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</row>
    <row r="1787" spans="1:26" ht="14.25">
      <c r="A1787" s="14" t="str">
        <f ca="1">IFERROR(__xludf.DUMMYFUNCTION("""COMPUTED_VALUE"""),"Александр Вершинин")</f>
        <v>Александр Вершинин</v>
      </c>
      <c r="B1787" s="14" t="str">
        <f ca="1">IFERROR(__xludf.DUMMYFUNCTION("""COMPUTED_VALUE"""),"sanya.vershinin.90@inbox.ru")</f>
        <v>sanya.vershinin.90@inbox.ru</v>
      </c>
      <c r="C1787" s="15" t="str">
        <f ca="1">IFERROR(__xludf.DUMMYFUNCTION("""COMPUTED_VALUE"""),"+79126984943")</f>
        <v>+79126984943</v>
      </c>
      <c r="D1787" s="15" t="str">
        <f ca="1">IFERROR(__xludf.DUMMYFUNCTION("""COMPUTED_VALUE"""),"Россия")</f>
        <v>Россия</v>
      </c>
      <c r="E1787" s="14"/>
      <c r="F1787" s="8" t="str">
        <f ca="1">IFERROR(__xludf.DUMMYFUNCTION("""COMPUTED_VALUE"""),"- Вводный вебинар 3.5.22 на Шаг к Пробуждению")</f>
        <v>- Вводный вебинар 3.5.22 на Шаг к Пробуждению</v>
      </c>
      <c r="G1787" s="14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</row>
    <row r="1788" spans="1:26" ht="25.5">
      <c r="A1788" s="14" t="str">
        <f ca="1">IFERROR(__xludf.DUMMYFUNCTION("""COMPUTED_VALUE"""),"Вадим Санжаревский")</f>
        <v>Вадим Санжаревский</v>
      </c>
      <c r="B1788" s="14" t="str">
        <f ca="1">IFERROR(__xludf.DUMMYFUNCTION("""COMPUTED_VALUE"""),"Sanzharevskiy96@bk.ru")</f>
        <v>Sanzharevskiy96@bk.ru</v>
      </c>
      <c r="C1788" s="15" t="str">
        <f ca="1">IFERROR(__xludf.DUMMYFUNCTION("""COMPUTED_VALUE"""),"998900696035")</f>
        <v>998900696035</v>
      </c>
      <c r="D1788" s="15"/>
      <c r="E1788" s="14"/>
      <c r="F178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788" s="14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</row>
    <row r="1789" spans="1:26" ht="25.5">
      <c r="A1789" s="14" t="str">
        <f ca="1">IFERROR(__xludf.DUMMYFUNCTION("""COMPUTED_VALUE"""),"Александра Патрик")</f>
        <v>Александра Патрик</v>
      </c>
      <c r="B1789" s="14" t="str">
        <f ca="1">IFERROR(__xludf.DUMMYFUNCTION("""COMPUTED_VALUE"""),"sapatrik1@yandex.ru")</f>
        <v>sapatrik1@yandex.ru</v>
      </c>
      <c r="C1789" s="15" t="str">
        <f ca="1">IFERROR(__xludf.DUMMYFUNCTION("""COMPUTED_VALUE"""),"79995603287")</f>
        <v>79995603287</v>
      </c>
      <c r="D1789" s="15" t="str">
        <f ca="1">IFERROR(__xludf.DUMMYFUNCTION("""COMPUTED_VALUE"""),"Россия")</f>
        <v>Россия</v>
      </c>
      <c r="E1789" s="14"/>
      <c r="F1789" s="8" t="str">
        <f ca="1">IFERROR(__xludf.DUMMYFUNCTION("""COMPUTED_VALUE"""),"- Онлайн курс Шаг к Пробуждению №17 2-19.4.22 Пакет стандартный")</f>
        <v>- Онлайн курс Шаг к Пробуждению №17 2-19.4.22 Пакет стандартный</v>
      </c>
      <c r="G1789" s="14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</row>
    <row r="1790" spans="1:26" ht="14.25">
      <c r="A1790" s="14" t="str">
        <f ca="1">IFERROR(__xludf.DUMMYFUNCTION("""COMPUTED_VALUE"""),"Зинаида Саплина")</f>
        <v>Зинаида Саплина</v>
      </c>
      <c r="B1790" s="14" t="str">
        <f ca="1">IFERROR(__xludf.DUMMYFUNCTION("""COMPUTED_VALUE"""),"Saplina.zinaida@gmail.com")</f>
        <v>Saplina.zinaida@gmail.com</v>
      </c>
      <c r="C1790" s="15" t="str">
        <f ca="1">IFERROR(__xludf.DUMMYFUNCTION("""COMPUTED_VALUE"""),"79035733220")</f>
        <v>79035733220</v>
      </c>
      <c r="D1790" s="15" t="str">
        <f ca="1">IFERROR(__xludf.DUMMYFUNCTION("""COMPUTED_VALUE"""),"Ирландия")</f>
        <v>Ирландия</v>
      </c>
      <c r="E1790" s="14"/>
      <c r="F1790" s="8" t="str">
        <f ca="1">IFERROR(__xludf.DUMMYFUNCTION("""COMPUTED_VALUE"""),"- Мастер-класс ""Скульптура и Керамика""")</f>
        <v>- Мастер-класс "Скульптура и Керамика"</v>
      </c>
      <c r="G1790" s="14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</row>
    <row r="1791" spans="1:26" ht="14.25">
      <c r="A1791" s="14" t="str">
        <f ca="1">IFERROR(__xludf.DUMMYFUNCTION("""COMPUTED_VALUE"""),"Шарифа Ашурова")</f>
        <v>Шарифа Ашурова</v>
      </c>
      <c r="B1791" s="14" t="str">
        <f ca="1">IFERROR(__xludf.DUMMYFUNCTION("""COMPUTED_VALUE"""),"Sari.a75@gmail.com")</f>
        <v>Sari.a75@gmail.com</v>
      </c>
      <c r="C1791" s="15" t="str">
        <f ca="1">IFERROR(__xludf.DUMMYFUNCTION("""COMPUTED_VALUE"""),"+37065277021")</f>
        <v>+37065277021</v>
      </c>
      <c r="D1791" s="15" t="str">
        <f ca="1">IFERROR(__xludf.DUMMYFUNCTION("""COMPUTED_VALUE"""),"Литва")</f>
        <v>Литва</v>
      </c>
      <c r="E1791" s="14"/>
      <c r="F1791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1791" s="14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</row>
    <row r="1792" spans="1:26" ht="14.25">
      <c r="A1792" s="14" t="str">
        <f ca="1">IFERROR(__xludf.DUMMYFUNCTION("""COMPUTED_VALUE"""),"Саша, Саша ")</f>
        <v xml:space="preserve">Саша, Саша </v>
      </c>
      <c r="B1792" s="14" t="str">
        <f ca="1">IFERROR(__xludf.DUMMYFUNCTION("""COMPUTED_VALUE"""),"sarodngs@gmail.com")</f>
        <v>sarodngs@gmail.com</v>
      </c>
      <c r="C1792" s="15" t="str">
        <f ca="1">IFERROR(__xludf.DUMMYFUNCTION("""COMPUTED_VALUE"""),"+79137302031")</f>
        <v>+79137302031</v>
      </c>
      <c r="D1792" s="15" t="str">
        <f ca="1">IFERROR(__xludf.DUMMYFUNCTION("""COMPUTED_VALUE"""),"Россия")</f>
        <v>Россия</v>
      </c>
      <c r="E1792" s="14"/>
      <c r="F1792" s="8" t="str">
        <f ca="1">IFERROR(__xludf.DUMMYFUNCTION("""COMPUTED_VALUE"""),"-  Курс Пробуждение. Начало.")</f>
        <v>-  Курс Пробуждение. Начало.</v>
      </c>
      <c r="G1792" s="14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</row>
    <row r="1793" spans="1:26" ht="25.5">
      <c r="A1793" s="14" t="str">
        <f ca="1">IFERROR(__xludf.DUMMYFUNCTION("""COMPUTED_VALUE"""),"Ляззат Бисембаева")</f>
        <v>Ляззат Бисембаева</v>
      </c>
      <c r="B1793" s="14" t="str">
        <f ca="1">IFERROR(__xludf.DUMMYFUNCTION("""COMPUTED_VALUE"""),"sarsenbaeva_lyazzat@mail.ru")</f>
        <v>sarsenbaeva_lyazzat@mail.ru</v>
      </c>
      <c r="C1793" s="15" t="str">
        <f ca="1">IFERROR(__xludf.DUMMYFUNCTION("""COMPUTED_VALUE"""),"87051575553")</f>
        <v>87051575553</v>
      </c>
      <c r="D1793" s="15"/>
      <c r="E1793" s="14"/>
      <c r="F179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793" s="14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</row>
    <row r="1794" spans="1:26" ht="25.5">
      <c r="A1794" s="14" t="str">
        <f ca="1">IFERROR(__xludf.DUMMYFUNCTION("""COMPUTED_VALUE"""),"Бахыт Сартаева")</f>
        <v>Бахыт Сартаева</v>
      </c>
      <c r="B1794" s="14" t="str">
        <f ca="1">IFERROR(__xludf.DUMMYFUNCTION("""COMPUTED_VALUE"""),"Sartaeva_b@mail.ru")</f>
        <v>Sartaeva_b@mail.ru</v>
      </c>
      <c r="C1794" s="15" t="str">
        <f ca="1">IFERROR(__xludf.DUMMYFUNCTION("""COMPUTED_VALUE"""),"87783559875")</f>
        <v>87783559875</v>
      </c>
      <c r="D1794" s="15"/>
      <c r="E1794" s="14"/>
      <c r="F179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794" s="14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</row>
    <row r="1795" spans="1:26" ht="14.25">
      <c r="A1795" s="14" t="str">
        <f ca="1">IFERROR(__xludf.DUMMYFUNCTION("""COMPUTED_VALUE"""),"Анастасия Соколянская")</f>
        <v>Анастасия Соколянская</v>
      </c>
      <c r="B1795" s="14" t="str">
        <f ca="1">IFERROR(__xludf.DUMMYFUNCTION("""COMPUTED_VALUE"""),"sas_0211@mail.ru")</f>
        <v>sas_0211@mail.ru</v>
      </c>
      <c r="C1795" s="15" t="str">
        <f ca="1">IFERROR(__xludf.DUMMYFUNCTION("""COMPUTED_VALUE"""),"+79283311682")</f>
        <v>+79283311682</v>
      </c>
      <c r="D1795" s="15" t="str">
        <f ca="1">IFERROR(__xludf.DUMMYFUNCTION("""COMPUTED_VALUE"""),"Россия")</f>
        <v>Россия</v>
      </c>
      <c r="E1795" s="14"/>
      <c r="F1795" s="8" t="str">
        <f ca="1">IFERROR(__xludf.DUMMYFUNCTION("""COMPUTED_VALUE"""),"- Однодневный ретрит (в зале) 14 мая 2022")</f>
        <v>- Однодневный ретрит (в зале) 14 мая 2022</v>
      </c>
      <c r="G1795" s="14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</row>
    <row r="1796" spans="1:26" ht="14.25">
      <c r="A1796" s="14" t="str">
        <f ca="1">IFERROR(__xludf.DUMMYFUNCTION("""COMPUTED_VALUE"""),"Александра Яковлева")</f>
        <v>Александра Яковлева</v>
      </c>
      <c r="B1796" s="14" t="str">
        <f ca="1">IFERROR(__xludf.DUMMYFUNCTION("""COMPUTED_VALUE"""),"Sasha-Oat@mail.ru")</f>
        <v>Sasha-Oat@mail.ru</v>
      </c>
      <c r="C1796" s="15" t="str">
        <f ca="1">IFERROR(__xludf.DUMMYFUNCTION("""COMPUTED_VALUE"""),"79649243090")</f>
        <v>79649243090</v>
      </c>
      <c r="D1796" s="15" t="str">
        <f ca="1">IFERROR(__xludf.DUMMYFUNCTION("""COMPUTED_VALUE"""),"Россия")</f>
        <v>Россия</v>
      </c>
      <c r="E1796" s="14"/>
      <c r="F1796" s="8" t="str">
        <f ca="1">IFERROR(__xludf.DUMMYFUNCTION("""COMPUTED_VALUE"""),"- Тишина Челлендж (бесплатная часть)")</f>
        <v>- Тишина Челлендж (бесплатная часть)</v>
      </c>
      <c r="G1796" s="14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</row>
    <row r="1797" spans="1:26" ht="14.25">
      <c r="A1797" s="14" t="str">
        <f ca="1">IFERROR(__xludf.DUMMYFUNCTION("""COMPUTED_VALUE"""),"Александра Наумчик")</f>
        <v>Александра Наумчик</v>
      </c>
      <c r="B1797" s="14" t="str">
        <f ca="1">IFERROR(__xludf.DUMMYFUNCTION("""COMPUTED_VALUE"""),"Sasha.Naumchik909@mail.ru")</f>
        <v>Sasha.Naumchik909@mail.ru</v>
      </c>
      <c r="C1797" s="15" t="str">
        <f ca="1">IFERROR(__xludf.DUMMYFUNCTION("""COMPUTED_VALUE"""),"+375333749253")</f>
        <v>+375333749253</v>
      </c>
      <c r="D1797" s="15" t="str">
        <f ca="1">IFERROR(__xludf.DUMMYFUNCTION("""COMPUTED_VALUE"""),"Беларусь")</f>
        <v>Беларусь</v>
      </c>
      <c r="E1797" s="14"/>
      <c r="F1797" s="8" t="str">
        <f ca="1">IFERROR(__xludf.DUMMYFUNCTION("""COMPUTED_VALUE"""),"- Тишина Челлендж (бесплатная часть)")</f>
        <v>- Тишина Челлендж (бесплатная часть)</v>
      </c>
      <c r="G1797" s="14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</row>
    <row r="1798" spans="1:26" ht="14.25">
      <c r="A1798" s="14" t="str">
        <f ca="1">IFERROR(__xludf.DUMMYFUNCTION("""COMPUTED_VALUE"""),"Саша Маслов")</f>
        <v>Саша Маслов</v>
      </c>
      <c r="B1798" s="14" t="str">
        <f ca="1">IFERROR(__xludf.DUMMYFUNCTION("""COMPUTED_VALUE"""),"Sasha51047@yandex.ru")</f>
        <v>Sasha51047@yandex.ru</v>
      </c>
      <c r="C1798" s="15" t="str">
        <f ca="1">IFERROR(__xludf.DUMMYFUNCTION("""COMPUTED_VALUE"""),"0685152238")</f>
        <v>0685152238</v>
      </c>
      <c r="D1798" s="15"/>
      <c r="E1798" s="14"/>
      <c r="F1798" s="8" t="str">
        <f ca="1">IFERROR(__xludf.DUMMYFUNCTION("""COMPUTED_VALUE"""),"- Тишина Челлендж (бесплатная часть)")</f>
        <v>- Тишина Челлендж (бесплатная часть)</v>
      </c>
      <c r="G1798" s="14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</row>
    <row r="1799" spans="1:26" ht="25.5">
      <c r="A1799" s="14" t="str">
        <f ca="1">IFERROR(__xludf.DUMMYFUNCTION("""COMPUTED_VALUE"""),"Рамиля Сатаева")</f>
        <v>Рамиля Сатаева</v>
      </c>
      <c r="B1799" s="14" t="str">
        <f ca="1">IFERROR(__xludf.DUMMYFUNCTION("""COMPUTED_VALUE"""),"sataeva.r91@gmail.com")</f>
        <v>sataeva.r91@gmail.com</v>
      </c>
      <c r="C1799" s="15" t="str">
        <f ca="1">IFERROR(__xludf.DUMMYFUNCTION("""COMPUTED_VALUE"""),"79673202170")</f>
        <v>79673202170</v>
      </c>
      <c r="D1799" s="15" t="str">
        <f ca="1">IFERROR(__xludf.DUMMYFUNCTION("""COMPUTED_VALUE"""),"США")</f>
        <v>США</v>
      </c>
      <c r="E1799" s="14"/>
      <c r="F1799" s="8" t="str">
        <f ca="1">IFERROR(__xludf.DUMMYFUNCTION("""COMPUTED_VALUE"""),"- Онлайн курс Шаг к Пробуждению №15 29.1-8.02.22 Пакет стандартный")</f>
        <v>- Онлайн курс Шаг к Пробуждению №15 29.1-8.02.22 Пакет стандартный</v>
      </c>
      <c r="G1799" s="14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</row>
    <row r="1800" spans="1:26" ht="25.5">
      <c r="A1800" s="14" t="str">
        <f ca="1">IFERROR(__xludf.DUMMYFUNCTION("""COMPUTED_VALUE"""),"Бибиназ Сатбаева")</f>
        <v>Бибиназ Сатбаева</v>
      </c>
      <c r="B1800" s="14" t="str">
        <f ca="1">IFERROR(__xludf.DUMMYFUNCTION("""COMPUTED_VALUE"""),"satbaevabibi@gmail.com")</f>
        <v>satbaevabibi@gmail.com</v>
      </c>
      <c r="C1800" s="15" t="str">
        <f ca="1">IFERROR(__xludf.DUMMYFUNCTION("""COMPUTED_VALUE"""),"+998900249425")</f>
        <v>+998900249425</v>
      </c>
      <c r="D1800" s="15"/>
      <c r="E1800" s="14"/>
      <c r="F180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00" s="14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</row>
    <row r="1801" spans="1:26" ht="38.25">
      <c r="A1801" s="14" t="str">
        <f ca="1">IFERROR(__xludf.DUMMYFUNCTION("""COMPUTED_VALUE"""),"Malika Sattarova")</f>
        <v>Malika Sattarova</v>
      </c>
      <c r="B1801" s="14" t="str">
        <f ca="1">IFERROR(__xludf.DUMMYFUNCTION("""COMPUTED_VALUE"""),"Sattarovamm1999@gmail.com")</f>
        <v>Sattarovamm1999@gmail.com</v>
      </c>
      <c r="C1801" s="15" t="str">
        <f ca="1">IFERROR(__xludf.DUMMYFUNCTION("""COMPUTED_VALUE"""),"+998972257099")</f>
        <v>+998972257099</v>
      </c>
      <c r="D1801" s="15" t="str">
        <f ca="1">IFERROR(__xludf.DUMMYFUNCTION("""COMPUTED_VALUE"""),"Узбекистан")</f>
        <v>Узбекистан</v>
      </c>
      <c r="E1801" s="14"/>
      <c r="F1801" s="8" t="str">
        <f ca="1">IFERROR(__xludf.DUMMYFUNCTION("""COMPUTED_VALUE"""),"- Марафон Тишины - Тишина челлендж: Урал, Казахстан, Узбекистан 25-29.04.2022
- Тишина Челлендж (бесплатная часть)")</f>
        <v>- Марафон Тишины - Тишина челлендж: Урал, Казахстан, Узбекистан 25-29.04.2022
- Тишина Челлендж (бесплатная часть)</v>
      </c>
      <c r="G1801" s="14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</row>
    <row r="1802" spans="1:26" ht="25.5">
      <c r="A1802" s="14" t="str">
        <f ca="1">IFERROR(__xludf.DUMMYFUNCTION("""COMPUTED_VALUE"""),"Ina Tīdemane")</f>
        <v>Ina Tīdemane</v>
      </c>
      <c r="B1802" s="14" t="str">
        <f ca="1">IFERROR(__xludf.DUMMYFUNCTION("""COMPUTED_VALUE"""),"saulesauto@inbox.lv")</f>
        <v>saulesauto@inbox.lv</v>
      </c>
      <c r="C1802" s="15" t="str">
        <f ca="1">IFERROR(__xludf.DUMMYFUNCTION("""COMPUTED_VALUE"""),"+371 26423269")</f>
        <v>+371 26423269</v>
      </c>
      <c r="D1802" s="15" t="str">
        <f ca="1">IFERROR(__xludf.DUMMYFUNCTION("""COMPUTED_VALUE"""),"Латвия")</f>
        <v>Латвия</v>
      </c>
      <c r="E1802" s="14"/>
      <c r="F1802" s="8" t="str">
        <f ca="1">IFERROR(__xludf.DUMMYFUNCTION("""COMPUTED_VALUE"""),"- Шаг к Пробуждению №5 на латышском Латвия LV 11-18 декабря 2021 года ")</f>
        <v xml:space="preserve">- Шаг к Пробуждению №5 на латышском Латвия LV 11-18 декабря 2021 года </v>
      </c>
      <c r="G1802" s="14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</row>
    <row r="1803" spans="1:26" ht="25.5">
      <c r="A1803" s="14" t="str">
        <f ca="1">IFERROR(__xludf.DUMMYFUNCTION("""COMPUTED_VALUE"""),"Ливана Волк")</f>
        <v>Ливана Волк</v>
      </c>
      <c r="B1803" s="14" t="str">
        <f ca="1">IFERROR(__xludf.DUMMYFUNCTION("""COMPUTED_VALUE"""),"saveleva707.lida.z@gmail.com")</f>
        <v>saveleva707.lida.z@gmail.com</v>
      </c>
      <c r="C1803" s="15" t="str">
        <f ca="1">IFERROR(__xludf.DUMMYFUNCTION("""COMPUTED_VALUE"""),"+77773609473")</f>
        <v>+77773609473</v>
      </c>
      <c r="D1803" s="15"/>
      <c r="E1803" s="14"/>
      <c r="F180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03" s="14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</row>
    <row r="1804" spans="1:26" ht="25.5">
      <c r="A1804" s="14" t="str">
        <f ca="1">IFERROR(__xludf.DUMMYFUNCTION("""COMPUTED_VALUE"""),"Лариса Савина")</f>
        <v>Лариса Савина</v>
      </c>
      <c r="B1804" s="14" t="str">
        <f ca="1">IFERROR(__xludf.DUMMYFUNCTION("""COMPUTED_VALUE"""),"Savinalarisa1310@gmail.com")</f>
        <v>Savinalarisa1310@gmail.com</v>
      </c>
      <c r="C1804" s="15" t="str">
        <f ca="1">IFERROR(__xludf.DUMMYFUNCTION("""COMPUTED_VALUE"""),"+79097794943")</f>
        <v>+79097794943</v>
      </c>
      <c r="D1804" s="15"/>
      <c r="E1804" s="14"/>
      <c r="F180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04" s="14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</row>
    <row r="1805" spans="1:26" ht="25.5">
      <c r="A1805" s="14" t="str">
        <f ca="1">IFERROR(__xludf.DUMMYFUNCTION("""COMPUTED_VALUE"""),"Сайёра Аллаева")</f>
        <v>Сайёра Аллаева</v>
      </c>
      <c r="B1805" s="14" t="str">
        <f ca="1">IFERROR(__xludf.DUMMYFUNCTION("""COMPUTED_VALUE"""),"say1981@bk.ru")</f>
        <v>say1981@bk.ru</v>
      </c>
      <c r="C1805" s="15" t="str">
        <f ca="1">IFERROR(__xludf.DUMMYFUNCTION("""COMPUTED_VALUE"""),"+998909326040")</f>
        <v>+998909326040</v>
      </c>
      <c r="D1805" s="15" t="str">
        <f ca="1">IFERROR(__xludf.DUMMYFUNCTION("""COMPUTED_VALUE"""),"Узбекистан")</f>
        <v>Узбекистан</v>
      </c>
      <c r="E1805" s="14"/>
      <c r="F1805" s="8" t="str">
        <f ca="1">IFERROR(__xludf.DUMMYFUNCTION("""COMPUTED_VALUE"""),"- Домашний интенсив ""Прорыв в настоящий момент"" (ДИ2-12)  декабря 2021")</f>
        <v>- Домашний интенсив "Прорыв в настоящий момент" (ДИ2-12)  декабря 2021</v>
      </c>
      <c r="G1805" s="14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</row>
    <row r="1806" spans="1:26" ht="25.5">
      <c r="A1806" s="14" t="str">
        <f ca="1">IFERROR(__xludf.DUMMYFUNCTION("""COMPUTED_VALUE"""),"Жанболат Куантаев")</f>
        <v>Жанболат Куантаев</v>
      </c>
      <c r="B1806" s="14" t="str">
        <f ca="1">IFERROR(__xludf.DUMMYFUNCTION("""COMPUTED_VALUE"""),"Sayatovich.z@gmail.com")</f>
        <v>Sayatovich.z@gmail.com</v>
      </c>
      <c r="C1806" s="15" t="str">
        <f ca="1">IFERROR(__xludf.DUMMYFUNCTION("""COMPUTED_VALUE"""),"87059876021")</f>
        <v>87059876021</v>
      </c>
      <c r="D1806" s="15"/>
      <c r="E1806" s="14"/>
      <c r="F180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06" s="14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</row>
    <row r="1807" spans="1:26" ht="25.5">
      <c r="A1807" s="14" t="str">
        <f ca="1">IFERROR(__xludf.DUMMYFUNCTION("""COMPUTED_VALUE"""),"Svetlana Grant")</f>
        <v>Svetlana Grant</v>
      </c>
      <c r="B1807" s="14" t="str">
        <f ca="1">IFERROR(__xludf.DUMMYFUNCTION("""COMPUTED_VALUE"""),"sbertosh@gmail.com")</f>
        <v>sbertosh@gmail.com</v>
      </c>
      <c r="C1807" s="15" t="str">
        <f ca="1">IFERROR(__xludf.DUMMYFUNCTION("""COMPUTED_VALUE"""),"+447727683845")</f>
        <v>+447727683845</v>
      </c>
      <c r="D1807" s="15" t="str">
        <f ca="1">IFERROR(__xludf.DUMMYFUNCTION("""COMPUTED_VALUE"""),"США")</f>
        <v>США</v>
      </c>
      <c r="E1807" s="14"/>
      <c r="F1807" s="8" t="str">
        <f ca="1">IFERROR(__xludf.DUMMYFUNCTION("""COMPUTED_VALUE"""),"- Онлайн курс Шаг к Пробуждению №15 29.1-8.02.22 Пакет стандартный")</f>
        <v>- Онлайн курс Шаг к Пробуждению №15 29.1-8.02.22 Пакет стандартный</v>
      </c>
      <c r="G1807" s="14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</row>
    <row r="1808" spans="1:26" ht="63.75">
      <c r="A1808" s="14" t="str">
        <f ca="1">IFERROR(__xludf.DUMMYFUNCTION("""COMPUTED_VALUE"""),"ДАРЬЯ ФУРСЕНКО")</f>
        <v>ДАРЬЯ ФУРСЕНКО</v>
      </c>
      <c r="B1808" s="14" t="str">
        <f ca="1">IFERROR(__xludf.DUMMYFUNCTION("""COMPUTED_VALUE"""),"Scarlet_domini@mail.ru")</f>
        <v>Scarlet_domini@mail.ru</v>
      </c>
      <c r="C1808" s="15" t="str">
        <f ca="1">IFERROR(__xludf.DUMMYFUNCTION("""COMPUTED_VALUE"""),"79263978128")</f>
        <v>79263978128</v>
      </c>
      <c r="D1808" s="15" t="str">
        <f ca="1">IFERROR(__xludf.DUMMYFUNCTION("""COMPUTED_VALUE"""),"Россия")</f>
        <v>Россия</v>
      </c>
      <c r="E1808" s="14" t="str">
        <f ca="1">IFERROR(__xludf.DUMMYFUNCTION("""COMPUTED_VALUE"""),"Darygrim")</f>
        <v>Darygrim</v>
      </c>
      <c r="F1808" s="8" t="str">
        <f ca="1">IFERROR(__xludf.DUMMYFUNCTION("""COMPUTED_VALUE"""),"- КОНСПЕКТИРОВАНИЕ лекций ГЕНАДИЯ - Декабрь ""21
- КОНСПЕКТИРОВАНИЕ лекций ГЕНАДИЯ - Январь""22
- КОНСПЕКТИРОВАНИЕ лекций ГЕНАДИЯ - Февраль ""22
- КОНСПЕКТИРОВАНИЕ лекций ГЕНАДИЯ - Март ""22
- КОНСПЕКТИРОВАНИЕ лекций ГЕНАДИЯ - Апрель ""22")</f>
        <v>- КОНСПЕКТИРОВАНИЕ лекций ГЕНАДИЯ - Декабрь "21
- КОНСПЕКТИРОВАНИЕ лекций ГЕНАДИЯ - Январь"22
- КОНСПЕКТИРОВАНИЕ лекций ГЕНАДИЯ - Февраль "22
- КОНСПЕКТИРОВАНИЕ лекций ГЕНАДИЯ - Март "22
- КОНСПЕКТИРОВАНИЕ лекций ГЕНАДИЯ - Апрель "22</v>
      </c>
      <c r="G1808" s="14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</row>
    <row r="1809" spans="1:26" ht="14.25">
      <c r="A1809" s="14" t="str">
        <f ca="1">IFERROR(__xludf.DUMMYFUNCTION("""COMPUTED_VALUE"""),"werwer werwerwer")</f>
        <v>werwer werwerwer</v>
      </c>
      <c r="B1809" s="14" t="str">
        <f ca="1">IFERROR(__xludf.DUMMYFUNCTION("""COMPUTED_VALUE"""),"sdfdsfsdffd@gmail.com")</f>
        <v>sdfdsfsdffd@gmail.com</v>
      </c>
      <c r="C1809" s="15" t="str">
        <f ca="1">IFERROR(__xludf.DUMMYFUNCTION("""COMPUTED_VALUE"""),", +72228883333")</f>
        <v>, +72228883333</v>
      </c>
      <c r="D1809" s="15" t="str">
        <f ca="1">IFERROR(__xludf.DUMMYFUNCTION("""COMPUTED_VALUE"""),"Россия")</f>
        <v>Россия</v>
      </c>
      <c r="E1809" s="14"/>
      <c r="F1809" s="8" t="str">
        <f ca="1">IFERROR(__xludf.DUMMYFUNCTION("""COMPUTED_VALUE"""),"Мероприятий не обнаружено")</f>
        <v>Мероприятий не обнаружено</v>
      </c>
      <c r="G1809" s="14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</row>
    <row r="1810" spans="1:26" ht="76.5">
      <c r="A1810" s="14" t="str">
        <f ca="1">IFERROR(__xludf.DUMMYFUNCTION("""COMPUTED_VALUE"""),"Кожевников Андрей")</f>
        <v>Кожевников Андрей</v>
      </c>
      <c r="B1810" s="14" t="str">
        <f ca="1">IFERROR(__xludf.DUMMYFUNCTION("""COMPUTED_VALUE"""),"sedoy7948@gmail.com")</f>
        <v>sedoy7948@gmail.com</v>
      </c>
      <c r="C1810" s="15" t="str">
        <f ca="1">IFERROR(__xludf.DUMMYFUNCTION("""COMPUTED_VALUE"""),"+79046816472")</f>
        <v>+79046816472</v>
      </c>
      <c r="D1810" s="15" t="str">
        <f ca="1">IFERROR(__xludf.DUMMYFUNCTION("""COMPUTED_VALUE"""),"Россия")</f>
        <v>Россия</v>
      </c>
      <c r="E1810" s="14" t="str">
        <f ca="1">IFERROR(__xludf.DUMMYFUNCTION("""COMPUTED_VALUE"""),"@KozhevnikoV_AN")</f>
        <v>@KozhevnikoV_AN</v>
      </c>
      <c r="F1810" s="8" t="str">
        <f ca="1">IFERROR(__xludf.DUMMYFUNCTION("""COMPUTED_VALUE"""),"- КОНСПЕКТИРОВАНИЕ лекций ГЕНАДИЯ - Декабрь ""21
- Заявка на СЪЕЗД+ФЕСТИВАЛЬ ""Мы вместе"" 3-8.01.22
- КОНСПЕКТИРОВАНИЕ лекций ГЕНАДИЯ - Январь""22
- КОНСПЕКТИРОВАНИЕ лекций ГЕНАДИЯ - Февраль ""22
- КОНСПЕКТИРОВАНИЕ лекций ГЕНАДИЯ - Март ""22
- КОНСПЕКТИР"&amp;"ОВАНИЕ лекций ГЕНАДИЯ - Апрель ""22")</f>
        <v>- КОНСПЕКТИРОВАНИЕ лекций ГЕНАДИЯ - Декабрь "21
- Заявка на СЪЕЗД+ФЕСТИВАЛЬ "Мы вместе" 3-8.01.22
- КОНСПЕКТИРОВАНИЕ лекций ГЕНАДИЯ - Январь"22
- КОНСПЕКТИРОВАНИЕ лекций ГЕНАДИЯ - Февраль "22
- КОНСПЕКТИРОВАНИЕ лекций ГЕНАДИЯ - Март "22
- КОНСПЕКТИРОВАНИЕ лекций ГЕНАДИЯ - Апрель "22</v>
      </c>
      <c r="G1810" s="14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</row>
    <row r="1811" spans="1:26" ht="14.25">
      <c r="A1811" s="14" t="str">
        <f ca="1">IFERROR(__xludf.DUMMYFUNCTION("""COMPUTED_VALUE"""),"sekretik444,  ")</f>
        <v xml:space="preserve">sekretik444,  </v>
      </c>
      <c r="B1811" s="14" t="str">
        <f ca="1">IFERROR(__xludf.DUMMYFUNCTION("""COMPUTED_VALUE"""),"sekretik444@mail.ru")</f>
        <v>sekretik444@mail.ru</v>
      </c>
      <c r="C1811" s="15"/>
      <c r="D1811" s="15"/>
      <c r="E1811" s="14"/>
      <c r="F1811" s="8" t="str">
        <f ca="1">IFERROR(__xludf.DUMMYFUNCTION("""COMPUTED_VALUE"""),"- USA Челлендж Тишина")</f>
        <v>- USA Челлендж Тишина</v>
      </c>
      <c r="G1811" s="14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</row>
    <row r="1812" spans="1:26" ht="14.25">
      <c r="A1812" s="14" t="str">
        <f ca="1">IFERROR(__xludf.DUMMYFUNCTION("""COMPUTED_VALUE"""),"Никита Никачёв")</f>
        <v>Никита Никачёв</v>
      </c>
      <c r="B1812" s="14" t="str">
        <f ca="1">IFERROR(__xludf.DUMMYFUNCTION("""COMPUTED_VALUE"""),"selilron@yandex.ru")</f>
        <v>selilron@yandex.ru</v>
      </c>
      <c r="C1812" s="15" t="str">
        <f ca="1">IFERROR(__xludf.DUMMYFUNCTION("""COMPUTED_VALUE"""),"79997883306")</f>
        <v>79997883306</v>
      </c>
      <c r="D1812" s="15" t="str">
        <f ca="1">IFERROR(__xludf.DUMMYFUNCTION("""COMPUTED_VALUE"""),"США")</f>
        <v>США</v>
      </c>
      <c r="E1812" s="14"/>
      <c r="F1812" s="8" t="str">
        <f ca="1">IFERROR(__xludf.DUMMYFUNCTION("""COMPUTED_VALUE"""),"- Выездной ретрит Воронеж-Липецк 25-27.2.2022")</f>
        <v>- Выездной ретрит Воронеж-Липецк 25-27.2.2022</v>
      </c>
      <c r="G1812" s="14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</row>
    <row r="1813" spans="1:26" ht="14.25">
      <c r="A1813" s="14" t="str">
        <f ca="1">IFERROR(__xludf.DUMMYFUNCTION("""COMPUTED_VALUE"""),"Андрей Селиван")</f>
        <v>Андрей Селиван</v>
      </c>
      <c r="B1813" s="14" t="str">
        <f ca="1">IFERROR(__xludf.DUMMYFUNCTION("""COMPUTED_VALUE"""),"Selivan_andrei@mail.ru")</f>
        <v>Selivan_andrei@mail.ru</v>
      </c>
      <c r="C1813" s="15" t="str">
        <f ca="1">IFERROR(__xludf.DUMMYFUNCTION("""COMPUTED_VALUE"""),"+380713809663")</f>
        <v>+380713809663</v>
      </c>
      <c r="D1813" s="15" t="str">
        <f ca="1">IFERROR(__xludf.DUMMYFUNCTION("""COMPUTED_VALUE"""),"Украина")</f>
        <v>Украина</v>
      </c>
      <c r="E1813" s="14"/>
      <c r="F1813" s="8" t="str">
        <f ca="1">IFERROR(__xludf.DUMMYFUNCTION("""COMPUTED_VALUE"""),"- Вебинар все о ретрите 12.2.2022")</f>
        <v>- Вебинар все о ретрите 12.2.2022</v>
      </c>
      <c r="G1813" s="14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</row>
    <row r="1814" spans="1:26" ht="14.25">
      <c r="A1814" s="14" t="str">
        <f ca="1">IFERROR(__xludf.DUMMYFUNCTION("""COMPUTED_VALUE"""),"Кристина Врещ")</f>
        <v>Кристина Врещ</v>
      </c>
      <c r="B1814" s="14" t="str">
        <f ca="1">IFERROR(__xludf.DUMMYFUNCTION("""COMPUTED_VALUE"""),"Selleniya@mail.ru")</f>
        <v>Selleniya@mail.ru</v>
      </c>
      <c r="C1814" s="15" t="str">
        <f ca="1">IFERROR(__xludf.DUMMYFUNCTION("""COMPUTED_VALUE"""),"375256893172")</f>
        <v>375256893172</v>
      </c>
      <c r="D1814" s="15" t="str">
        <f ca="1">IFERROR(__xludf.DUMMYFUNCTION("""COMPUTED_VALUE"""),"Беларусь")</f>
        <v>Беларусь</v>
      </c>
      <c r="E1814" s="14"/>
      <c r="F1814" s="8" t="str">
        <f ca="1">IFERROR(__xludf.DUMMYFUNCTION("""COMPUTED_VALUE"""),"- Тишина Челлендж (бесплатная часть)")</f>
        <v>- Тишина Челлендж (бесплатная часть)</v>
      </c>
      <c r="G1814" s="14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</row>
    <row r="1815" spans="1:26" ht="14.25">
      <c r="A1815" s="14" t="str">
        <f ca="1">IFERROR(__xludf.DUMMYFUNCTION("""COMPUTED_VALUE"""),"Надежда Шеломанова")</f>
        <v>Надежда Шеломанова</v>
      </c>
      <c r="B1815" s="14" t="str">
        <f ca="1">IFERROR(__xludf.DUMMYFUNCTION("""COMPUTED_VALUE"""),"selomanovanadezda@gmail.com")</f>
        <v>selomanovanadezda@gmail.com</v>
      </c>
      <c r="C1815" s="15" t="str">
        <f ca="1">IFERROR(__xludf.DUMMYFUNCTION("""COMPUTED_VALUE"""),"+79156617903")</f>
        <v>+79156617903</v>
      </c>
      <c r="D1815" s="15" t="str">
        <f ca="1">IFERROR(__xludf.DUMMYFUNCTION("""COMPUTED_VALUE"""),"Россия")</f>
        <v>Россия</v>
      </c>
      <c r="E1815" s="14" t="str">
        <f ca="1">IFERROR(__xludf.DUMMYFUNCTION("""COMPUTED_VALUE"""),"Надежда ")</f>
        <v xml:space="preserve">Надежда </v>
      </c>
      <c r="F1815" s="8" t="str">
        <f ca="1">IFERROR(__xludf.DUMMYFUNCTION("""COMPUTED_VALUE"""),"- Тишина Челлендж (бесплатная часть)")</f>
        <v>- Тишина Челлендж (бесплатная часть)</v>
      </c>
      <c r="G1815" s="14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</row>
    <row r="1816" spans="1:26" ht="14.25">
      <c r="A1816" s="14" t="str">
        <f ca="1">IFERROR(__xludf.DUMMYFUNCTION("""COMPUTED_VALUE"""),"Татьяна Чалышева")</f>
        <v>Татьяна Чалышева</v>
      </c>
      <c r="B1816" s="14" t="str">
        <f ca="1">IFERROR(__xludf.DUMMYFUNCTION("""COMPUTED_VALUE"""),"semarita2013@yandex.du")</f>
        <v>semarita2013@yandex.du</v>
      </c>
      <c r="C1816" s="15" t="str">
        <f ca="1">IFERROR(__xludf.DUMMYFUNCTION("""COMPUTED_VALUE"""),", +79223045453")</f>
        <v>, +79223045453</v>
      </c>
      <c r="D1816" s="15" t="str">
        <f ca="1">IFERROR(__xludf.DUMMYFUNCTION("""COMPUTED_VALUE"""),"США")</f>
        <v>США</v>
      </c>
      <c r="E1816" s="14"/>
      <c r="F1816" s="8" t="str">
        <f ca="1">IFERROR(__xludf.DUMMYFUNCTION("""COMPUTED_VALUE"""),"Мероприятий не обнаружено")</f>
        <v>Мероприятий не обнаружено</v>
      </c>
      <c r="G1816" s="14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</row>
    <row r="1817" spans="1:26" ht="14.25">
      <c r="A1817" s="14" t="str">
        <f ca="1">IFERROR(__xludf.DUMMYFUNCTION("""COMPUTED_VALUE"""),"semarita2013,  ")</f>
        <v xml:space="preserve">semarita2013,  </v>
      </c>
      <c r="B1817" s="14" t="str">
        <f ca="1">IFERROR(__xludf.DUMMYFUNCTION("""COMPUTED_VALUE"""),"semarita2013@yandex.ru")</f>
        <v>semarita2013@yandex.ru</v>
      </c>
      <c r="C1817" s="15"/>
      <c r="D1817" s="15"/>
      <c r="E1817" s="14"/>
      <c r="F1817" s="8" t="str">
        <f ca="1">IFERROR(__xludf.DUMMYFUNCTION("""COMPUTED_VALUE"""),"- Челлендж Тишины")</f>
        <v>- Челлендж Тишины</v>
      </c>
      <c r="G1817" s="14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</row>
    <row r="1818" spans="1:26" ht="25.5">
      <c r="A1818" s="14" t="str">
        <f ca="1">IFERROR(__xludf.DUMMYFUNCTION("""COMPUTED_VALUE"""),"Лёка М")</f>
        <v>Лёка М</v>
      </c>
      <c r="B1818" s="14" t="str">
        <f ca="1">IFERROR(__xludf.DUMMYFUNCTION("""COMPUTED_VALUE"""),"Sentnt1v@gmail.com")</f>
        <v>Sentnt1v@gmail.com</v>
      </c>
      <c r="C1818" s="15" t="str">
        <f ca="1">IFERROR(__xludf.DUMMYFUNCTION("""COMPUTED_VALUE"""),"77010231114")</f>
        <v>77010231114</v>
      </c>
      <c r="D1818" s="15"/>
      <c r="E1818" s="14"/>
      <c r="F181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18" s="14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</row>
    <row r="1819" spans="1:26" ht="25.5">
      <c r="A1819" s="14" t="str">
        <f ca="1">IFERROR(__xludf.DUMMYFUNCTION("""COMPUTED_VALUE"""),"Елизавета Тонких")</f>
        <v>Елизавета Тонких</v>
      </c>
      <c r="B1819" s="14" t="str">
        <f ca="1">IFERROR(__xludf.DUMMYFUNCTION("""COMPUTED_VALUE"""),"Seoelizaveta@gmail.com")</f>
        <v>Seoelizaveta@gmail.com</v>
      </c>
      <c r="C1819" s="15" t="str">
        <f ca="1">IFERROR(__xludf.DUMMYFUNCTION("""COMPUTED_VALUE"""),"+998900976611")</f>
        <v>+998900976611</v>
      </c>
      <c r="D1819" s="15"/>
      <c r="E1819" s="14"/>
      <c r="F181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19" s="14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</row>
    <row r="1820" spans="1:26" ht="38.25">
      <c r="A1820" s="14" t="str">
        <f ca="1">IFERROR(__xludf.DUMMYFUNCTION("""COMPUTED_VALUE"""),"АЛЕКСАНДР ВЕЛИЧКО")</f>
        <v>АЛЕКСАНДР ВЕЛИЧКО</v>
      </c>
      <c r="B1820" s="14" t="str">
        <f ca="1">IFERROR(__xludf.DUMMYFUNCTION("""COMPUTED_VALUE"""),"Serdce247@mail.ru")</f>
        <v>Serdce247@mail.ru</v>
      </c>
      <c r="C1820" s="15" t="str">
        <f ca="1">IFERROR(__xludf.DUMMYFUNCTION("""COMPUTED_VALUE"""),"79884966976")</f>
        <v>79884966976</v>
      </c>
      <c r="D1820" s="15" t="str">
        <f ca="1">IFERROR(__xludf.DUMMYFUNCTION("""COMPUTED_VALUE"""),"Россия")</f>
        <v>Россия</v>
      </c>
      <c r="E1820" s="14" t="str">
        <f ca="1">IFERROR(__xludf.DUMMYFUNCTION("""COMPUTED_VALUE"""),"@fenix2027")</f>
        <v>@fenix2027</v>
      </c>
      <c r="F1820" s="8" t="str">
        <f ca="1">IFERROR(__xludf.DUMMYFUNCTION("""COMPUTED_VALUE"""),"- Городской ретрит в Санкт-Петербурге 25-27 февраля
- Сатсанг с Валентиной Пулло в Питере 7.5.2022
- Городской интенсив Санкт-Петербург 27-29.05.2022")</f>
        <v>- Городской ретрит в Санкт-Петербурге 25-27 февраля
- Сатсанг с Валентиной Пулло в Питере 7.5.2022
- Городской интенсив Санкт-Петербург 27-29.05.2022</v>
      </c>
      <c r="G1820" s="14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</row>
    <row r="1821" spans="1:26" ht="14.25">
      <c r="A1821" s="14" t="str">
        <f ca="1">IFERROR(__xludf.DUMMYFUNCTION("""COMPUTED_VALUE"""),"Виталия Середенко")</f>
        <v>Виталия Середенко</v>
      </c>
      <c r="B1821" s="14" t="str">
        <f ca="1">IFERROR(__xludf.DUMMYFUNCTION("""COMPUTED_VALUE"""),"seredenkovitalia61@gmail.com")</f>
        <v>seredenkovitalia61@gmail.com</v>
      </c>
      <c r="C1821" s="15"/>
      <c r="D1821" s="15" t="str">
        <f ca="1">IFERROR(__xludf.DUMMYFUNCTION("""COMPUTED_VALUE"""),"Украина")</f>
        <v>Украина</v>
      </c>
      <c r="E1821" s="14"/>
      <c r="F1821" s="8" t="str">
        <f ca="1">IFERROR(__xludf.DUMMYFUNCTION("""COMPUTED_VALUE"""),"- Тишина Челлендж (бесплатная часть)")</f>
        <v>- Тишина Челлендж (бесплатная часть)</v>
      </c>
      <c r="G1821" s="14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</row>
    <row r="1822" spans="1:26" ht="14.25">
      <c r="A1822" s="14" t="str">
        <f ca="1">IFERROR(__xludf.DUMMYFUNCTION("""COMPUTED_VALUE"""),"Сергей Грачёв")</f>
        <v>Сергей Грачёв</v>
      </c>
      <c r="B1822" s="14" t="str">
        <f ca="1">IFERROR(__xludf.DUMMYFUNCTION("""COMPUTED_VALUE"""),"serega_4ever17@mail.ru")</f>
        <v>serega_4ever17@mail.ru</v>
      </c>
      <c r="C1822" s="15" t="str">
        <f ca="1">IFERROR(__xludf.DUMMYFUNCTION("""COMPUTED_VALUE"""),"79057151755")</f>
        <v>79057151755</v>
      </c>
      <c r="D1822" s="15" t="str">
        <f ca="1">IFERROR(__xludf.DUMMYFUNCTION("""COMPUTED_VALUE"""),"Россия")</f>
        <v>Россия</v>
      </c>
      <c r="E1822" s="14"/>
      <c r="F1822" s="8" t="str">
        <f ca="1">IFERROR(__xludf.DUMMYFUNCTION("""COMPUTED_VALUE"""),"- Базовая бесплатная часть")</f>
        <v>- Базовая бесплатная часть</v>
      </c>
      <c r="G1822" s="14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</row>
    <row r="1823" spans="1:26" ht="14.25">
      <c r="A1823" s="14" t="str">
        <f ca="1">IFERROR(__xludf.DUMMYFUNCTION("""COMPUTED_VALUE"""),"Сергей Битнер")</f>
        <v>Сергей Битнер</v>
      </c>
      <c r="B1823" s="14" t="str">
        <f ca="1">IFERROR(__xludf.DUMMYFUNCTION("""COMPUTED_VALUE"""),"Serega015@gmail.com")</f>
        <v>Serega015@gmail.com</v>
      </c>
      <c r="C1823" s="15" t="str">
        <f ca="1">IFERROR(__xludf.DUMMYFUNCTION("""COMPUTED_VALUE"""),"+79091156643")</f>
        <v>+79091156643</v>
      </c>
      <c r="D1823" s="15" t="str">
        <f ca="1">IFERROR(__xludf.DUMMYFUNCTION("""COMPUTED_VALUE"""),"Россия")</f>
        <v>Россия</v>
      </c>
      <c r="E1823" s="14"/>
      <c r="F1823" s="8" t="str">
        <f ca="1">IFERROR(__xludf.DUMMYFUNCTION("""COMPUTED_VALUE"""),"- Тишина Челлендж (бесплатная часть)")</f>
        <v>- Тишина Челлендж (бесплатная часть)</v>
      </c>
      <c r="G1823" s="14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</row>
    <row r="1824" spans="1:26" ht="14.25">
      <c r="A1824" s="14" t="str">
        <f ca="1">IFERROR(__xludf.DUMMYFUNCTION("""COMPUTED_VALUE"""),"Сергей Рябов")</f>
        <v>Сергей Рябов</v>
      </c>
      <c r="B1824" s="14" t="str">
        <f ca="1">IFERROR(__xludf.DUMMYFUNCTION("""COMPUTED_VALUE"""),"serg.ilnur@yandex.ru")</f>
        <v>serg.ilnur@yandex.ru</v>
      </c>
      <c r="C1824" s="15" t="str">
        <f ca="1">IFERROR(__xludf.DUMMYFUNCTION("""COMPUTED_VALUE"""),"+79513462716")</f>
        <v>+79513462716</v>
      </c>
      <c r="D1824" s="15"/>
      <c r="E1824" s="14"/>
      <c r="F1824" s="8" t="str">
        <f ca="1">IFERROR(__xludf.DUMMYFUNCTION("""COMPUTED_VALUE"""),"- Партнерская программа")</f>
        <v>- Партнерская программа</v>
      </c>
      <c r="G1824" s="14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</row>
    <row r="1825" spans="1:26" ht="14.25">
      <c r="A1825" s="14" t="str">
        <f ca="1">IFERROR(__xludf.DUMMYFUNCTION("""COMPUTED_VALUE"""),"Сергей Барин")</f>
        <v>Сергей Барин</v>
      </c>
      <c r="B1825" s="14" t="str">
        <f ca="1">IFERROR(__xludf.DUMMYFUNCTION("""COMPUTED_VALUE"""),"sergei-astana@mail.ru")</f>
        <v>sergei-astana@mail.ru</v>
      </c>
      <c r="C1825" s="15"/>
      <c r="D1825" s="15" t="str">
        <f ca="1">IFERROR(__xludf.DUMMYFUNCTION("""COMPUTED_VALUE"""),"Турция")</f>
        <v>Турция</v>
      </c>
      <c r="E1825" s="14"/>
      <c r="F1825" s="8" t="str">
        <f ca="1">IFERROR(__xludf.DUMMYFUNCTION("""COMPUTED_VALUE"""),"- Тишина Челлендж (бесплатная часть)")</f>
        <v>- Тишина Челлендж (бесплатная часть)</v>
      </c>
      <c r="G1825" s="14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</row>
    <row r="1826" spans="1:26" ht="14.25">
      <c r="A1826" s="14" t="str">
        <f ca="1">IFERROR(__xludf.DUMMYFUNCTION("""COMPUTED_VALUE"""),"СЕРГЕЙ ВАСИЛЬЕВ")</f>
        <v>СЕРГЕЙ ВАСИЛЬЕВ</v>
      </c>
      <c r="B1826" s="14" t="str">
        <f ca="1">IFERROR(__xludf.DUMMYFUNCTION("""COMPUTED_VALUE"""),"sergei.ds74301@mail.ru")</f>
        <v>sergei.ds74301@mail.ru</v>
      </c>
      <c r="C1826" s="15" t="str">
        <f ca="1">IFERROR(__xludf.DUMMYFUNCTION("""COMPUTED_VALUE"""),"+79003320509")</f>
        <v>+79003320509</v>
      </c>
      <c r="D1826" s="15" t="str">
        <f ca="1">IFERROR(__xludf.DUMMYFUNCTION("""COMPUTED_VALUE"""),"Россия")</f>
        <v>Россия</v>
      </c>
      <c r="E1826" s="14" t="str">
        <f ca="1">IFERROR(__xludf.DUMMYFUNCTION("""COMPUTED_VALUE"""),"@sergei_nv")</f>
        <v>@sergei_nv</v>
      </c>
      <c r="F1826" s="8" t="str">
        <f ca="1">IFERROR(__xludf.DUMMYFUNCTION("""COMPUTED_VALUE"""),"- Однодневный ретрит Россия 14 мая 2022")</f>
        <v>- Однодневный ретрит Россия 14 мая 2022</v>
      </c>
      <c r="G1826" s="14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</row>
    <row r="1827" spans="1:26" ht="14.25">
      <c r="A1827" s="14" t="str">
        <f ca="1">IFERROR(__xludf.DUMMYFUNCTION("""COMPUTED_VALUE"""),"sergejcukkata,  ")</f>
        <v xml:space="preserve">sergejcukkata,  </v>
      </c>
      <c r="B1827" s="14" t="str">
        <f ca="1">IFERROR(__xludf.DUMMYFUNCTION("""COMPUTED_VALUE"""),"sergejcukkata@gmail.com")</f>
        <v>sergejcukkata@gmail.com</v>
      </c>
      <c r="C1827" s="15"/>
      <c r="D1827" s="15"/>
      <c r="E1827" s="14"/>
      <c r="F1827" s="8" t="str">
        <f ca="1">IFERROR(__xludf.DUMMYFUNCTION("""COMPUTED_VALUE"""),"- Челлендж Тишины")</f>
        <v>- Челлендж Тишины</v>
      </c>
      <c r="G1827" s="14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</row>
    <row r="1828" spans="1:26" ht="14.25">
      <c r="A1828" s="14" t="str">
        <f ca="1">IFERROR(__xludf.DUMMYFUNCTION("""COMPUTED_VALUE"""),"Сергей Ушанов")</f>
        <v>Сергей Ушанов</v>
      </c>
      <c r="B1828" s="14" t="str">
        <f ca="1">IFERROR(__xludf.DUMMYFUNCTION("""COMPUTED_VALUE"""),"sergey.ushanov.1953@gmail.com")</f>
        <v>sergey.ushanov.1953@gmail.com</v>
      </c>
      <c r="C1828" s="15" t="str">
        <f ca="1">IFERROR(__xludf.DUMMYFUNCTION("""COMPUTED_VALUE"""),"+79261128921")</f>
        <v>+79261128921</v>
      </c>
      <c r="D1828" s="15"/>
      <c r="E1828" s="14"/>
      <c r="F1828" s="8" t="str">
        <f ca="1">IFERROR(__xludf.DUMMYFUNCTION("""COMPUTED_VALUE"""),"- Новогодний вечер в Givin School Москва 30.12.2021")</f>
        <v>- Новогодний вечер в Givin School Москва 30.12.2021</v>
      </c>
      <c r="G1828" s="14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</row>
    <row r="1829" spans="1:26" ht="25.5">
      <c r="A1829" s="14" t="str">
        <f ca="1">IFERROR(__xludf.DUMMYFUNCTION("""COMPUTED_VALUE"""),"Ирина Ковальчук")</f>
        <v>Ирина Ковальчук</v>
      </c>
      <c r="B1829" s="14" t="str">
        <f ca="1">IFERROR(__xludf.DUMMYFUNCTION("""COMPUTED_VALUE"""),"Sergunina_irina@mail.ru")</f>
        <v>Sergunina_irina@mail.ru</v>
      </c>
      <c r="C1829" s="15" t="str">
        <f ca="1">IFERROR(__xludf.DUMMYFUNCTION("""COMPUTED_VALUE"""),"+9988976167412")</f>
        <v>+9988976167412</v>
      </c>
      <c r="D1829" s="15"/>
      <c r="E1829" s="14"/>
      <c r="F182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29" s="14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</row>
    <row r="1830" spans="1:26" ht="14.25">
      <c r="A1830" s="14" t="str">
        <f ca="1">IFERROR(__xludf.DUMMYFUNCTION("""COMPUTED_VALUE"""),"Сергей Косаренко")</f>
        <v>Сергей Косаренко</v>
      </c>
      <c r="B1830" s="14" t="str">
        <f ca="1">IFERROR(__xludf.DUMMYFUNCTION("""COMPUTED_VALUE"""),"Serj_don@mail.ru")</f>
        <v>Serj_don@mail.ru</v>
      </c>
      <c r="C1830" s="15" t="str">
        <f ca="1">IFERROR(__xludf.DUMMYFUNCTION("""COMPUTED_VALUE"""),"79780837648")</f>
        <v>79780837648</v>
      </c>
      <c r="D1830" s="15"/>
      <c r="E1830" s="14"/>
      <c r="F1830" s="8" t="str">
        <f ca="1">IFERROR(__xludf.DUMMYFUNCTION("""COMPUTED_VALUE"""),"- Тишина Челлендж (бесплатная часть)")</f>
        <v>- Тишина Челлендж (бесплатная часть)</v>
      </c>
      <c r="G1830" s="14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</row>
    <row r="1831" spans="1:26" ht="14.25">
      <c r="A1831" s="14" t="str">
        <f ca="1">IFERROR(__xludf.DUMMYFUNCTION("""COMPUTED_VALUE"""),"Сергей Усов")</f>
        <v>Сергей Усов</v>
      </c>
      <c r="B1831" s="14" t="str">
        <f ca="1">IFERROR(__xludf.DUMMYFUNCTION("""COMPUTED_VALUE"""),"serj.usow86@yandex.ru")</f>
        <v>serj.usow86@yandex.ru</v>
      </c>
      <c r="C1831" s="15"/>
      <c r="D1831" s="15" t="str">
        <f ca="1">IFERROR(__xludf.DUMMYFUNCTION("""COMPUTED_VALUE"""),"Россия")</f>
        <v>Россия</v>
      </c>
      <c r="E1831" s="14"/>
      <c r="F1831" s="8" t="str">
        <f ca="1">IFERROR(__xludf.DUMMYFUNCTION("""COMPUTED_VALUE"""),"- Базовая бесплатная часть")</f>
        <v>- Базовая бесплатная часть</v>
      </c>
      <c r="G1831" s="14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</row>
    <row r="1832" spans="1:26" ht="25.5">
      <c r="A1832" s="14" t="str">
        <f ca="1">IFERROR(__xludf.DUMMYFUNCTION("""COMPUTED_VALUE"""),"Анастасия Серова")</f>
        <v>Анастасия Серова</v>
      </c>
      <c r="B1832" s="14" t="str">
        <f ca="1">IFERROR(__xludf.DUMMYFUNCTION("""COMPUTED_VALUE"""),"Serova0409@bk.ru")</f>
        <v>Serova0409@bk.ru</v>
      </c>
      <c r="C1832" s="15" t="str">
        <f ca="1">IFERROR(__xludf.DUMMYFUNCTION("""COMPUTED_VALUE"""),"87477274077")</f>
        <v>87477274077</v>
      </c>
      <c r="D1832" s="15"/>
      <c r="E1832" s="14"/>
      <c r="F183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32" s="14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</row>
    <row r="1833" spans="1:26" ht="14.25">
      <c r="A1833" s="14" t="str">
        <f ca="1">IFERROR(__xludf.DUMMYFUNCTION("""COMPUTED_VALUE"""),"Ольга Иванова")</f>
        <v>Ольга Иванова</v>
      </c>
      <c r="B1833" s="14" t="str">
        <f ca="1">IFERROR(__xludf.DUMMYFUNCTION("""COMPUTED_VALUE"""),"sertaki@mail.ru")</f>
        <v>sertaki@mail.ru</v>
      </c>
      <c r="C1833" s="15" t="str">
        <f ca="1">IFERROR(__xludf.DUMMYFUNCTION("""COMPUTED_VALUE"""),"79114095417")</f>
        <v>79114095417</v>
      </c>
      <c r="D1833" s="15" t="str">
        <f ca="1">IFERROR(__xludf.DUMMYFUNCTION("""COMPUTED_VALUE"""),"россия")</f>
        <v>россия</v>
      </c>
      <c r="E1833" s="14"/>
      <c r="F1833" s="8" t="str">
        <f ca="1">IFERROR(__xludf.DUMMYFUNCTION("""COMPUTED_VALUE"""),"- Тишина Челлендж (бесплатная часть)")</f>
        <v>- Тишина Челлендж (бесплатная часть)</v>
      </c>
      <c r="G1833" s="14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</row>
    <row r="1834" spans="1:26" ht="63.75">
      <c r="A1834" s="14" t="str">
        <f ca="1">IFERROR(__xludf.DUMMYFUNCTION("""COMPUTED_VALUE"""),"Сергей Долина")</f>
        <v>Сергей Долина</v>
      </c>
      <c r="B1834" s="14" t="str">
        <f ca="1">IFERROR(__xludf.DUMMYFUNCTION("""COMPUTED_VALUE"""),"serzh.dolina@inbox.ru")</f>
        <v>serzh.dolina@inbox.ru</v>
      </c>
      <c r="C1834" s="15" t="str">
        <f ca="1">IFERROR(__xludf.DUMMYFUNCTION("""COMPUTED_VALUE"""),"+79282670980")</f>
        <v>+79282670980</v>
      </c>
      <c r="D1834" s="15" t="str">
        <f ca="1">IFERROR(__xludf.DUMMYFUNCTION("""COMPUTED_VALUE"""),"Россия ")</f>
        <v xml:space="preserve">Россия </v>
      </c>
      <c r="E1834" s="14"/>
      <c r="F1834" s="8" t="str">
        <f ca="1">IFERROR(__xludf.DUMMYFUNCTION("""COMPUTED_VALUE"""),"- Ретрит в РЦ Сочи 19-27 марта 2022 (Оплата до 6 марта)
- Интенсив онлайн 11-13.03.2022 
- Онлайн курс Шаг к Пробуждению №17 2-19.4.22 Пакет индивидуальный
- Клуб пробуждения Друзья (Региональный)")</f>
        <v>- Ретрит в РЦ Сочи 19-27 марта 2022 (Оплата до 6 марта)
- Интенсив онлайн 11-13.03.2022 
- Онлайн курс Шаг к Пробуждению №17 2-19.4.22 Пакет индивидуальный
- Клуб пробуждения Друзья (Региональный)</v>
      </c>
      <c r="G1834" s="14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</row>
    <row r="1835" spans="1:26" ht="25.5">
      <c r="A1835" s="14" t="str">
        <f ca="1">IFERROR(__xludf.DUMMYFUNCTION("""COMPUTED_VALUE"""),"Серж Свой")</f>
        <v>Серж Свой</v>
      </c>
      <c r="B1835" s="14" t="str">
        <f ca="1">IFERROR(__xludf.DUMMYFUNCTION("""COMPUTED_VALUE"""),"Serzhsushi091@mail.ru")</f>
        <v>Serzhsushi091@mail.ru</v>
      </c>
      <c r="C1835" s="15" t="str">
        <f ca="1">IFERROR(__xludf.DUMMYFUNCTION("""COMPUTED_VALUE"""),"77787011157")</f>
        <v>77787011157</v>
      </c>
      <c r="D1835" s="15"/>
      <c r="E1835" s="14"/>
      <c r="F183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35" s="14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</row>
    <row r="1836" spans="1:26" ht="25.5">
      <c r="A1836" s="14" t="str">
        <f ca="1">IFERROR(__xludf.DUMMYFUNCTION("""COMPUTED_VALUE"""),"Ольга Дубовик")</f>
        <v>Ольга Дубовик</v>
      </c>
      <c r="B1836" s="14" t="str">
        <f ca="1">IFERROR(__xludf.DUMMYFUNCTION("""COMPUTED_VALUE"""),"sestra73@mail.ru")</f>
        <v>sestra73@mail.ru</v>
      </c>
      <c r="C1836" s="15" t="str">
        <f ca="1">IFERROR(__xludf.DUMMYFUNCTION("""COMPUTED_VALUE"""),"+375296874555")</f>
        <v>+375296874555</v>
      </c>
      <c r="D1836" s="15" t="str">
        <f ca="1">IFERROR(__xludf.DUMMYFUNCTION("""COMPUTED_VALUE"""),"Беларусь")</f>
        <v>Беларусь</v>
      </c>
      <c r="E1836" s="14"/>
      <c r="F1836" s="8" t="str">
        <f ca="1">IFERROR(__xludf.DUMMYFUNCTION("""COMPUTED_VALUE"""),"- Чайная встреча Разговор по душам Минск 11.12.2021
- Чайная встреча Новогодний огонек Минск 25.12.2021")</f>
        <v>- Чайная встреча Разговор по душам Минск 11.12.2021
- Чайная встреча Новогодний огонек Минск 25.12.2021</v>
      </c>
      <c r="G1836" s="14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</row>
    <row r="1837" spans="1:26" ht="25.5">
      <c r="A1837" s="14" t="str">
        <f ca="1">IFERROR(__xludf.DUMMYFUNCTION("""COMPUTED_VALUE"""),"Екатерина Смирнова")</f>
        <v>Екатерина Смирнова</v>
      </c>
      <c r="B1837" s="14" t="str">
        <f ca="1">IFERROR(__xludf.DUMMYFUNCTION("""COMPUTED_VALUE"""),"SEV-8991@mail.ru")</f>
        <v>SEV-8991@mail.ru</v>
      </c>
      <c r="C1837" s="15" t="str">
        <f ca="1">IFERROR(__xludf.DUMMYFUNCTION("""COMPUTED_VALUE"""),"87076252273")</f>
        <v>87076252273</v>
      </c>
      <c r="D1837" s="15"/>
      <c r="E1837" s="14"/>
      <c r="F183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37" s="14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</row>
    <row r="1838" spans="1:26" ht="25.5">
      <c r="A1838" s="14" t="str">
        <f ca="1">IFERROR(__xludf.DUMMYFUNCTION("""COMPUTED_VALUE"""),"Севара Абдумуминова")</f>
        <v>Севара Абдумуминова</v>
      </c>
      <c r="B1838" s="14" t="str">
        <f ca="1">IFERROR(__xludf.DUMMYFUNCTION("""COMPUTED_VALUE"""),"sevaraabdimuminova0401@gmail.com")</f>
        <v>sevaraabdimuminova0401@gmail.com</v>
      </c>
      <c r="C1838" s="15" t="str">
        <f ca="1">IFERROR(__xludf.DUMMYFUNCTION("""COMPUTED_VALUE"""),"+998901888065")</f>
        <v>+998901888065</v>
      </c>
      <c r="D1838" s="15"/>
      <c r="E1838" s="14"/>
      <c r="F183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38" s="14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</row>
    <row r="1839" spans="1:26" ht="25.5">
      <c r="A1839" s="14" t="str">
        <f ca="1">IFERROR(__xludf.DUMMYFUNCTION("""COMPUTED_VALUE"""),"Севара Кувондикова")</f>
        <v>Севара Кувондикова</v>
      </c>
      <c r="B1839" s="14" t="str">
        <f ca="1">IFERROR(__xludf.DUMMYFUNCTION("""COMPUTED_VALUE"""),"Sevaraquvondiqova43@gmail.com")</f>
        <v>Sevaraquvondiqova43@gmail.com</v>
      </c>
      <c r="C1839" s="15" t="str">
        <f ca="1">IFERROR(__xludf.DUMMYFUNCTION("""COMPUTED_VALUE"""),"+998997965033")</f>
        <v>+998997965033</v>
      </c>
      <c r="D1839" s="15"/>
      <c r="E1839" s="14"/>
      <c r="F183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39" s="14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</row>
    <row r="1840" spans="1:26" ht="25.5">
      <c r="A1840" s="14" t="str">
        <f ca="1">IFERROR(__xludf.DUMMYFUNCTION("""COMPUTED_VALUE"""),"Дилдора Мирзаева")</f>
        <v>Дилдора Мирзаева</v>
      </c>
      <c r="B1840" s="14" t="str">
        <f ca="1">IFERROR(__xludf.DUMMYFUNCTION("""COMPUTED_VALUE"""),"sevinch.murodova@mail.ru")</f>
        <v>sevinch.murodova@mail.ru</v>
      </c>
      <c r="C1840" s="15" t="str">
        <f ca="1">IFERROR(__xludf.DUMMYFUNCTION("""COMPUTED_VALUE"""),"+998977363688")</f>
        <v>+998977363688</v>
      </c>
      <c r="D1840" s="15"/>
      <c r="E1840" s="14"/>
      <c r="F184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40" s="14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</row>
    <row r="1841" spans="1:26" ht="14.25">
      <c r="A1841" s="14" t="str">
        <f ca="1">IFERROR(__xludf.DUMMYFUNCTION("""COMPUTED_VALUE"""),"Севара Багирова")</f>
        <v>Севара Багирова</v>
      </c>
      <c r="B1841" s="14" t="str">
        <f ca="1">IFERROR(__xludf.DUMMYFUNCTION("""COMPUTED_VALUE"""),"Sewarka@123.com")</f>
        <v>Sewarka@123.com</v>
      </c>
      <c r="C1841" s="15" t="str">
        <f ca="1">IFERROR(__xludf.DUMMYFUNCTION("""COMPUTED_VALUE"""),", +998906566233")</f>
        <v>, +998906566233</v>
      </c>
      <c r="D1841" s="15" t="str">
        <f ca="1">IFERROR(__xludf.DUMMYFUNCTION("""COMPUTED_VALUE"""),"Узбекистан")</f>
        <v>Узбекистан</v>
      </c>
      <c r="E1841" s="14"/>
      <c r="F1841" s="8" t="str">
        <f ca="1">IFERROR(__xludf.DUMMYFUNCTION("""COMPUTED_VALUE"""),"Мероприятий не обнаружено")</f>
        <v>Мероприятий не обнаружено</v>
      </c>
      <c r="G1841" s="14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</row>
    <row r="1842" spans="1:26" ht="14.25">
      <c r="A1842" s="14" t="str">
        <f ca="1">IFERROR(__xludf.DUMMYFUNCTION("""COMPUTED_VALUE"""),"sgerasimov99,  ")</f>
        <v xml:space="preserve">sgerasimov99,  </v>
      </c>
      <c r="B1842" s="14" t="str">
        <f ca="1">IFERROR(__xludf.DUMMYFUNCTION("""COMPUTED_VALUE"""),"sgerasimov99@gmail.com")</f>
        <v>sgerasimov99@gmail.com</v>
      </c>
      <c r="C1842" s="15"/>
      <c r="D1842" s="15"/>
      <c r="E1842" s="14"/>
      <c r="F1842" s="8" t="str">
        <f ca="1">IFERROR(__xludf.DUMMYFUNCTION("""COMPUTED_VALUE"""),"- USA Челлендж Тишина")</f>
        <v>- USA Челлендж Тишина</v>
      </c>
      <c r="G1842" s="14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</row>
    <row r="1843" spans="1:26" ht="25.5">
      <c r="A1843" s="14" t="str">
        <f ca="1">IFERROR(__xludf.DUMMYFUNCTION("""COMPUTED_VALUE"""),"shakhzoda rajabova")</f>
        <v>shakhzoda rajabova</v>
      </c>
      <c r="B1843" s="14" t="str">
        <f ca="1">IFERROR(__xludf.DUMMYFUNCTION("""COMPUTED_VALUE"""),"shakhzodar@internet.ru")</f>
        <v>shakhzodar@internet.ru</v>
      </c>
      <c r="C1843" s="15" t="str">
        <f ca="1">IFERROR(__xludf.DUMMYFUNCTION("""COMPUTED_VALUE"""),"+998998490433")</f>
        <v>+998998490433</v>
      </c>
      <c r="D1843" s="15"/>
      <c r="E1843" s="14"/>
      <c r="F184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43" s="14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</row>
    <row r="1844" spans="1:26" ht="14.25">
      <c r="A1844" s="14" t="str">
        <f ca="1">IFERROR(__xludf.DUMMYFUNCTION("""COMPUTED_VALUE"""),"Шалауров Николаевич")</f>
        <v>Шалауров Николаевич</v>
      </c>
      <c r="B1844" s="14" t="str">
        <f ca="1">IFERROR(__xludf.DUMMYFUNCTION("""COMPUTED_VALUE"""),"shalaurovmihail@yandex.ru")</f>
        <v>shalaurovmihail@yandex.ru</v>
      </c>
      <c r="C1844" s="15" t="str">
        <f ca="1">IFERROR(__xludf.DUMMYFUNCTION("""COMPUTED_VALUE"""),"+79115579043")</f>
        <v>+79115579043</v>
      </c>
      <c r="D1844" s="15"/>
      <c r="E1844" s="14"/>
      <c r="F1844" s="8" t="str">
        <f ca="1">IFERROR(__xludf.DUMMYFUNCTION("""COMPUTED_VALUE"""),"- Тишина Челлендж (бесплатная часть)")</f>
        <v>- Тишина Челлендж (бесплатная часть)</v>
      </c>
      <c r="G1844" s="14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</row>
    <row r="1845" spans="1:26" ht="14.25">
      <c r="A1845" s="14" t="str">
        <f ca="1">IFERROR(__xludf.DUMMYFUNCTION("""COMPUTED_VALUE"""),"Владимир Фримерман")</f>
        <v>Владимир Фримерман</v>
      </c>
      <c r="B1845" s="14" t="str">
        <f ca="1">IFERROR(__xludf.DUMMYFUNCTION("""COMPUTED_VALUE"""),"shaman_mail@tut.by")</f>
        <v>shaman_mail@tut.by</v>
      </c>
      <c r="C1845" s="15" t="str">
        <f ca="1">IFERROR(__xludf.DUMMYFUNCTION("""COMPUTED_VALUE"""),"+375257461449")</f>
        <v>+375257461449</v>
      </c>
      <c r="D1845" s="15" t="str">
        <f ca="1">IFERROR(__xludf.DUMMYFUNCTION("""COMPUTED_VALUE"""),"Беларусь")</f>
        <v>Беларусь</v>
      </c>
      <c r="E1845" s="14"/>
      <c r="F1845" s="8" t="str">
        <f ca="1">IFERROR(__xludf.DUMMYFUNCTION("""COMPUTED_VALUE"""),"- Тишина Челлендж (бесплатная часть)")</f>
        <v>- Тишина Челлендж (бесплатная часть)</v>
      </c>
      <c r="G1845" s="14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</row>
    <row r="1846" spans="1:26" ht="76.5">
      <c r="A1846" s="14" t="str">
        <f ca="1">IFERROR(__xludf.DUMMYFUNCTION("""COMPUTED_VALUE"""),"Наталья Абакумова")</f>
        <v>Наталья Абакумова</v>
      </c>
      <c r="B1846" s="14" t="str">
        <f ca="1">IFERROR(__xludf.DUMMYFUNCTION("""COMPUTED_VALUE"""),"shantal1309@gmail.com")</f>
        <v>shantal1309@gmail.com</v>
      </c>
      <c r="C1846" s="15" t="str">
        <f ca="1">IFERROR(__xludf.DUMMYFUNCTION("""COMPUTED_VALUE"""),"+375296091307")</f>
        <v>+375296091307</v>
      </c>
      <c r="D1846" s="15" t="str">
        <f ca="1">IFERROR(__xludf.DUMMYFUNCTION("""COMPUTED_VALUE"""),"Беларусь")</f>
        <v>Беларусь</v>
      </c>
      <c r="E1846" s="14" t="str">
        <f ca="1">IFERROR(__xludf.DUMMYFUNCTION("""COMPUTED_VALUE"""),"+375295023880")</f>
        <v>+375295023880</v>
      </c>
      <c r="F1846" s="8" t="str">
        <f ca="1">IFERROR(__xludf.DUMMYFUNCTION("""COMPUTED_VALUE"""),"- Чайная встреча Разговор по душам Минск 11.12.2021
- Чайная встреча Новогодний огонек Минск 25.12.2021
- Чайная встреча в Минске 8.1.22
- Практика Тишины общая платная
- Клуб пробуждения Друзья (2 уровень) - 1 месяц
- Практический семинар в Минске 28 мая"&amp;" 2022")</f>
        <v>- Чайная встреча Разговор по душам Минск 11.12.2021
- Чайная встреча Новогодний огонек Минск 25.12.2021
- Чайная встреча в Минске 8.1.22
- Практика Тишины общая платная
- Клуб пробуждения Друзья (2 уровень) - 1 месяц
- Практический семинар в Минске 28 мая 2022</v>
      </c>
      <c r="G1846" s="14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</row>
    <row r="1847" spans="1:26" ht="51">
      <c r="A1847" s="14" t="str">
        <f ca="1">IFERROR(__xludf.DUMMYFUNCTION("""COMPUTED_VALUE"""),"Михаил Дунаев")</f>
        <v>Михаил Дунаев</v>
      </c>
      <c r="B1847" s="14" t="str">
        <f ca="1">IFERROR(__xludf.DUMMYFUNCTION("""COMPUTED_VALUE"""),"shaolin@bk.ru")</f>
        <v>shaolin@bk.ru</v>
      </c>
      <c r="C1847" s="15" t="str">
        <f ca="1">IFERROR(__xludf.DUMMYFUNCTION("""COMPUTED_VALUE"""),"+79147072708")</f>
        <v>+79147072708</v>
      </c>
      <c r="D1847" s="15" t="str">
        <f ca="1">IFERROR(__xludf.DUMMYFUNCTION("""COMPUTED_VALUE"""),"Россия")</f>
        <v>Россия</v>
      </c>
      <c r="E1847" s="14"/>
      <c r="F1847" s="8" t="str">
        <f ca="1">IFERROR(__xludf.DUMMYFUNCTION("""COMPUTED_VALUE"""),"- Интенсив Дальний Восток 28-30.01.2022
- Сообщество ДВ внутренний чат
- Онлайн Интенсив Дальний Восток 25-27.02.2022 
- Сообщество «Дальний Восток»")</f>
        <v>- Интенсив Дальний Восток 28-30.01.2022
- Сообщество ДВ внутренний чат
- Онлайн Интенсив Дальний Восток 25-27.02.2022 
- Сообщество «Дальний Восток»</v>
      </c>
      <c r="G1847" s="14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</row>
    <row r="1848" spans="1:26" ht="14.25">
      <c r="A1848" s="14" t="str">
        <f ca="1">IFERROR(__xludf.DUMMYFUNCTION("""COMPUTED_VALUE"""),"Ирина Шарая")</f>
        <v>Ирина Шарая</v>
      </c>
      <c r="B1848" s="14" t="str">
        <f ca="1">IFERROR(__xludf.DUMMYFUNCTION("""COMPUTED_VALUE"""),"Sharayairinatver@mail.ru")</f>
        <v>Sharayairinatver@mail.ru</v>
      </c>
      <c r="C1848" s="15" t="str">
        <f ca="1">IFERROR(__xludf.DUMMYFUNCTION("""COMPUTED_VALUE"""),"+79157483990")</f>
        <v>+79157483990</v>
      </c>
      <c r="D1848" s="15" t="str">
        <f ca="1">IFERROR(__xludf.DUMMYFUNCTION("""COMPUTED_VALUE"""),"Россия")</f>
        <v>Россия</v>
      </c>
      <c r="E1848" s="14" t="str">
        <f ca="1">IFERROR(__xludf.DUMMYFUNCTION("""COMPUTED_VALUE"""),"@IrenaMirram")</f>
        <v>@IrenaMirram</v>
      </c>
      <c r="F1848" s="8" t="str">
        <f ca="1">IFERROR(__xludf.DUMMYFUNCTION("""COMPUTED_VALUE"""),"- Тишина Челлендж (бесплатная часть)")</f>
        <v>- Тишина Челлендж (бесплатная часть)</v>
      </c>
      <c r="G1848" s="14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</row>
    <row r="1849" spans="1:26" ht="25.5">
      <c r="A1849" s="14" t="str">
        <f ca="1">IFERROR(__xludf.DUMMYFUNCTION("""COMPUTED_VALUE"""),"Шахлоша Шерманова")</f>
        <v>Шахлоша Шерманова</v>
      </c>
      <c r="B1849" s="14" t="str">
        <f ca="1">IFERROR(__xludf.DUMMYFUNCTION("""COMPUTED_VALUE"""),"Shaxloshka1983@gmail.com")</f>
        <v>Shaxloshka1983@gmail.com</v>
      </c>
      <c r="C1849" s="15" t="str">
        <f ca="1">IFERROR(__xludf.DUMMYFUNCTION("""COMPUTED_VALUE"""),"+998939900999")</f>
        <v>+998939900999</v>
      </c>
      <c r="D1849" s="15"/>
      <c r="E1849" s="14"/>
      <c r="F184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49" s="14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</row>
    <row r="1850" spans="1:26" ht="25.5">
      <c r="A1850" s="14" t="str">
        <f ca="1">IFERROR(__xludf.DUMMYFUNCTION("""COMPUTED_VALUE"""),"Любовь Шаюнусова")</f>
        <v>Любовь Шаюнусова</v>
      </c>
      <c r="B1850" s="14" t="str">
        <f ca="1">IFERROR(__xludf.DUMMYFUNCTION("""COMPUTED_VALUE"""),"Shayunusova91@bk.ru")</f>
        <v>Shayunusova91@bk.ru</v>
      </c>
      <c r="C1850" s="15" t="str">
        <f ca="1">IFERROR(__xludf.DUMMYFUNCTION("""COMPUTED_VALUE"""),"+998909768586")</f>
        <v>+998909768586</v>
      </c>
      <c r="D1850" s="15"/>
      <c r="E1850" s="14"/>
      <c r="F185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50" s="14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</row>
    <row r="1851" spans="1:26" ht="25.5">
      <c r="A1851" s="14" t="str">
        <f ca="1">IFERROR(__xludf.DUMMYFUNCTION("""COMPUTED_VALUE"""),"Тимур Щенов")</f>
        <v>Тимур Щенов</v>
      </c>
      <c r="B1851" s="14" t="str">
        <f ca="1">IFERROR(__xludf.DUMMYFUNCTION("""COMPUTED_VALUE"""),"shenov1995@mail.ru")</f>
        <v>shenov1995@mail.ru</v>
      </c>
      <c r="C1851" s="15" t="str">
        <f ca="1">IFERROR(__xludf.DUMMYFUNCTION("""COMPUTED_VALUE"""),"+998998404218")</f>
        <v>+998998404218</v>
      </c>
      <c r="D1851" s="15"/>
      <c r="E1851" s="14"/>
      <c r="F185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51" s="14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</row>
    <row r="1852" spans="1:26" ht="25.5">
      <c r="A1852" s="14" t="str">
        <f ca="1">IFERROR(__xludf.DUMMYFUNCTION("""COMPUTED_VALUE"""),"Sherzod Xojiqurbonov")</f>
        <v>Sherzod Xojiqurbonov</v>
      </c>
      <c r="B1852" s="14" t="str">
        <f ca="1">IFERROR(__xludf.DUMMYFUNCTION("""COMPUTED_VALUE"""),"Sher_everlast@mail.ru")</f>
        <v>Sher_everlast@mail.ru</v>
      </c>
      <c r="C1852" s="15" t="str">
        <f ca="1">IFERROR(__xludf.DUMMYFUNCTION("""COMPUTED_VALUE"""),"+998909581888")</f>
        <v>+998909581888</v>
      </c>
      <c r="D1852" s="15"/>
      <c r="E1852" s="14"/>
      <c r="F185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52" s="14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</row>
    <row r="1853" spans="1:26" ht="14.25">
      <c r="A1853" s="14" t="str">
        <f ca="1">IFERROR(__xludf.DUMMYFUNCTION("""COMPUTED_VALUE"""),"Любовь Шер")</f>
        <v>Любовь Шер</v>
      </c>
      <c r="B1853" s="14" t="str">
        <f ca="1">IFERROR(__xludf.DUMMYFUNCTION("""COMPUTED_VALUE"""),"sher.luba@gmail.com")</f>
        <v>sher.luba@gmail.com</v>
      </c>
      <c r="C1853" s="15" t="str">
        <f ca="1">IFERROR(__xludf.DUMMYFUNCTION("""COMPUTED_VALUE"""),"+972504773309")</f>
        <v>+972504773309</v>
      </c>
      <c r="D1853" s="15" t="str">
        <f ca="1">IFERROR(__xludf.DUMMYFUNCTION("""COMPUTED_VALUE"""),"Израиль")</f>
        <v>Израиль</v>
      </c>
      <c r="E1853" s="14"/>
      <c r="F1853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1853" s="14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</row>
    <row r="1854" spans="1:26" ht="25.5">
      <c r="A1854" s="14" t="str">
        <f ca="1">IFERROR(__xludf.DUMMYFUNCTION("""COMPUTED_VALUE"""),"Галина Костромыкина")</f>
        <v>Галина Костромыкина</v>
      </c>
      <c r="B1854" s="14" t="str">
        <f ca="1">IFERROR(__xludf.DUMMYFUNCTION("""COMPUTED_VALUE"""),"sheshuny@mail.ru")</f>
        <v>sheshuny@mail.ru</v>
      </c>
      <c r="C1854" s="15" t="str">
        <f ca="1">IFERROR(__xludf.DUMMYFUNCTION("""COMPUTED_VALUE"""),"+77771968695")</f>
        <v>+77771968695</v>
      </c>
      <c r="D1854" s="15" t="str">
        <f ca="1">IFERROR(__xludf.DUMMYFUNCTION("""COMPUTED_VALUE"""),"Казахстан")</f>
        <v>Казахстан</v>
      </c>
      <c r="E1854" s="14"/>
      <c r="F185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54" s="14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</row>
    <row r="1855" spans="1:26" ht="14.25">
      <c r="A1855" s="14" t="str">
        <f ca="1">IFERROR(__xludf.DUMMYFUNCTION("""COMPUTED_VALUE"""),"Екатерина Шеватова")</f>
        <v>Екатерина Шеватова</v>
      </c>
      <c r="B1855" s="14" t="str">
        <f ca="1">IFERROR(__xludf.DUMMYFUNCTION("""COMPUTED_VALUE"""),"Shevatova@mail.ru")</f>
        <v>Shevatova@mail.ru</v>
      </c>
      <c r="C1855" s="15" t="str">
        <f ca="1">IFERROR(__xludf.DUMMYFUNCTION("""COMPUTED_VALUE"""),", 79150532984")</f>
        <v>, 79150532984</v>
      </c>
      <c r="D1855" s="15" t="str">
        <f ca="1">IFERROR(__xludf.DUMMYFUNCTION("""COMPUTED_VALUE"""),"Россия")</f>
        <v>Россия</v>
      </c>
      <c r="E1855" s="14"/>
      <c r="F1855" s="8" t="str">
        <f ca="1">IFERROR(__xludf.DUMMYFUNCTION("""COMPUTED_VALUE"""),"Мероприятий не обнаружено")</f>
        <v>Мероприятий не обнаружено</v>
      </c>
      <c r="G1855" s="14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</row>
    <row r="1856" spans="1:26" ht="14.25">
      <c r="A1856" s="14" t="str">
        <f ca="1">IFERROR(__xludf.DUMMYFUNCTION("""COMPUTED_VALUE"""),"Елена Шевцова")</f>
        <v>Елена Шевцова</v>
      </c>
      <c r="B1856" s="14" t="str">
        <f ca="1">IFERROR(__xludf.DUMMYFUNCTION("""COMPUTED_VALUE"""),"shevtsova_e@i.ua")</f>
        <v>shevtsova_e@i.ua</v>
      </c>
      <c r="C1856" s="15" t="str">
        <f ca="1">IFERROR(__xludf.DUMMYFUNCTION("""COMPUTED_VALUE"""),"+380661754615")</f>
        <v>+380661754615</v>
      </c>
      <c r="D1856" s="15" t="str">
        <f ca="1">IFERROR(__xludf.DUMMYFUNCTION("""COMPUTED_VALUE"""),"Украина")</f>
        <v>Украина</v>
      </c>
      <c r="E1856" s="14"/>
      <c r="F1856" s="8" t="str">
        <f ca="1">IFERROR(__xludf.DUMMYFUNCTION("""COMPUTED_VALUE"""),"- Практика Тишины общая платная")</f>
        <v>- Практика Тишины общая платная</v>
      </c>
      <c r="G1856" s="14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</row>
    <row r="1857" spans="1:26" ht="14.25">
      <c r="A1857" s="14" t="str">
        <f ca="1">IFERROR(__xludf.DUMMYFUNCTION("""COMPUTED_VALUE"""),"Шинара Бутумбаева")</f>
        <v>Шинара Бутумбаева</v>
      </c>
      <c r="B1857" s="14" t="str">
        <f ca="1">IFERROR(__xludf.DUMMYFUNCTION("""COMPUTED_VALUE"""),"shibu@list.ru")</f>
        <v>shibu@list.ru</v>
      </c>
      <c r="C1857" s="15"/>
      <c r="D1857" s="15" t="str">
        <f ca="1">IFERROR(__xludf.DUMMYFUNCTION("""COMPUTED_VALUE"""),"Швеция")</f>
        <v>Швеция</v>
      </c>
      <c r="E1857" s="14"/>
      <c r="F1857" s="8" t="str">
        <f ca="1">IFERROR(__xludf.DUMMYFUNCTION("""COMPUTED_VALUE"""),"- Тишина Челлендж (бесплатная часть)")</f>
        <v>- Тишина Челлендж (бесплатная часть)</v>
      </c>
      <c r="G1857" s="14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</row>
    <row r="1858" spans="1:26" ht="25.5">
      <c r="A1858" s="14" t="str">
        <f ca="1">IFERROR(__xludf.DUMMYFUNCTION("""COMPUTED_VALUE"""),"Ширин Холматова")</f>
        <v>Ширин Холматова</v>
      </c>
      <c r="B1858" s="14" t="str">
        <f ca="1">IFERROR(__xludf.DUMMYFUNCTION("""COMPUTED_VALUE"""),"shirinabonu@yandex.ru")</f>
        <v>shirinabonu@yandex.ru</v>
      </c>
      <c r="C1858" s="15" t="str">
        <f ca="1">IFERROR(__xludf.DUMMYFUNCTION("""COMPUTED_VALUE"""),"+998903223993")</f>
        <v>+998903223993</v>
      </c>
      <c r="D1858" s="15"/>
      <c r="E1858" s="14"/>
      <c r="F185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58" s="14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</row>
    <row r="1859" spans="1:26" ht="14.25">
      <c r="A1859" s="14" t="str">
        <f ca="1">IFERROR(__xludf.DUMMYFUNCTION("""COMPUTED_VALUE"""),"Ольга Ширшова")</f>
        <v>Ольга Ширшова</v>
      </c>
      <c r="B1859" s="14" t="str">
        <f ca="1">IFERROR(__xludf.DUMMYFUNCTION("""COMPUTED_VALUE"""),"shirshova.25_78@mail.ru")</f>
        <v>shirshova.25_78@mail.ru</v>
      </c>
      <c r="C1859" s="15" t="str">
        <f ca="1">IFERROR(__xludf.DUMMYFUNCTION("""COMPUTED_VALUE"""),"+79231135170")</f>
        <v>+79231135170</v>
      </c>
      <c r="D1859" s="15" t="str">
        <f ca="1">IFERROR(__xludf.DUMMYFUNCTION("""COMPUTED_VALUE"""),"Россия")</f>
        <v>Россия</v>
      </c>
      <c r="E1859" s="14"/>
      <c r="F1859" s="8" t="str">
        <f ca="1">IFERROR(__xludf.DUMMYFUNCTION("""COMPUTED_VALUE"""),"- Тишина Челлендж (бесплатная часть)")</f>
        <v>- Тишина Челлендж (бесплатная часть)</v>
      </c>
      <c r="G1859" s="14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</row>
    <row r="1860" spans="1:26" ht="14.25">
      <c r="A1860" s="14" t="str">
        <f ca="1">IFERROR(__xludf.DUMMYFUNCTION("""COMPUTED_VALUE"""),"Игорь Шитиков")</f>
        <v>Игорь Шитиков</v>
      </c>
      <c r="B1860" s="14" t="str">
        <f ca="1">IFERROR(__xludf.DUMMYFUNCTION("""COMPUTED_VALUE"""),"shitikovigor41@gmail.com")</f>
        <v>shitikovigor41@gmail.com</v>
      </c>
      <c r="C1860" s="15" t="str">
        <f ca="1">IFERROR(__xludf.DUMMYFUNCTION("""COMPUTED_VALUE"""),"79523977792")</f>
        <v>79523977792</v>
      </c>
      <c r="D1860" s="15" t="str">
        <f ca="1">IFERROR(__xludf.DUMMYFUNCTION("""COMPUTED_VALUE"""),"Россия")</f>
        <v>Россия</v>
      </c>
      <c r="E1860" s="14"/>
      <c r="F1860" s="8" t="str">
        <f ca="1">IFERROR(__xludf.DUMMYFUNCTION("""COMPUTED_VALUE"""),"- Тишина Челлендж (бесплатная часть)")</f>
        <v>- Тишина Челлендж (бесплатная часть)</v>
      </c>
      <c r="G1860" s="14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</row>
    <row r="1861" spans="1:26" ht="14.25">
      <c r="A1861" s="14" t="str">
        <f ca="1">IFERROR(__xludf.DUMMYFUNCTION("""COMPUTED_VALUE"""),"Айварс Бауска")</f>
        <v>Айварс Бауска</v>
      </c>
      <c r="B1861" s="14" t="str">
        <f ca="1">IFERROR(__xludf.DUMMYFUNCTION("""COMPUTED_VALUE"""),"shivaramadas@gmail.com")</f>
        <v>shivaramadas@gmail.com</v>
      </c>
      <c r="C1861" s="15" t="str">
        <f ca="1">IFERROR(__xludf.DUMMYFUNCTION("""COMPUTED_VALUE"""),"+37122405458")</f>
        <v>+37122405458</v>
      </c>
      <c r="D1861" s="15" t="str">
        <f ca="1">IFERROR(__xludf.DUMMYFUNCTION("""COMPUTED_VALUE"""),"Латвия")</f>
        <v>Латвия</v>
      </c>
      <c r="E1861" s="14"/>
      <c r="F1861" s="8" t="str">
        <f ca="1">IFERROR(__xludf.DUMMYFUNCTION("""COMPUTED_VALUE"""),"- Мастер-класс ""Скульптура и Керамика""")</f>
        <v>- Мастер-класс "Скульптура и Керамика"</v>
      </c>
      <c r="G1861" s="14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</row>
    <row r="1862" spans="1:26" ht="14.25">
      <c r="A1862" s="14" t="str">
        <f ca="1">IFERROR(__xludf.DUMMYFUNCTION("""COMPUTED_VALUE"""),"Шахло Халирахманова")</f>
        <v>Шахло Халирахманова</v>
      </c>
      <c r="B1862" s="14" t="str">
        <f ca="1">IFERROR(__xludf.DUMMYFUNCTION("""COMPUTED_VALUE"""),"shkhalirakhmanova@bk.ru")</f>
        <v>shkhalirakhmanova@bk.ru</v>
      </c>
      <c r="C1862" s="15" t="str">
        <f ca="1">IFERROR(__xludf.DUMMYFUNCTION("""COMPUTED_VALUE"""),"+998909025085")</f>
        <v>+998909025085</v>
      </c>
      <c r="D1862" s="15"/>
      <c r="E1862" s="14"/>
      <c r="F1862" s="8" t="str">
        <f ca="1">IFERROR(__xludf.DUMMYFUNCTION("""COMPUTED_VALUE"""),"- Клуб пробуждения Друзья (Региональный)")</f>
        <v>- Клуб пробуждения Друзья (Региональный)</v>
      </c>
      <c r="G1862" s="14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</row>
    <row r="1863" spans="1:26" ht="14.25">
      <c r="A1863" s="14" t="str">
        <f ca="1">IFERROR(__xludf.DUMMYFUNCTION("""COMPUTED_VALUE"""),"Елена Елена")</f>
        <v>Елена Елена</v>
      </c>
      <c r="B1863" s="14" t="str">
        <f ca="1">IFERROR(__xludf.DUMMYFUNCTION("""COMPUTED_VALUE"""),"shmurygina_es@mail.ru")</f>
        <v>shmurygina_es@mail.ru</v>
      </c>
      <c r="C1863" s="15" t="str">
        <f ca="1">IFERROR(__xludf.DUMMYFUNCTION("""COMPUTED_VALUE"""),"79139754200")</f>
        <v>79139754200</v>
      </c>
      <c r="D1863" s="15"/>
      <c r="E1863" s="14"/>
      <c r="F1863" s="8" t="str">
        <f ca="1">IFERROR(__xludf.DUMMYFUNCTION("""COMPUTED_VALUE"""),"- Тишина Челлендж (бесплатная часть)")</f>
        <v>- Тишина Челлендж (бесплатная часть)</v>
      </c>
      <c r="G1863" s="14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</row>
    <row r="1864" spans="1:26" ht="25.5">
      <c r="A1864" s="14" t="str">
        <f ca="1">IFERROR(__xludf.DUMMYFUNCTION("""COMPUTED_VALUE"""),"Шнар Габдулина")</f>
        <v>Шнар Габдулина</v>
      </c>
      <c r="B1864" s="14" t="str">
        <f ca="1">IFERROR(__xludf.DUMMYFUNCTION("""COMPUTED_VALUE"""),"shnar_1707@mail.ru")</f>
        <v>shnar_1707@mail.ru</v>
      </c>
      <c r="C1864" s="15" t="str">
        <f ca="1">IFERROR(__xludf.DUMMYFUNCTION("""COMPUTED_VALUE"""),"87057754518")</f>
        <v>87057754518</v>
      </c>
      <c r="D1864" s="15"/>
      <c r="E1864" s="14"/>
      <c r="F186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64" s="14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</row>
    <row r="1865" spans="1:26" ht="25.5">
      <c r="A1865" s="14" t="str">
        <f ca="1">IFERROR(__xludf.DUMMYFUNCTION("""COMPUTED_VALUE"""),"Ольга Абдуллаева")</f>
        <v>Ольга Абдуллаева</v>
      </c>
      <c r="B1865" s="14" t="str">
        <f ca="1">IFERROR(__xludf.DUMMYFUNCTION("""COMPUTED_VALUE"""),"Shoesolga1@mail.ru")</f>
        <v>Shoesolga1@mail.ru</v>
      </c>
      <c r="C1865" s="15" t="str">
        <f ca="1">IFERROR(__xludf.DUMMYFUNCTION("""COMPUTED_VALUE"""),"+998909202850")</f>
        <v>+998909202850</v>
      </c>
      <c r="D1865" s="15"/>
      <c r="E1865" s="14"/>
      <c r="F186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65" s="14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</row>
    <row r="1866" spans="1:26" ht="25.5">
      <c r="A1866" s="14" t="str">
        <f ca="1">IFERROR(__xludf.DUMMYFUNCTION("""COMPUTED_VALUE"""),"Шоирп Зиятова")</f>
        <v>Шоирп Зиятова</v>
      </c>
      <c r="B1866" s="14" t="str">
        <f ca="1">IFERROR(__xludf.DUMMYFUNCTION("""COMPUTED_VALUE"""),"shoiraziyotova@gmail.com")</f>
        <v>shoiraziyotova@gmail.com</v>
      </c>
      <c r="C1866" s="15" t="str">
        <f ca="1">IFERROR(__xludf.DUMMYFUNCTION("""COMPUTED_VALUE"""),"+998970088258")</f>
        <v>+998970088258</v>
      </c>
      <c r="D1866" s="15"/>
      <c r="E1866" s="14"/>
      <c r="F186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66" s="14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</row>
    <row r="1867" spans="1:26" ht="51">
      <c r="A1867" s="14" t="str">
        <f ca="1">IFERROR(__xludf.DUMMYFUNCTION("""COMPUTED_VALUE"""),"Шохиста Ёкуббоева")</f>
        <v>Шохиста Ёкуббоева</v>
      </c>
      <c r="B1867" s="14" t="str">
        <f ca="1">IFERROR(__xludf.DUMMYFUNCTION("""COMPUTED_VALUE"""),"shokhista73@mail.ru")</f>
        <v>shokhista73@mail.ru</v>
      </c>
      <c r="C1867" s="15" t="str">
        <f ca="1">IFERROR(__xludf.DUMMYFUNCTION("""COMPUTED_VALUE"""),"+998935353935")</f>
        <v>+998935353935</v>
      </c>
      <c r="D1867" s="15" t="str">
        <f ca="1">IFERROR(__xludf.DUMMYFUNCTION("""COMPUTED_VALUE"""),"Узбекистан")</f>
        <v>Узбекистан</v>
      </c>
      <c r="E1867" s="14"/>
      <c r="F1867" s="8" t="str">
        <f ca="1">IFERROR(__xludf.DUMMYFUNCTION("""COMPUTED_VALUE"""),"- Марафон Тишины - Тишина челлендж: Урал, Казахстан, Узбекистан 25-29.04.2022
- Вводный вебинар 3.5.22 на Шаг к Пробуждению
- Однодневный онлайн ретрит Россия 14 мая 2022")</f>
        <v>- Марафон Тишины - Тишина челлендж: Урал, Казахстан, Узбекистан 25-29.04.2022
- Вводный вебинар 3.5.22 на Шаг к Пробуждению
- Однодневный онлайн ретрит Россия 14 мая 2022</v>
      </c>
      <c r="G1867" s="14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</row>
    <row r="1868" spans="1:26" ht="25.5">
      <c r="A1868" s="14" t="str">
        <f ca="1">IFERROR(__xludf.DUMMYFUNCTION("""COMPUTED_VALUE"""),"Шолпан Тугамбаева")</f>
        <v>Шолпан Тугамбаева</v>
      </c>
      <c r="B1868" s="14" t="str">
        <f ca="1">IFERROR(__xludf.DUMMYFUNCTION("""COMPUTED_VALUE"""),"Sholpik7910@gmail.com")</f>
        <v>Sholpik7910@gmail.com</v>
      </c>
      <c r="C1868" s="15" t="str">
        <f ca="1">IFERROR(__xludf.DUMMYFUNCTION("""COMPUTED_VALUE"""),"87081069722")</f>
        <v>87081069722</v>
      </c>
      <c r="D1868" s="15"/>
      <c r="E1868" s="14"/>
      <c r="F186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68" s="14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</row>
    <row r="1869" spans="1:26" ht="63.75">
      <c r="A1869" s="14" t="str">
        <f ca="1">IFERROR(__xludf.DUMMYFUNCTION("""COMPUTED_VALUE"""),"Шовкат Ходжаев")</f>
        <v>Шовкат Ходжаев</v>
      </c>
      <c r="B1869" s="14" t="str">
        <f ca="1">IFERROR(__xludf.DUMMYFUNCTION("""COMPUTED_VALUE"""),"shovkat.khodjaev@mail.ru")</f>
        <v>shovkat.khodjaev@mail.ru</v>
      </c>
      <c r="C1869" s="15" t="str">
        <f ca="1">IFERROR(__xludf.DUMMYFUNCTION("""COMPUTED_VALUE"""),"+998998198968")</f>
        <v>+998998198968</v>
      </c>
      <c r="D1869" s="15" t="str">
        <f ca="1">IFERROR(__xludf.DUMMYFUNCTION("""COMPUTED_VALUE"""),"Узбекистан")</f>
        <v>Узбекистан</v>
      </c>
      <c r="E1869" s="14"/>
      <c r="F1869" s="8" t="str">
        <f ca="1">IFERROR(__xludf.DUMMYFUNCTION("""COMPUTED_VALUE"""),"- Онлайн курс Шаг к Пробуждению №15 29.1-8.02.22 Пакет стандартный
- АнтиЭго 2.0 ""Пакет Базовый"" 19.02 - 13.03.2022 (поток 1)
- Клуб пробуждения Друзья (Региональный)
- Тест")</f>
        <v>- Онлайн курс Шаг к Пробуждению №15 29.1-8.02.22 Пакет стандартный
- АнтиЭго 2.0 "Пакет Базовый" 19.02 - 13.03.2022 (поток 1)
- Клуб пробуждения Друзья (Региональный)
- Тест</v>
      </c>
      <c r="G1869" s="14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</row>
    <row r="1870" spans="1:26" ht="38.25">
      <c r="A1870" s="14" t="str">
        <f ca="1">IFERROR(__xludf.DUMMYFUNCTION("""COMPUTED_VALUE"""),"Shoxista Sadullayeva")</f>
        <v>Shoxista Sadullayeva</v>
      </c>
      <c r="B1870" s="14" t="str">
        <f ca="1">IFERROR(__xludf.DUMMYFUNCTION("""COMPUTED_VALUE"""),"shoxistasadullayeva19@gmail.com")</f>
        <v>shoxistasadullayeva19@gmail.com</v>
      </c>
      <c r="C1870" s="15" t="str">
        <f ca="1">IFERROR(__xludf.DUMMYFUNCTION("""COMPUTED_VALUE"""),"939977835")</f>
        <v>939977835</v>
      </c>
      <c r="D1870" s="15" t="str">
        <f ca="1">IFERROR(__xludf.DUMMYFUNCTION("""COMPUTED_VALUE"""),"Узбекистан")</f>
        <v>Узбекистан</v>
      </c>
      <c r="E1870" s="14"/>
      <c r="F1870" s="8" t="str">
        <f ca="1">IFERROR(__xludf.DUMMYFUNCTION("""COMPUTED_VALUE"""),"- Онлайн курс Шаг к Пробуждению №15 29.1-8.02.22 Пакет стандартный
- Всемирная Медитация Пробуждения")</f>
        <v>- Онлайн курс Шаг к Пробуждению №15 29.1-8.02.22 Пакет стандартный
- Всемирная Медитация Пробуждения</v>
      </c>
      <c r="G1870" s="14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</row>
    <row r="1871" spans="1:26" ht="14.25">
      <c r="A1871" s="14" t="str">
        <f ca="1">IFERROR(__xludf.DUMMYFUNCTION("""COMPUTED_VALUE"""),"Наталья Штенникова")</f>
        <v>Наталья Штенникова</v>
      </c>
      <c r="B1871" s="14" t="str">
        <f ca="1">IFERROR(__xludf.DUMMYFUNCTION("""COMPUTED_VALUE"""),"shtennikova26@gmail.com")</f>
        <v>shtennikova26@gmail.com</v>
      </c>
      <c r="C1871" s="15" t="str">
        <f ca="1">IFERROR(__xludf.DUMMYFUNCTION("""COMPUTED_VALUE"""),"79393778594")</f>
        <v>79393778594</v>
      </c>
      <c r="D1871" s="15" t="str">
        <f ca="1">IFERROR(__xludf.DUMMYFUNCTION("""COMPUTED_VALUE"""),"Россия")</f>
        <v>Россия</v>
      </c>
      <c r="E1871" s="14"/>
      <c r="F1871" s="8" t="str">
        <f ca="1">IFERROR(__xludf.DUMMYFUNCTION("""COMPUTED_VALUE"""),"- Тишина Челлендж (бесплатная часть)")</f>
        <v>- Тишина Челлендж (бесплатная часть)</v>
      </c>
      <c r="G1871" s="14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</row>
    <row r="1872" spans="1:26" ht="14.25">
      <c r="A1872" s="14" t="str">
        <f ca="1">IFERROR(__xludf.DUMMYFUNCTION("""COMPUTED_VALUE"""),"Сергей Шубин")</f>
        <v>Сергей Шубин</v>
      </c>
      <c r="B1872" s="14" t="str">
        <f ca="1">IFERROR(__xludf.DUMMYFUNCTION("""COMPUTED_VALUE"""),"Shubinoc.ru@yandex.ru")</f>
        <v>Shubinoc.ru@yandex.ru</v>
      </c>
      <c r="C1872" s="15" t="str">
        <f ca="1">IFERROR(__xludf.DUMMYFUNCTION("""COMPUTED_VALUE"""),"79212572676")</f>
        <v>79212572676</v>
      </c>
      <c r="D1872" s="15" t="str">
        <f ca="1">IFERROR(__xludf.DUMMYFUNCTION("""COMPUTED_VALUE"""),"Россия")</f>
        <v>Россия</v>
      </c>
      <c r="E1872" s="14"/>
      <c r="F1872" s="8" t="str">
        <f ca="1">IFERROR(__xludf.DUMMYFUNCTION("""COMPUTED_VALUE"""),"- Тишина Челлендж (бесплатная часть)")</f>
        <v>- Тишина Челлендж (бесплатная часть)</v>
      </c>
      <c r="G1872" s="14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</row>
    <row r="1873" spans="1:26" ht="38.25">
      <c r="A1873" s="14" t="str">
        <f ca="1">IFERROR(__xludf.DUMMYFUNCTION("""COMPUTED_VALUE"""),"Роман Шупенко")</f>
        <v>Роман Шупенко</v>
      </c>
      <c r="B1873" s="14" t="str">
        <f ca="1">IFERROR(__xludf.DUMMYFUNCTION("""COMPUTED_VALUE"""),"Shupenkoroman@gmail.com")</f>
        <v>Shupenkoroman@gmail.com</v>
      </c>
      <c r="C1873" s="15" t="str">
        <f ca="1">IFERROR(__xludf.DUMMYFUNCTION("""COMPUTED_VALUE"""),"+995591961825")</f>
        <v>+995591961825</v>
      </c>
      <c r="D1873" s="15" t="str">
        <f ca="1">IFERROR(__xludf.DUMMYFUNCTION("""COMPUTED_VALUE"""),"Грузия")</f>
        <v>Грузия</v>
      </c>
      <c r="E1873" s="14"/>
      <c r="F1873" s="8" t="str">
        <f ca="1">IFERROR(__xludf.DUMMYFUNCTION("""COMPUTED_VALUE"""),"- Онлайн курс Шаг к Пробуждению №15 29.1-8.02.22 Пакет стандартный
- АнтиЭго 2.0 ""Пакет Базовый"" 19.02 - 13.03.2022 (поток 1)")</f>
        <v>- Онлайн курс Шаг к Пробуждению №15 29.1-8.02.22 Пакет стандартный
- АнтиЭго 2.0 "Пакет Базовый" 19.02 - 13.03.2022 (поток 1)</v>
      </c>
      <c r="G1873" s="14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</row>
    <row r="1874" spans="1:26" ht="14.25">
      <c r="A1874" s="14" t="str">
        <f ca="1">IFERROR(__xludf.DUMMYFUNCTION("""COMPUTED_VALUE"""),"Сергей Хомяков")</f>
        <v>Сергей Хомяков</v>
      </c>
      <c r="B1874" s="14" t="str">
        <f ca="1">IFERROR(__xludf.DUMMYFUNCTION("""COMPUTED_VALUE"""),"siarheikhamiakou@gmail.com")</f>
        <v>siarheikhamiakou@gmail.com</v>
      </c>
      <c r="C1874" s="15" t="str">
        <f ca="1">IFERROR(__xludf.DUMMYFUNCTION("""COMPUTED_VALUE"""),"+79206603780")</f>
        <v>+79206603780</v>
      </c>
      <c r="D1874" s="15" t="str">
        <f ca="1">IFERROR(__xludf.DUMMYFUNCTION("""COMPUTED_VALUE"""),"Румыния")</f>
        <v>Румыния</v>
      </c>
      <c r="E1874" s="14"/>
      <c r="F1874" s="8" t="str">
        <f ca="1">IFERROR(__xludf.DUMMYFUNCTION("""COMPUTED_VALUE"""),"- Партнерская программа")</f>
        <v>- Партнерская программа</v>
      </c>
      <c r="G1874" s="14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</row>
    <row r="1875" spans="1:26" ht="14.25">
      <c r="A1875" s="14" t="str">
        <f ca="1">IFERROR(__xludf.DUMMYFUNCTION("""COMPUTED_VALUE"""),"Андрей Закревский")</f>
        <v>Андрей Закревский</v>
      </c>
      <c r="B1875" s="14" t="str">
        <f ca="1">IFERROR(__xludf.DUMMYFUNCTION("""COMPUTED_VALUE"""),"sidnei777.2011@mail.ru")</f>
        <v>sidnei777.2011@mail.ru</v>
      </c>
      <c r="C1875" s="15" t="str">
        <f ca="1">IFERROR(__xludf.DUMMYFUNCTION("""COMPUTED_VALUE"""),"+375256849309")</f>
        <v>+375256849309</v>
      </c>
      <c r="D1875" s="15" t="str">
        <f ca="1">IFERROR(__xludf.DUMMYFUNCTION("""COMPUTED_VALUE"""),"Беларусь")</f>
        <v>Беларусь</v>
      </c>
      <c r="E1875" s="14"/>
      <c r="F1875" s="8" t="str">
        <f ca="1">IFERROR(__xludf.DUMMYFUNCTION("""COMPUTED_VALUE"""),"- Чайная встреча в Минске 22.1.22")</f>
        <v>- Чайная встреча в Минске 22.1.22</v>
      </c>
      <c r="G1875" s="14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</row>
    <row r="1876" spans="1:26" ht="14.25">
      <c r="A1876" s="14" t="str">
        <f ca="1">IFERROR(__xludf.DUMMYFUNCTION("""COMPUTED_VALUE"""),"Ирина Шилова")</f>
        <v>Ирина Шилова</v>
      </c>
      <c r="B1876" s="14" t="str">
        <f ca="1">IFERROR(__xludf.DUMMYFUNCTION("""COMPUTED_VALUE"""),"silovairina97@gmail.cam")</f>
        <v>silovairina97@gmail.cam</v>
      </c>
      <c r="C1876" s="15" t="str">
        <f ca="1">IFERROR(__xludf.DUMMYFUNCTION("""COMPUTED_VALUE"""),", 77052216617")</f>
        <v>, 77052216617</v>
      </c>
      <c r="D1876" s="15"/>
      <c r="E1876" s="14"/>
      <c r="F1876" s="8" t="str">
        <f ca="1">IFERROR(__xludf.DUMMYFUNCTION("""COMPUTED_VALUE"""),"Мероприятий не обнаружено")</f>
        <v>Мероприятий не обнаружено</v>
      </c>
      <c r="G1876" s="14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</row>
    <row r="1877" spans="1:26" ht="14.25">
      <c r="A1877" s="14" t="str">
        <f ca="1">IFERROR(__xludf.DUMMYFUNCTION("""COMPUTED_VALUE"""),"simjen2403,  ")</f>
        <v xml:space="preserve">simjen2403,  </v>
      </c>
      <c r="B1877" s="14" t="str">
        <f ca="1">IFERROR(__xludf.DUMMYFUNCTION("""COMPUTED_VALUE"""),"simjen2403@gmail.com")</f>
        <v>simjen2403@gmail.com</v>
      </c>
      <c r="C1877" s="15"/>
      <c r="D1877" s="15"/>
      <c r="E1877" s="14"/>
      <c r="F1877" s="8" t="str">
        <f ca="1">IFERROR(__xludf.DUMMYFUNCTION("""COMPUTED_VALUE"""),"- USA Челлендж Тишина")</f>
        <v>- USA Челлендж Тишина</v>
      </c>
      <c r="G1877" s="14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</row>
    <row r="1878" spans="1:26" ht="25.5">
      <c r="A1878" s="14" t="str">
        <f ca="1">IFERROR(__xludf.DUMMYFUNCTION("""COMPUTED_VALUE"""),"Сымбат Абдрахимова")</f>
        <v>Сымбат Абдрахимова</v>
      </c>
      <c r="B1878" s="14" t="str">
        <f ca="1">IFERROR(__xludf.DUMMYFUNCTION("""COMPUTED_VALUE"""),"Simona_kz@mail.ru")</f>
        <v>Simona_kz@mail.ru</v>
      </c>
      <c r="C1878" s="15" t="str">
        <f ca="1">IFERROR(__xludf.DUMMYFUNCTION("""COMPUTED_VALUE"""),"87023821090")</f>
        <v>87023821090</v>
      </c>
      <c r="D1878" s="15"/>
      <c r="E1878" s="14"/>
      <c r="F187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78" s="14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</row>
    <row r="1879" spans="1:26" ht="14.25">
      <c r="A1879" s="14" t="str">
        <f ca="1">IFERROR(__xludf.DUMMYFUNCTION("""COMPUTED_VALUE"""),"Елена Симоненко")</f>
        <v>Елена Симоненко</v>
      </c>
      <c r="B1879" s="14" t="str">
        <f ca="1">IFERROR(__xludf.DUMMYFUNCTION("""COMPUTED_VALUE"""),"simonenko.elen@yandex.ru")</f>
        <v>simonenko.elen@yandex.ru</v>
      </c>
      <c r="C1879" s="15" t="str">
        <f ca="1">IFERROR(__xludf.DUMMYFUNCTION("""COMPUTED_VALUE"""),"+79017389628")</f>
        <v>+79017389628</v>
      </c>
      <c r="D1879" s="15" t="str">
        <f ca="1">IFERROR(__xludf.DUMMYFUNCTION("""COMPUTED_VALUE"""),"Россия")</f>
        <v>Россия</v>
      </c>
      <c r="E1879" s="14"/>
      <c r="F1879" s="8" t="str">
        <f ca="1">IFERROR(__xludf.DUMMYFUNCTION("""COMPUTED_VALUE"""),"- Тишина Челлендж (бесплатная часть)")</f>
        <v>- Тишина Челлендж (бесплатная часть)</v>
      </c>
      <c r="G1879" s="14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</row>
    <row r="1880" spans="1:26" ht="14.25">
      <c r="A1880" s="14" t="str">
        <f ca="1">IFERROR(__xludf.DUMMYFUNCTION("""COMPUTED_VALUE"""),"Лариса Симонова")</f>
        <v>Лариса Симонова</v>
      </c>
      <c r="B1880" s="14" t="str">
        <f ca="1">IFERROR(__xludf.DUMMYFUNCTION("""COMPUTED_VALUE"""),"Simonova.timeeva76@yandex.ru")</f>
        <v>Simonova.timeeva76@yandex.ru</v>
      </c>
      <c r="C1880" s="15" t="str">
        <f ca="1">IFERROR(__xludf.DUMMYFUNCTION("""COMPUTED_VALUE"""),"79514440327")</f>
        <v>79514440327</v>
      </c>
      <c r="D1880" s="15" t="str">
        <f ca="1">IFERROR(__xludf.DUMMYFUNCTION("""COMPUTED_VALUE"""),"Россия")</f>
        <v>Россия</v>
      </c>
      <c r="E1880" s="14"/>
      <c r="F1880" s="8" t="str">
        <f ca="1">IFERROR(__xludf.DUMMYFUNCTION("""COMPUTED_VALUE"""),"- Интенсив Магнитогорск 20.02.2022")</f>
        <v>- Интенсив Магнитогорск 20.02.2022</v>
      </c>
      <c r="G1880" s="14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</row>
    <row r="1881" spans="1:26" ht="25.5">
      <c r="A1881" s="14" t="str">
        <f ca="1">IFERROR(__xludf.DUMMYFUNCTION("""COMPUTED_VALUE"""),"Жагет Бигали")</f>
        <v>Жагет Бигали</v>
      </c>
      <c r="B1881" s="14" t="str">
        <f ca="1">IFERROR(__xludf.DUMMYFUNCTION("""COMPUTED_VALUE"""),"sineadka@mail.ru")</f>
        <v>sineadka@mail.ru</v>
      </c>
      <c r="C1881" s="15" t="str">
        <f ca="1">IFERROR(__xludf.DUMMYFUNCTION("""COMPUTED_VALUE"""),"87017733203")</f>
        <v>87017733203</v>
      </c>
      <c r="D1881" s="15"/>
      <c r="E1881" s="14"/>
      <c r="F188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81" s="14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</row>
    <row r="1882" spans="1:26" ht="38.25">
      <c r="A1882" s="14" t="str">
        <f ca="1">IFERROR(__xludf.DUMMYFUNCTION("""COMPUTED_VALUE"""),"Марина Козлова")</f>
        <v>Марина Козлова</v>
      </c>
      <c r="B1882" s="14" t="str">
        <f ca="1">IFERROR(__xludf.DUMMYFUNCTION("""COMPUTED_VALUE"""),"sinimmorem@gmail.com")</f>
        <v>sinimmorem@gmail.com</v>
      </c>
      <c r="C1882" s="15" t="str">
        <f ca="1">IFERROR(__xludf.DUMMYFUNCTION("""COMPUTED_VALUE"""),"87086442654")</f>
        <v>87086442654</v>
      </c>
      <c r="D1882" s="15" t="str">
        <f ca="1">IFERROR(__xludf.DUMMYFUNCTION("""COMPUTED_VALUE"""),"Казахстан")</f>
        <v>Казахстан</v>
      </c>
      <c r="E1882" s="14"/>
      <c r="F1882" s="8" t="str">
        <f ca="1">IFERROR(__xludf.DUMMYFUNCTION("""COMPUTED_VALUE"""),"- Марафон Тишины - Тишина челлендж: Урал, Казахстан, Узбекистан 25-29.04.2022
- Тишина Челлендж (бесплатная часть)")</f>
        <v>- Марафон Тишины - Тишина челлендж: Урал, Казахстан, Узбекистан 25-29.04.2022
- Тишина Челлендж (бесплатная часть)</v>
      </c>
      <c r="G1882" s="14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</row>
    <row r="1883" spans="1:26" ht="25.5">
      <c r="A1883" s="14" t="str">
        <f ca="1">IFERROR(__xludf.DUMMYFUNCTION("""COMPUTED_VALUE"""),"Гульшода Сирожова")</f>
        <v>Гульшода Сирожова</v>
      </c>
      <c r="B1883" s="14" t="str">
        <f ca="1">IFERROR(__xludf.DUMMYFUNCTION("""COMPUTED_VALUE"""),"sirojovagulshoda635@gmail.com")</f>
        <v>sirojovagulshoda635@gmail.com</v>
      </c>
      <c r="C1883" s="15" t="str">
        <f ca="1">IFERROR(__xludf.DUMMYFUNCTION("""COMPUTED_VALUE"""),"906356763")</f>
        <v>906356763</v>
      </c>
      <c r="D1883" s="15" t="str">
        <f ca="1">IFERROR(__xludf.DUMMYFUNCTION("""COMPUTED_VALUE"""),"Узбекистан")</f>
        <v>Узбекистан</v>
      </c>
      <c r="E1883" s="14"/>
      <c r="F188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83" s="14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</row>
    <row r="1884" spans="1:26" ht="14.25">
      <c r="A1884" s="14" t="str">
        <f ca="1">IFERROR(__xludf.DUMMYFUNCTION("""COMPUTED_VALUE"""),"Дмитрий Сысоев")</f>
        <v>Дмитрий Сысоев</v>
      </c>
      <c r="B1884" s="14" t="str">
        <f ca="1">IFERROR(__xludf.DUMMYFUNCTION("""COMPUTED_VALUE"""),"Sisa_88_@mail.ru")</f>
        <v>Sisa_88_@mail.ru</v>
      </c>
      <c r="C1884" s="15" t="str">
        <f ca="1">IFERROR(__xludf.DUMMYFUNCTION("""COMPUTED_VALUE"""),"79505244604")</f>
        <v>79505244604</v>
      </c>
      <c r="D1884" s="15" t="str">
        <f ca="1">IFERROR(__xludf.DUMMYFUNCTION("""COMPUTED_VALUE"""),"Россия")</f>
        <v>Россия</v>
      </c>
      <c r="E1884" s="14"/>
      <c r="F1884" s="8" t="str">
        <f ca="1">IFERROR(__xludf.DUMMYFUNCTION("""COMPUTED_VALUE"""),"-  встреча Космос внутри Сочи 5.3.2022")</f>
        <v>-  встреча Космос внутри Сочи 5.3.2022</v>
      </c>
      <c r="G1884" s="14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</row>
    <row r="1885" spans="1:26" ht="14.25">
      <c r="A1885" s="14" t="str">
        <f ca="1">IFERROR(__xludf.DUMMYFUNCTION("""COMPUTED_VALUE"""),"Ситнова Юлия")</f>
        <v>Ситнова Юлия</v>
      </c>
      <c r="B1885" s="14" t="str">
        <f ca="1">IFERROR(__xludf.DUMMYFUNCTION("""COMPUTED_VALUE"""),"Sitnova.yu@yandex.ru")</f>
        <v>Sitnova.yu@yandex.ru</v>
      </c>
      <c r="C1885" s="15" t="str">
        <f ca="1">IFERROR(__xludf.DUMMYFUNCTION("""COMPUTED_VALUE"""),"79053620940")</f>
        <v>79053620940</v>
      </c>
      <c r="D1885" s="15" t="str">
        <f ca="1">IFERROR(__xludf.DUMMYFUNCTION("""COMPUTED_VALUE"""),"Россия")</f>
        <v>Россия</v>
      </c>
      <c r="E1885" s="14"/>
      <c r="F1885" s="8" t="str">
        <f ca="1">IFERROR(__xludf.DUMMYFUNCTION("""COMPUTED_VALUE"""),"- Тишина Челлендж (бесплатная часть)")</f>
        <v>- Тишина Челлендж (бесплатная часть)</v>
      </c>
      <c r="G1885" s="14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</row>
    <row r="1886" spans="1:26" ht="25.5">
      <c r="A1886" s="14" t="str">
        <f ca="1">IFERROR(__xludf.DUMMYFUNCTION("""COMPUTED_VALUE"""),"Мира Саидамир")</f>
        <v>Мира Саидамир</v>
      </c>
      <c r="B1886" s="14" t="str">
        <f ca="1">IFERROR(__xludf.DUMMYFUNCTION("""COMPUTED_VALUE"""),"Siyaniyemorya@gmail.com")</f>
        <v>Siyaniyemorya@gmail.com</v>
      </c>
      <c r="C1886" s="15" t="str">
        <f ca="1">IFERROR(__xludf.DUMMYFUNCTION("""COMPUTED_VALUE"""),"+998974456204")</f>
        <v>+998974456204</v>
      </c>
      <c r="D1886" s="15"/>
      <c r="E1886" s="14"/>
      <c r="F188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86" s="14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</row>
    <row r="1887" spans="1:26" ht="14.25">
      <c r="A1887" s="14" t="str">
        <f ca="1">IFERROR(__xludf.DUMMYFUNCTION("""COMPUTED_VALUE"""),"sk-123,  ")</f>
        <v xml:space="preserve">sk-123,  </v>
      </c>
      <c r="B1887" s="14" t="str">
        <f ca="1">IFERROR(__xludf.DUMMYFUNCTION("""COMPUTED_VALUE"""),"sk-123@mail.ru")</f>
        <v>sk-123@mail.ru</v>
      </c>
      <c r="C1887" s="15"/>
      <c r="D1887" s="15"/>
      <c r="E1887" s="14"/>
      <c r="F1887" s="8" t="str">
        <f ca="1">IFERROR(__xludf.DUMMYFUNCTION("""COMPUTED_VALUE"""),"- USA Челлендж Тишина")</f>
        <v>- USA Челлендж Тишина</v>
      </c>
      <c r="G1887" s="14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</row>
    <row r="1888" spans="1:26" ht="14.25">
      <c r="A1888" s="14" t="str">
        <f ca="1">IFERROR(__xludf.DUMMYFUNCTION("""COMPUTED_VALUE"""),"Skaidrite Savicka")</f>
        <v>Skaidrite Savicka</v>
      </c>
      <c r="B1888" s="14" t="str">
        <f ca="1">IFERROR(__xludf.DUMMYFUNCTION("""COMPUTED_VALUE"""),"skaidritedofija@inbox.lv")</f>
        <v>skaidritedofija@inbox.lv</v>
      </c>
      <c r="C1888" s="15" t="str">
        <f ca="1">IFERROR(__xludf.DUMMYFUNCTION("""COMPUTED_VALUE"""),", 37122374680")</f>
        <v>, 37122374680</v>
      </c>
      <c r="D1888" s="15" t="str">
        <f ca="1">IFERROR(__xludf.DUMMYFUNCTION("""COMPUTED_VALUE"""),"Латвия")</f>
        <v>Латвия</v>
      </c>
      <c r="E1888" s="14"/>
      <c r="F1888" s="8" t="str">
        <f ca="1">IFERROR(__xludf.DUMMYFUNCTION("""COMPUTED_VALUE"""),"Мероприятий не обнаружено")</f>
        <v>Мероприятий не обнаружено</v>
      </c>
      <c r="G1888" s="14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</row>
    <row r="1889" spans="1:26" ht="25.5">
      <c r="A1889" s="14" t="str">
        <f ca="1">IFERROR(__xludf.DUMMYFUNCTION("""COMPUTED_VALUE"""),"Игорь Скоблик")</f>
        <v>Игорь Скоблик</v>
      </c>
      <c r="B1889" s="14" t="str">
        <f ca="1">IFERROR(__xludf.DUMMYFUNCTION("""COMPUTED_VALUE"""),"skoblikigor.ru@mail.ru")</f>
        <v>skoblikigor.ru@mail.ru</v>
      </c>
      <c r="C1889" s="15" t="str">
        <f ca="1">IFERROR(__xludf.DUMMYFUNCTION("""COMPUTED_VALUE"""),"+375291111939")</f>
        <v>+375291111939</v>
      </c>
      <c r="D1889" s="15" t="str">
        <f ca="1">IFERROR(__xludf.DUMMYFUNCTION("""COMPUTED_VALUE"""),"Беларусь")</f>
        <v>Беларусь</v>
      </c>
      <c r="E1889" s="14"/>
      <c r="F1889" s="8" t="str">
        <f ca="1">IFERROR(__xludf.DUMMYFUNCTION("""COMPUTED_VALUE"""),"- Базовая бесплатная часть
- Тишина Челлендж (бесплатная часть)")</f>
        <v>- Базовая бесплатная часть
- Тишина Челлендж (бесплатная часть)</v>
      </c>
      <c r="G1889" s="14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</row>
    <row r="1890" spans="1:26" ht="14.25">
      <c r="A1890" s="14" t="str">
        <f ca="1">IFERROR(__xludf.DUMMYFUNCTION("""COMPUTED_VALUE"""),"Алёна Скок")</f>
        <v>Алёна Скок</v>
      </c>
      <c r="B1890" s="14" t="str">
        <f ca="1">IFERROR(__xludf.DUMMYFUNCTION("""COMPUTED_VALUE"""),"Skok_23@mail.ru")</f>
        <v>Skok_23@mail.ru</v>
      </c>
      <c r="C1890" s="15" t="str">
        <f ca="1">IFERROR(__xludf.DUMMYFUNCTION("""COMPUTED_VALUE"""),"79999999999")</f>
        <v>79999999999</v>
      </c>
      <c r="D1890" s="15"/>
      <c r="E1890" s="14"/>
      <c r="F1890" s="8" t="str">
        <f ca="1">IFERROR(__xludf.DUMMYFUNCTION("""COMPUTED_VALUE"""),"- Тишина Челлендж (бесплатная часть)")</f>
        <v>- Тишина Челлендж (бесплатная часть)</v>
      </c>
      <c r="G1890" s="14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</row>
    <row r="1891" spans="1:26" ht="14.25">
      <c r="A1891" s="14" t="str">
        <f ca="1">IFERROR(__xludf.DUMMYFUNCTION("""COMPUTED_VALUE"""),"Сергей Коршунов")</f>
        <v>Сергей Коршунов</v>
      </c>
      <c r="B1891" s="14" t="str">
        <f ca="1">IFERROR(__xludf.DUMMYFUNCTION("""COMPUTED_VALUE"""),"skorsunov90@gmail.com")</f>
        <v>skorsunov90@gmail.com</v>
      </c>
      <c r="C1891" s="15" t="str">
        <f ca="1">IFERROR(__xludf.DUMMYFUNCTION("""COMPUTED_VALUE"""),"+358449367436")</f>
        <v>+358449367436</v>
      </c>
      <c r="D1891" s="15" t="str">
        <f ca="1">IFERROR(__xludf.DUMMYFUNCTION("""COMPUTED_VALUE"""),"Финляндия")</f>
        <v>Финляндия</v>
      </c>
      <c r="E1891" s="14"/>
      <c r="F1891" s="8" t="str">
        <f ca="1">IFERROR(__xludf.DUMMYFUNCTION("""COMPUTED_VALUE"""),"- Онлайн курс Шаг к Шаг к Пробуждению №18 7-24 мая 2022")</f>
        <v>- Онлайн курс Шаг к Шаг к Пробуждению №18 7-24 мая 2022</v>
      </c>
      <c r="G1891" s="14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</row>
    <row r="1892" spans="1:26" ht="25.5">
      <c r="A1892" s="14" t="str">
        <f ca="1">IFERROR(__xludf.DUMMYFUNCTION("""COMPUTED_VALUE"""),"Александра Кс")</f>
        <v>Александра Кс</v>
      </c>
      <c r="B1892" s="14" t="str">
        <f ca="1">IFERROR(__xludf.DUMMYFUNCTION("""COMPUTED_VALUE"""),"Sksenofontova74@mail.ru")</f>
        <v>Sksenofontova74@mail.ru</v>
      </c>
      <c r="C1892" s="15" t="str">
        <f ca="1">IFERROR(__xludf.DUMMYFUNCTION("""COMPUTED_VALUE"""),"87713504188")</f>
        <v>87713504188</v>
      </c>
      <c r="D1892" s="15"/>
      <c r="E1892" s="14"/>
      <c r="F189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92" s="14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</row>
    <row r="1893" spans="1:26" ht="14.25">
      <c r="A1893" s="14" t="str">
        <f ca="1">IFERROR(__xludf.DUMMYFUNCTION("""COMPUTED_VALUE"""),"sky-51,  ")</f>
        <v xml:space="preserve">sky-51,  </v>
      </c>
      <c r="B1893" s="14" t="str">
        <f ca="1">IFERROR(__xludf.DUMMYFUNCTION("""COMPUTED_VALUE"""),"sky-51@yandex.ru")</f>
        <v>sky-51@yandex.ru</v>
      </c>
      <c r="C1893" s="15"/>
      <c r="D1893" s="15"/>
      <c r="E1893" s="14"/>
      <c r="F1893" s="8" t="str">
        <f ca="1">IFERROR(__xludf.DUMMYFUNCTION("""COMPUTED_VALUE"""),"- USA Челлендж Тишина")</f>
        <v>- USA Челлендж Тишина</v>
      </c>
      <c r="G1893" s="14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</row>
    <row r="1894" spans="1:26" ht="25.5">
      <c r="A1894" s="14" t="str">
        <f ca="1">IFERROR(__xludf.DUMMYFUNCTION("""COMPUTED_VALUE"""),"ВЯЧЕСЛАВ ПЛЫШЕВСКИЙ")</f>
        <v>ВЯЧЕСЛАВ ПЛЫШЕВСКИЙ</v>
      </c>
      <c r="B1894" s="14" t="str">
        <f ca="1">IFERROR(__xludf.DUMMYFUNCTION("""COMPUTED_VALUE"""),"Slava.pls@mail.ru")</f>
        <v>Slava.pls@mail.ru</v>
      </c>
      <c r="C1894" s="15" t="str">
        <f ca="1">IFERROR(__xludf.DUMMYFUNCTION("""COMPUTED_VALUE"""),"375297330814")</f>
        <v>375297330814</v>
      </c>
      <c r="D1894" s="15" t="str">
        <f ca="1">IFERROR(__xludf.DUMMYFUNCTION("""COMPUTED_VALUE"""),"Беларусь")</f>
        <v>Беларусь</v>
      </c>
      <c r="E1894" s="14" t="str">
        <f ca="1">IFERROR(__xludf.DUMMYFUNCTION("""COMPUTED_VALUE"""),"@Slavapls")</f>
        <v>@Slavapls</v>
      </c>
      <c r="F1894" s="8" t="str">
        <f ca="1">IFERROR(__xludf.DUMMYFUNCTION("""COMPUTED_VALUE"""),"- Клуб пробуждения Друзья (2 уровень) - 1 месяц
- Клуб пробуждения Друзья (Региональный)")</f>
        <v>- Клуб пробуждения Друзья (2 уровень) - 1 месяц
- Клуб пробуждения Друзья (Региональный)</v>
      </c>
      <c r="G1894" s="14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</row>
    <row r="1895" spans="1:26" ht="14.25">
      <c r="A1895" s="14" t="str">
        <f ca="1">IFERROR(__xludf.DUMMYFUNCTION("""COMPUTED_VALUE"""),"Савчук Сергей")</f>
        <v>Савчук Сергей</v>
      </c>
      <c r="B1895" s="14" t="str">
        <f ca="1">IFERROR(__xludf.DUMMYFUNCTION("""COMPUTED_VALUE"""),"sleepingdog.dev@gmail.com")</f>
        <v>sleepingdog.dev@gmail.com</v>
      </c>
      <c r="C1895" s="15" t="str">
        <f ca="1">IFERROR(__xludf.DUMMYFUNCTION("""COMPUTED_VALUE"""),", +375336407514")</f>
        <v>, +375336407514</v>
      </c>
      <c r="D1895" s="15" t="str">
        <f ca="1">IFERROR(__xludf.DUMMYFUNCTION("""COMPUTED_VALUE"""),"Беларусь")</f>
        <v>Беларусь</v>
      </c>
      <c r="E1895" s="14"/>
      <c r="F1895" s="8" t="str">
        <f ca="1">IFERROR(__xludf.DUMMYFUNCTION("""COMPUTED_VALUE"""),"Мероприятий не обнаружено")</f>
        <v>Мероприятий не обнаружено</v>
      </c>
      <c r="G1895" s="14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</row>
    <row r="1896" spans="1:26" ht="14.25">
      <c r="A1896" s="14" t="str">
        <f ca="1">IFERROR(__xludf.DUMMYFUNCTION("""COMPUTED_VALUE"""),"Артур Терегулов")</f>
        <v>Артур Терегулов</v>
      </c>
      <c r="B1896" s="14" t="str">
        <f ca="1">IFERROR(__xludf.DUMMYFUNCTION("""COMPUTED_VALUE"""),"sliceice@gmail.com")</f>
        <v>sliceice@gmail.com</v>
      </c>
      <c r="C1896" s="15" t="str">
        <f ca="1">IFERROR(__xludf.DUMMYFUNCTION("""COMPUTED_VALUE"""),"+375255406805")</f>
        <v>+375255406805</v>
      </c>
      <c r="D1896" s="15" t="str">
        <f ca="1">IFERROR(__xludf.DUMMYFUNCTION("""COMPUTED_VALUE"""),"Турция")</f>
        <v>Турция</v>
      </c>
      <c r="E1896" s="14"/>
      <c r="F1896" s="8" t="str">
        <f ca="1">IFERROR(__xludf.DUMMYFUNCTION("""COMPUTED_VALUE"""),"- Чайная встреча Разговор по душам Минск 12.03.2022")</f>
        <v>- Чайная встреча Разговор по душам Минск 12.03.2022</v>
      </c>
      <c r="G1896" s="14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</row>
    <row r="1897" spans="1:26" ht="25.5">
      <c r="A1897" s="14" t="str">
        <f ca="1">IFERROR(__xludf.DUMMYFUNCTION("""COMPUTED_VALUE"""),"Алёна Соколова")</f>
        <v>Алёна Соколова</v>
      </c>
      <c r="B1897" s="14" t="str">
        <f ca="1">IFERROR(__xludf.DUMMYFUNCTION("""COMPUTED_VALUE"""),"Slimika8012@gmail.com")</f>
        <v>Slimika8012@gmail.com</v>
      </c>
      <c r="C1897" s="15" t="str">
        <f ca="1">IFERROR(__xludf.DUMMYFUNCTION("""COMPUTED_VALUE"""),"+998907277220")</f>
        <v>+998907277220</v>
      </c>
      <c r="D1897" s="15"/>
      <c r="E1897" s="14"/>
      <c r="F189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897" s="14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</row>
    <row r="1898" spans="1:26" ht="14.25">
      <c r="A1898" s="14" t="str">
        <f ca="1">IFERROR(__xludf.DUMMYFUNCTION("""COMPUTED_VALUE"""),"Юлия Хованская")</f>
        <v>Юлия Хованская</v>
      </c>
      <c r="B1898" s="14" t="str">
        <f ca="1">IFERROR(__xludf.DUMMYFUNCTION("""COMPUTED_VALUE"""),"slyusarevayuliya78@gmail.com")</f>
        <v>slyusarevayuliya78@gmail.com</v>
      </c>
      <c r="C1898" s="15" t="str">
        <f ca="1">IFERROR(__xludf.DUMMYFUNCTION("""COMPUTED_VALUE"""),"+79805247432")</f>
        <v>+79805247432</v>
      </c>
      <c r="D1898" s="15" t="str">
        <f ca="1">IFERROR(__xludf.DUMMYFUNCTION("""COMPUTED_VALUE"""),"Россия")</f>
        <v>Россия</v>
      </c>
      <c r="E1898" s="14"/>
      <c r="F1898" s="8" t="str">
        <f ca="1">IFERROR(__xludf.DUMMYFUNCTION("""COMPUTED_VALUE"""),"- Однодневный онлайн ретрит 14 мая 2022")</f>
        <v>- Однодневный онлайн ретрит 14 мая 2022</v>
      </c>
      <c r="G1898" s="14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</row>
    <row r="1899" spans="1:26" ht="14.25">
      <c r="A1899" s="14" t="str">
        <f ca="1">IFERROR(__xludf.DUMMYFUNCTION("""COMPUTED_VALUE"""),"Сымбат Кущанова")</f>
        <v>Сымбат Кущанова</v>
      </c>
      <c r="B1899" s="14" t="str">
        <f ca="1">IFERROR(__xludf.DUMMYFUNCTION("""COMPUTED_VALUE"""),"Smas3011@gmail.com")</f>
        <v>Smas3011@gmail.com</v>
      </c>
      <c r="C1899" s="15" t="str">
        <f ca="1">IFERROR(__xludf.DUMMYFUNCTION("""COMPUTED_VALUE"""),", 87776744000")</f>
        <v>, 87776744000</v>
      </c>
      <c r="D1899" s="15" t="str">
        <f ca="1">IFERROR(__xludf.DUMMYFUNCTION("""COMPUTED_VALUE"""),"Казахстан")</f>
        <v>Казахстан</v>
      </c>
      <c r="E1899" s="14"/>
      <c r="F1899" s="8" t="str">
        <f ca="1">IFERROR(__xludf.DUMMYFUNCTION("""COMPUTED_VALUE"""),"Мероприятий не обнаружено")</f>
        <v>Мероприятий не обнаружено</v>
      </c>
      <c r="G1899" s="14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</row>
    <row r="1900" spans="1:26" ht="25.5">
      <c r="A1900" s="14" t="str">
        <f ca="1">IFERROR(__xludf.DUMMYFUNCTION("""COMPUTED_VALUE"""),"Светлана Савдид")</f>
        <v>Светлана Савдид</v>
      </c>
      <c r="B1900" s="14" t="str">
        <f ca="1">IFERROR(__xludf.DUMMYFUNCTION("""COMPUTED_VALUE"""),"smetanka@gmail.com")</f>
        <v>smetanka@gmail.com</v>
      </c>
      <c r="C1900" s="15" t="str">
        <f ca="1">IFERROR(__xludf.DUMMYFUNCTION("""COMPUTED_VALUE"""),"+79165003930")</f>
        <v>+79165003930</v>
      </c>
      <c r="D1900" s="15" t="str">
        <f ca="1">IFERROR(__xludf.DUMMYFUNCTION("""COMPUTED_VALUE"""),"Россия")</f>
        <v>Россия</v>
      </c>
      <c r="E1900" s="14"/>
      <c r="F1900" s="8" t="str">
        <f ca="1">IFERROR(__xludf.DUMMYFUNCTION("""COMPUTED_VALUE"""),"- Интенсив онлайн 11-13.02.2022
- АнтиЭго 2.0 ""Пакет Базовый"" 19.02 - 13.03.2022 (поток 1)")</f>
        <v>- Интенсив онлайн 11-13.02.2022
- АнтиЭго 2.0 "Пакет Базовый" 19.02 - 13.03.2022 (поток 1)</v>
      </c>
      <c r="G1900" s="14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</row>
    <row r="1901" spans="1:26" ht="25.5">
      <c r="A1901" s="14" t="str">
        <f ca="1">IFERROR(__xludf.DUMMYFUNCTION("""COMPUTED_VALUE"""),"Лилия Гайфутдинова")</f>
        <v>Лилия Гайфутдинова</v>
      </c>
      <c r="B1901" s="14" t="str">
        <f ca="1">IFERROR(__xludf.DUMMYFUNCTION("""COMPUTED_VALUE"""),"smilekaktus@icloud.com")</f>
        <v>smilekaktus@icloud.com</v>
      </c>
      <c r="C1901" s="15" t="str">
        <f ca="1">IFERROR(__xludf.DUMMYFUNCTION("""COMPUTED_VALUE"""),"79223636100")</f>
        <v>79223636100</v>
      </c>
      <c r="D1901" s="15" t="str">
        <f ca="1">IFERROR(__xludf.DUMMYFUNCTION("""COMPUTED_VALUE"""),"Россия")</f>
        <v>Россия</v>
      </c>
      <c r="E1901" s="14"/>
      <c r="F1901" s="8" t="str">
        <f ca="1">IFERROR(__xludf.DUMMYFUNCTION("""COMPUTED_VALUE"""),"- Интенсив  в Каменск-Уральском 27-29.5.2022 (оплата со 16 по 26 мая)")</f>
        <v>- Интенсив  в Каменск-Уральском 27-29.5.2022 (оплата со 16 по 26 мая)</v>
      </c>
      <c r="G1901" s="14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</row>
    <row r="1902" spans="1:26" ht="14.25">
      <c r="A1902" s="14" t="str">
        <f ca="1">IFERROR(__xludf.DUMMYFUNCTION("""COMPUTED_VALUE"""),"Елена Соболева")</f>
        <v>Елена Соболева</v>
      </c>
      <c r="B1902" s="14" t="str">
        <f ca="1">IFERROR(__xludf.DUMMYFUNCTION("""COMPUTED_VALUE"""),"soboleva137627@yandex.ru")</f>
        <v>soboleva137627@yandex.ru</v>
      </c>
      <c r="C1902" s="15" t="str">
        <f ca="1">IFERROR(__xludf.DUMMYFUNCTION("""COMPUTED_VALUE"""),"79615949053")</f>
        <v>79615949053</v>
      </c>
      <c r="D1902" s="15" t="str">
        <f ca="1">IFERROR(__xludf.DUMMYFUNCTION("""COMPUTED_VALUE"""),"Россия")</f>
        <v>Россия</v>
      </c>
      <c r="E1902" s="14"/>
      <c r="F1902" s="8" t="str">
        <f ca="1">IFERROR(__xludf.DUMMYFUNCTION("""COMPUTED_VALUE"""),"- Осознанная суббота Сочи регулярное")</f>
        <v>- Осознанная суббота Сочи регулярное</v>
      </c>
      <c r="G1902" s="14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</row>
    <row r="1903" spans="1:26" ht="14.25">
      <c r="A1903" s="14" t="str">
        <f ca="1">IFERROR(__xludf.DUMMYFUNCTION("""COMPUTED_VALUE"""),"Иван Николай")</f>
        <v>Иван Николай</v>
      </c>
      <c r="B1903" s="14" t="str">
        <f ca="1">IFERROR(__xludf.DUMMYFUNCTION("""COMPUTED_VALUE"""),"Sochium@gmail.com")</f>
        <v>Sochium@gmail.com</v>
      </c>
      <c r="C1903" s="15" t="str">
        <f ca="1">IFERROR(__xludf.DUMMYFUNCTION("""COMPUTED_VALUE"""),"380958306167")</f>
        <v>380958306167</v>
      </c>
      <c r="D1903" s="15"/>
      <c r="E1903" s="14"/>
      <c r="F1903" s="8" t="str">
        <f ca="1">IFERROR(__xludf.DUMMYFUNCTION("""COMPUTED_VALUE"""),"- Вебинар-батл Я уже все знаю! Мне не нужна Школа 9.01.2022")</f>
        <v>- Вебинар-батл Я уже все знаю! Мне не нужна Школа 9.01.2022</v>
      </c>
      <c r="G1903" s="14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</row>
    <row r="1904" spans="1:26" ht="14.25">
      <c r="A1904" s="14" t="str">
        <f ca="1">IFERROR(__xludf.DUMMYFUNCTION("""COMPUTED_VALUE""")," ")</f>
        <v xml:space="preserve"> </v>
      </c>
      <c r="B1904" s="14" t="str">
        <f ca="1">IFERROR(__xludf.DUMMYFUNCTION("""COMPUTED_VALUE"""),"sofapul@gmail.com")</f>
        <v>sofapul@gmail.com</v>
      </c>
      <c r="C1904" s="15"/>
      <c r="D1904" s="15"/>
      <c r="E1904" s="14"/>
      <c r="F1904" s="8" t="str">
        <f ca="1">IFERROR(__xludf.DUMMYFUNCTION("""COMPUTED_VALUE"""),"Мероприятий не обнаружено")</f>
        <v>Мероприятий не обнаружено</v>
      </c>
      <c r="G1904" s="14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</row>
    <row r="1905" spans="1:26" ht="25.5">
      <c r="A1905" s="14" t="str">
        <f ca="1">IFERROR(__xludf.DUMMYFUNCTION("""COMPUTED_VALUE"""),"Ольга Давыдова")</f>
        <v>Ольга Давыдова</v>
      </c>
      <c r="B1905" s="14" t="str">
        <f ca="1">IFERROR(__xludf.DUMMYFUNCTION("""COMPUTED_VALUE"""),"Sofi_davidova@mail.ru")</f>
        <v>Sofi_davidova@mail.ru</v>
      </c>
      <c r="C1905" s="15" t="str">
        <f ca="1">IFERROR(__xludf.DUMMYFUNCTION("""COMPUTED_VALUE"""),"998902305234")</f>
        <v>998902305234</v>
      </c>
      <c r="D1905" s="15"/>
      <c r="E1905" s="14"/>
      <c r="F190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905" s="14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</row>
    <row r="1906" spans="1:26" ht="14.25">
      <c r="A1906" s="14" t="str">
        <f ca="1">IFERROR(__xludf.DUMMYFUNCTION("""COMPUTED_VALUE"""),"Немцова Софья")</f>
        <v>Немцова Софья</v>
      </c>
      <c r="B1906" s="14" t="str">
        <f ca="1">IFERROR(__xludf.DUMMYFUNCTION("""COMPUTED_VALUE"""),"sofia_nemtsova@mail.ru")</f>
        <v>sofia_nemtsova@mail.ru</v>
      </c>
      <c r="C1906" s="15" t="str">
        <f ca="1">IFERROR(__xludf.DUMMYFUNCTION("""COMPUTED_VALUE"""),", +79224740748")</f>
        <v>, +79224740748</v>
      </c>
      <c r="D1906" s="15" t="str">
        <f ca="1">IFERROR(__xludf.DUMMYFUNCTION("""COMPUTED_VALUE"""),"Россия")</f>
        <v>Россия</v>
      </c>
      <c r="E1906" s="14"/>
      <c r="F1906" s="8" t="str">
        <f ca="1">IFERROR(__xludf.DUMMYFUNCTION("""COMPUTED_VALUE"""),"Мероприятий не обнаружено")</f>
        <v>Мероприятий не обнаружено</v>
      </c>
      <c r="G1906" s="14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</row>
    <row r="1907" spans="1:26" ht="25.5">
      <c r="A1907" s="14" t="str">
        <f ca="1">IFERROR(__xludf.DUMMYFUNCTION("""COMPUTED_VALUE"""),"Софья Павленко")</f>
        <v>Софья Павленко</v>
      </c>
      <c r="B1907" s="14" t="str">
        <f ca="1">IFERROR(__xludf.DUMMYFUNCTION("""COMPUTED_VALUE"""),"sofiapavlenko86@gmail.com")</f>
        <v>sofiapavlenko86@gmail.com</v>
      </c>
      <c r="C1907" s="15" t="str">
        <f ca="1">IFERROR(__xludf.DUMMYFUNCTION("""COMPUTED_VALUE"""),"79111570570")</f>
        <v>79111570570</v>
      </c>
      <c r="D1907" s="15" t="str">
        <f ca="1">IFERROR(__xludf.DUMMYFUNCTION("""COMPUTED_VALUE"""),"Россия")</f>
        <v>Россия</v>
      </c>
      <c r="E1907" s="14"/>
      <c r="F190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907" s="14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</row>
    <row r="1908" spans="1:26" ht="14.25">
      <c r="A1908" s="14" t="str">
        <f ca="1">IFERROR(__xludf.DUMMYFUNCTION("""COMPUTED_VALUE"""),"Дарья Сафронычева")</f>
        <v>Дарья Сафронычева</v>
      </c>
      <c r="B1908" s="14" t="str">
        <f ca="1">IFERROR(__xludf.DUMMYFUNCTION("""COMPUTED_VALUE"""),"sofija78@mail.ru")</f>
        <v>sofija78@mail.ru</v>
      </c>
      <c r="C1908" s="15" t="str">
        <f ca="1">IFERROR(__xludf.DUMMYFUNCTION("""COMPUTED_VALUE"""),", 79117707379")</f>
        <v>, 79117707379</v>
      </c>
      <c r="D1908" s="15" t="str">
        <f ca="1">IFERROR(__xludf.DUMMYFUNCTION("""COMPUTED_VALUE"""),"Россия")</f>
        <v>Россия</v>
      </c>
      <c r="E1908" s="14"/>
      <c r="F1908" s="8" t="str">
        <f ca="1">IFERROR(__xludf.DUMMYFUNCTION("""COMPUTED_VALUE"""),"Мероприятий не обнаружено")</f>
        <v>Мероприятий не обнаружено</v>
      </c>
      <c r="G1908" s="14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</row>
    <row r="1909" spans="1:26" ht="14.25">
      <c r="A1909" s="14" t="str">
        <f ca="1">IFERROR(__xludf.DUMMYFUNCTION("""COMPUTED_VALUE"""),"Ирина Солдатенкова")</f>
        <v>Ирина Солдатенкова</v>
      </c>
      <c r="B1909" s="14" t="str">
        <f ca="1">IFERROR(__xludf.DUMMYFUNCTION("""COMPUTED_VALUE"""),"sold4tenkova.i@ya.ru")</f>
        <v>sold4tenkova.i@ya.ru</v>
      </c>
      <c r="C1909" s="15" t="str">
        <f ca="1">IFERROR(__xludf.DUMMYFUNCTION("""COMPUTED_VALUE"""),"+79040306687")</f>
        <v>+79040306687</v>
      </c>
      <c r="D1909" s="15" t="str">
        <f ca="1">IFERROR(__xludf.DUMMYFUNCTION("""COMPUTED_VALUE"""),"Россия")</f>
        <v>Россия</v>
      </c>
      <c r="E1909" s="14"/>
      <c r="F1909" s="8" t="str">
        <f ca="1">IFERROR(__xludf.DUMMYFUNCTION("""COMPUTED_VALUE"""),"- Однодневный ретрит Россия 14 мая 2022")</f>
        <v>- Однодневный ретрит Россия 14 мая 2022</v>
      </c>
      <c r="G1909" s="14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</row>
    <row r="1910" spans="1:26" ht="25.5">
      <c r="A1910" s="14" t="str">
        <f ca="1">IFERROR(__xludf.DUMMYFUNCTION("""COMPUTED_VALUE"""),"Армен завенович")</f>
        <v>Армен завенович</v>
      </c>
      <c r="B1910" s="14" t="str">
        <f ca="1">IFERROR(__xludf.DUMMYFUNCTION("""COMPUTED_VALUE"""),"solkaryana@bk.ru")</f>
        <v>solkaryana@bk.ru</v>
      </c>
      <c r="C1910" s="15" t="str">
        <f ca="1">IFERROR(__xludf.DUMMYFUNCTION("""COMPUTED_VALUE"""),"+79000914623")</f>
        <v>+79000914623</v>
      </c>
      <c r="D1910" s="15"/>
      <c r="E1910" s="14"/>
      <c r="F191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910" s="14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</row>
    <row r="1911" spans="1:26" ht="25.5">
      <c r="A1911" s="14" t="str">
        <f ca="1">IFERROR(__xludf.DUMMYFUNCTION("""COMPUTED_VALUE"""),"Дарья Сургутанова")</f>
        <v>Дарья Сургутанова</v>
      </c>
      <c r="B1911" s="14" t="str">
        <f ca="1">IFERROR(__xludf.DUMMYFUNCTION("""COMPUTED_VALUE"""),"Solnishko890789@gmail.com")</f>
        <v>Solnishko890789@gmail.com</v>
      </c>
      <c r="C1911" s="15" t="str">
        <f ca="1">IFERROR(__xludf.DUMMYFUNCTION("""COMPUTED_VALUE"""),"87028569359")</f>
        <v>87028569359</v>
      </c>
      <c r="D1911" s="15"/>
      <c r="E1911" s="14"/>
      <c r="F191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911" s="14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</row>
    <row r="1912" spans="1:26" ht="51">
      <c r="A1912" s="14" t="str">
        <f ca="1">IFERROR(__xludf.DUMMYFUNCTION("""COMPUTED_VALUE"""),"Solvitai Kļaviņa")</f>
        <v>Solvitai Kļaviņa</v>
      </c>
      <c r="B1912" s="14" t="str">
        <f ca="1">IFERROR(__xludf.DUMMYFUNCTION("""COMPUTED_VALUE"""),"solvitaii@inbox.lv")</f>
        <v>solvitaii@inbox.lv</v>
      </c>
      <c r="C1912" s="15" t="str">
        <f ca="1">IFERROR(__xludf.DUMMYFUNCTION("""COMPUTED_VALUE"""),"29439885")</f>
        <v>29439885</v>
      </c>
      <c r="D1912" s="15" t="str">
        <f ca="1">IFERROR(__xludf.DUMMYFUNCTION("""COMPUTED_VALUE"""),"Latvija")</f>
        <v>Latvija</v>
      </c>
      <c r="E1912" s="14"/>
      <c r="F1912" s="8" t="str">
        <f ca="1">IFERROR(__xludf.DUMMYFUNCTION("""COMPUTED_VALUE"""),"- Челлендж Тишины
- Онлайн курс Шаг к Пробуждению №16 26.2-5.3.22 Пакет стандартный
-  Ретрит в Латвии 19-27.03.2022")</f>
        <v>- Челлендж Тишины
- Онлайн курс Шаг к Пробуждению №16 26.2-5.3.22 Пакет стандартный
-  Ретрит в Латвии 19-27.03.2022</v>
      </c>
      <c r="G1912" s="14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</row>
    <row r="1913" spans="1:26" ht="14.25">
      <c r="A1913" s="14" t="str">
        <f ca="1">IFERROR(__xludf.DUMMYFUNCTION("""COMPUTED_VALUE"""),"Александр Мищенко")</f>
        <v>Александр Мищенко</v>
      </c>
      <c r="B1913" s="14" t="str">
        <f ca="1">IFERROR(__xludf.DUMMYFUNCTION("""COMPUTED_VALUE"""),"sominion@mail.ru")</f>
        <v>sominion@mail.ru</v>
      </c>
      <c r="C1913" s="15" t="str">
        <f ca="1">IFERROR(__xludf.DUMMYFUNCTION("""COMPUTED_VALUE"""),"79184493967")</f>
        <v>79184493967</v>
      </c>
      <c r="D1913" s="15" t="str">
        <f ca="1">IFERROR(__xludf.DUMMYFUNCTION("""COMPUTED_VALUE"""),"Россия")</f>
        <v>Россия</v>
      </c>
      <c r="E1913" s="14"/>
      <c r="F1913" s="8" t="str">
        <f ca="1">IFERROR(__xludf.DUMMYFUNCTION("""COMPUTED_VALUE"""),"- Вебинар все о ретрите 12.2.2022")</f>
        <v>- Вебинар все о ретрите 12.2.2022</v>
      </c>
      <c r="G1913" s="14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</row>
    <row r="1914" spans="1:26" ht="14.25">
      <c r="A1914" s="14" t="str">
        <f ca="1">IFERROR(__xludf.DUMMYFUNCTION("""COMPUTED_VALUE"""),"son271177,  ")</f>
        <v xml:space="preserve">son271177,  </v>
      </c>
      <c r="B1914" s="14" t="str">
        <f ca="1">IFERROR(__xludf.DUMMYFUNCTION("""COMPUTED_VALUE"""),"son271177@mail.ru")</f>
        <v>son271177@mail.ru</v>
      </c>
      <c r="C1914" s="15"/>
      <c r="D1914" s="15"/>
      <c r="E1914" s="14"/>
      <c r="F1914" s="8" t="str">
        <f ca="1">IFERROR(__xludf.DUMMYFUNCTION("""COMPUTED_VALUE"""),"- Челлендж Тишины")</f>
        <v>- Челлендж Тишины</v>
      </c>
      <c r="G1914" s="14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</row>
    <row r="1915" spans="1:26" ht="14.25">
      <c r="A1915" s="14" t="str">
        <f ca="1">IFERROR(__xludf.DUMMYFUNCTION("""COMPUTED_VALUE"""),"sophiaflerova,  ")</f>
        <v xml:space="preserve">sophiaflerova,  </v>
      </c>
      <c r="B1915" s="14" t="str">
        <f ca="1">IFERROR(__xludf.DUMMYFUNCTION("""COMPUTED_VALUE"""),"sophiaflerova@gmail.com")</f>
        <v>sophiaflerova@gmail.com</v>
      </c>
      <c r="C1915" s="15"/>
      <c r="D1915" s="15"/>
      <c r="E1915" s="14"/>
      <c r="F1915" s="8" t="str">
        <f ca="1">IFERROR(__xludf.DUMMYFUNCTION("""COMPUTED_VALUE"""),"- USA Челлендж Тишина")</f>
        <v>- USA Челлендж Тишина</v>
      </c>
      <c r="G1915" s="14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</row>
    <row r="1916" spans="1:26" ht="14.25">
      <c r="A1916" s="14" t="str">
        <f ca="1">IFERROR(__xludf.DUMMYFUNCTION("""COMPUTED_VALUE"""),"Екатерина Соснина")</f>
        <v>Екатерина Соснина</v>
      </c>
      <c r="B1916" s="14" t="str">
        <f ca="1">IFERROR(__xludf.DUMMYFUNCTION("""COMPUTED_VALUE"""),"sosnina@givinschool.org")</f>
        <v>sosnina@givinschool.org</v>
      </c>
      <c r="C1916" s="15" t="str">
        <f ca="1">IFERROR(__xludf.DUMMYFUNCTION("""COMPUTED_VALUE"""),", 79276671613")</f>
        <v>, 79276671613</v>
      </c>
      <c r="D1916" s="15" t="str">
        <f ca="1">IFERROR(__xludf.DUMMYFUNCTION("""COMPUTED_VALUE"""),"Россия")</f>
        <v>Россия</v>
      </c>
      <c r="E1916" s="14" t="str">
        <f ca="1">IFERROR(__xludf.DUMMYFUNCTION("""COMPUTED_VALUE"""),"@KaterinaSosnina")</f>
        <v>@KaterinaSosnina</v>
      </c>
      <c r="F1916" s="8" t="str">
        <f ca="1">IFERROR(__xludf.DUMMYFUNCTION("""COMPUTED_VALUE"""),"Мероприятий не обнаружено")</f>
        <v>Мероприятий не обнаружено</v>
      </c>
      <c r="G1916" s="14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</row>
    <row r="1917" spans="1:26" ht="14.25">
      <c r="A1917" s="14" t="str">
        <f ca="1">IFERROR(__xludf.DUMMYFUNCTION("""COMPUTED_VALUE"""),"Варвара Гридина")</f>
        <v>Варвара Гридина</v>
      </c>
      <c r="B1917" s="14" t="str">
        <f ca="1">IFERROR(__xludf.DUMMYFUNCTION("""COMPUTED_VALUE"""),"spambin55@mail.ru")</f>
        <v>spambin55@mail.ru</v>
      </c>
      <c r="C1917" s="15" t="str">
        <f ca="1">IFERROR(__xludf.DUMMYFUNCTION("""COMPUTED_VALUE"""),"+13134135554")</f>
        <v>+13134135554</v>
      </c>
      <c r="D1917" s="15" t="str">
        <f ca="1">IFERROR(__xludf.DUMMYFUNCTION("""COMPUTED_VALUE"""),"United States")</f>
        <v>United States</v>
      </c>
      <c r="E1917" s="14"/>
      <c r="F1917" s="8" t="str">
        <f ca="1">IFERROR(__xludf.DUMMYFUNCTION("""COMPUTED_VALUE"""),"- USA Челлендж Тишина")</f>
        <v>- USA Челлендж Тишина</v>
      </c>
      <c r="G1917" s="14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</row>
    <row r="1918" spans="1:26" ht="14.25">
      <c r="A1918" s="14" t="str">
        <f ca="1">IFERROR(__xludf.DUMMYFUNCTION("""COMPUTED_VALUE"""),"Елена Ермолова")</f>
        <v>Елена Ермолова</v>
      </c>
      <c r="B1918" s="14" t="str">
        <f ca="1">IFERROR(__xludf.DUMMYFUNCTION("""COMPUTED_VALUE"""),"spd83@yandex.ru")</f>
        <v>spd83@yandex.ru</v>
      </c>
      <c r="C1918" s="15" t="str">
        <f ca="1">IFERROR(__xludf.DUMMYFUNCTION("""COMPUTED_VALUE"""),"79216500116")</f>
        <v>79216500116</v>
      </c>
      <c r="D1918" s="15" t="str">
        <f ca="1">IFERROR(__xludf.DUMMYFUNCTION("""COMPUTED_VALUE"""),"Россия")</f>
        <v>Россия</v>
      </c>
      <c r="E1918" s="14"/>
      <c r="F1918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1918" s="14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</row>
    <row r="1919" spans="1:26" ht="25.5">
      <c r="A1919" s="14" t="str">
        <f ca="1">IFERROR(__xludf.DUMMYFUNCTION("""COMPUTED_VALUE"""),"Сергей Шевчук, ")</f>
        <v xml:space="preserve">Сергей Шевчук, </v>
      </c>
      <c r="B1919" s="14" t="str">
        <f ca="1">IFERROR(__xludf.DUMMYFUNCTION("""COMPUTED_VALUE"""),"Specialist_@ukr.net")</f>
        <v>Specialist_@ukr.net</v>
      </c>
      <c r="C1919" s="15" t="str">
        <f ca="1">IFERROR(__xludf.DUMMYFUNCTION("""COMPUTED_VALUE"""),"+380982108532, ")</f>
        <v xml:space="preserve">+380982108532, </v>
      </c>
      <c r="D1919" s="15"/>
      <c r="E1919" s="14"/>
      <c r="F1919" s="8" t="str">
        <f ca="1">IFERROR(__xludf.DUMMYFUNCTION("""COMPUTED_VALUE"""),"- Клуб пробуждения Друзья (2 уровень) - 3 месяца - скидка 7%
- Клуб пробуждения Друзья (2 уровень) - 1 месяц")</f>
        <v>- Клуб пробуждения Друзья (2 уровень) - 3 месяца - скидка 7%
- Клуб пробуждения Друзья (2 уровень) - 1 месяц</v>
      </c>
      <c r="G1919" s="14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</row>
    <row r="1920" spans="1:26" ht="14.25">
      <c r="A1920" s="14" t="str">
        <f ca="1">IFERROR(__xludf.DUMMYFUNCTION("""COMPUTED_VALUE"""),"Mihail KIRYUSHCHENKOV")</f>
        <v>Mihail KIRYUSHCHENKOV</v>
      </c>
      <c r="B1920" s="14" t="str">
        <f ca="1">IFERROR(__xludf.DUMMYFUNCTION("""COMPUTED_VALUE"""),"sport3004@gmail.com")</f>
        <v>sport3004@gmail.com</v>
      </c>
      <c r="C1920" s="15" t="str">
        <f ca="1">IFERROR(__xludf.DUMMYFUNCTION("""COMPUTED_VALUE"""),"79081233883")</f>
        <v>79081233883</v>
      </c>
      <c r="D1920" s="15" t="str">
        <f ca="1">IFERROR(__xludf.DUMMYFUNCTION("""COMPUTED_VALUE"""),"Россия")</f>
        <v>Россия</v>
      </c>
      <c r="E1920" s="14"/>
      <c r="F1920" s="8" t="str">
        <f ca="1">IFERROR(__xludf.DUMMYFUNCTION("""COMPUTED_VALUE"""),"- Тишина Челлендж (бесплатная часть)")</f>
        <v>- Тишина Челлендж (бесплатная часть)</v>
      </c>
      <c r="G1920" s="14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</row>
    <row r="1921" spans="1:26" ht="14.25">
      <c r="A1921" s="14" t="str">
        <f ca="1">IFERROR(__xludf.DUMMYFUNCTION("""COMPUTED_VALUE"""),"Семён Посканной")</f>
        <v>Семён Посканной</v>
      </c>
      <c r="B1921" s="14" t="str">
        <f ca="1">IFERROR(__xludf.DUMMYFUNCTION("""COMPUTED_VALUE"""),"sposkannoy0@mail.ru")</f>
        <v>sposkannoy0@mail.ru</v>
      </c>
      <c r="C1921" s="15"/>
      <c r="D1921" s="15" t="str">
        <f ca="1">IFERROR(__xludf.DUMMYFUNCTION("""COMPUTED_VALUE"""),"Россия")</f>
        <v>Россия</v>
      </c>
      <c r="E1921" s="14"/>
      <c r="F1921" s="8" t="str">
        <f ca="1">IFERROR(__xludf.DUMMYFUNCTION("""COMPUTED_VALUE"""),"- Тишина Челлендж (бесплатная часть)")</f>
        <v>- Тишина Челлендж (бесплатная часть)</v>
      </c>
      <c r="G1921" s="14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</row>
    <row r="1922" spans="1:26" ht="14.25">
      <c r="A1922" s="14" t="str">
        <f ca="1">IFERROR(__xludf.DUMMYFUNCTION("""COMPUTED_VALUE"""),"Aislu Hamitova")</f>
        <v>Aislu Hamitova</v>
      </c>
      <c r="B1922" s="14" t="str">
        <f ca="1">IFERROR(__xludf.DUMMYFUNCTION("""COMPUTED_VALUE"""),"Srym.h1981@gmail.com")</f>
        <v>Srym.h1981@gmail.com</v>
      </c>
      <c r="C1922" s="15"/>
      <c r="D1922" s="15" t="str">
        <f ca="1">IFERROR(__xludf.DUMMYFUNCTION("""COMPUTED_VALUE"""),"Россия")</f>
        <v>Россия</v>
      </c>
      <c r="E1922" s="14"/>
      <c r="F1922" s="8" t="str">
        <f ca="1">IFERROR(__xludf.DUMMYFUNCTION("""COMPUTED_VALUE"""),"- Тишина Челлендж (бесплатная часть)")</f>
        <v>- Тишина Челлендж (бесплатная часть)</v>
      </c>
      <c r="G1922" s="14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</row>
    <row r="1923" spans="1:26" ht="25.5">
      <c r="A1923" s="14" t="str">
        <f ca="1">IFERROR(__xludf.DUMMYFUNCTION("""COMPUTED_VALUE"""),"Лена Савоськина")</f>
        <v>Лена Савоськина</v>
      </c>
      <c r="B1923" s="14" t="str">
        <f ca="1">IFERROR(__xludf.DUMMYFUNCTION("""COMPUTED_VALUE"""),"ssavoskinae@mail.ru")</f>
        <v>ssavoskinae@mail.ru</v>
      </c>
      <c r="C1923" s="15" t="str">
        <f ca="1">IFERROR(__xludf.DUMMYFUNCTION("""COMPUTED_VALUE"""),"87052600995")</f>
        <v>87052600995</v>
      </c>
      <c r="D1923" s="15"/>
      <c r="E1923" s="14"/>
      <c r="F192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923" s="14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</row>
    <row r="1924" spans="1:26" ht="14.25">
      <c r="A1924" s="14" t="str">
        <f ca="1">IFERROR(__xludf.DUMMYFUNCTION("""COMPUTED_VALUE"""),"Оксана Козырь")</f>
        <v>Оксана Козырь</v>
      </c>
      <c r="B1924" s="14" t="str">
        <f ca="1">IFERROR(__xludf.DUMMYFUNCTION("""COMPUTED_VALUE"""),"Ssldanov@gmail.com")</f>
        <v>Ssldanov@gmail.com</v>
      </c>
      <c r="C1924" s="15" t="str">
        <f ca="1">IFERROR(__xludf.DUMMYFUNCTION("""COMPUTED_VALUE"""),", 79031930091")</f>
        <v>, 79031930091</v>
      </c>
      <c r="D1924" s="15" t="str">
        <f ca="1">IFERROR(__xludf.DUMMYFUNCTION("""COMPUTED_VALUE"""),"Россия")</f>
        <v>Россия</v>
      </c>
      <c r="E1924" s="14"/>
      <c r="F1924" s="8" t="str">
        <f ca="1">IFERROR(__xludf.DUMMYFUNCTION("""COMPUTED_VALUE"""),"Мероприятий не обнаружено")</f>
        <v>Мероприятий не обнаружено</v>
      </c>
      <c r="G1924" s="14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</row>
    <row r="1925" spans="1:26" ht="14.25">
      <c r="A1925" s="14" t="str">
        <f ca="1">IFERROR(__xludf.DUMMYFUNCTION("""COMPUTED_VALUE"""),"Артём Ершов")</f>
        <v>Артём Ершов</v>
      </c>
      <c r="B1925" s="14" t="str">
        <f ca="1">IFERROR(__xludf.DUMMYFUNCTION("""COMPUTED_VALUE"""),"Ssvvjj87@gmail.com")</f>
        <v>Ssvvjj87@gmail.com</v>
      </c>
      <c r="C1925" s="15" t="str">
        <f ca="1">IFERROR(__xludf.DUMMYFUNCTION("""COMPUTED_VALUE"""),"+79286651765")</f>
        <v>+79286651765</v>
      </c>
      <c r="D1925" s="15" t="str">
        <f ca="1">IFERROR(__xludf.DUMMYFUNCTION("""COMPUTED_VALUE"""),"Россия")</f>
        <v>Россия</v>
      </c>
      <c r="E1925" s="14" t="str">
        <f ca="1">IFERROR(__xludf.DUMMYFUNCTION("""COMPUTED_VALUE"""),"@ShivArtOum")</f>
        <v>@ShivArtOum</v>
      </c>
      <c r="F1925" s="8" t="str">
        <f ca="1">IFERROR(__xludf.DUMMYFUNCTION("""COMPUTED_VALUE"""),"- Партнерская программа")</f>
        <v>- Партнерская программа</v>
      </c>
      <c r="G1925" s="14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</row>
    <row r="1926" spans="1:26" ht="14.25">
      <c r="A1926" s="14" t="str">
        <f ca="1">IFERROR(__xludf.DUMMYFUNCTION("""COMPUTED_VALUE"""),"Irina Shpatkovskaya")</f>
        <v>Irina Shpatkovskaya</v>
      </c>
      <c r="B1926" s="14" t="str">
        <f ca="1">IFERROR(__xludf.DUMMYFUNCTION("""COMPUTED_VALUE"""),"st_virginia@mail.ru")</f>
        <v>st_virginia@mail.ru</v>
      </c>
      <c r="C1926" s="15" t="str">
        <f ca="1">IFERROR(__xludf.DUMMYFUNCTION("""COMPUTED_VALUE"""),"87771616012")</f>
        <v>87771616012</v>
      </c>
      <c r="D1926" s="15" t="str">
        <f ca="1">IFERROR(__xludf.DUMMYFUNCTION("""COMPUTED_VALUE"""),"Казахстан")</f>
        <v>Казахстан</v>
      </c>
      <c r="E1926" s="14"/>
      <c r="F1926" s="8" t="str">
        <f ca="1">IFERROR(__xludf.DUMMYFUNCTION("""COMPUTED_VALUE"""),"- Тишина Челлендж (бесплатная часть)")</f>
        <v>- Тишина Челлендж (бесплатная часть)</v>
      </c>
      <c r="G1926" s="14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</row>
    <row r="1927" spans="1:26" ht="25.5">
      <c r="A1927" s="14" t="str">
        <f ca="1">IFERROR(__xludf.DUMMYFUNCTION("""COMPUTED_VALUE"""),"Станислав Ритенко")</f>
        <v>Станислав Ритенко</v>
      </c>
      <c r="B1927" s="14" t="str">
        <f ca="1">IFERROR(__xludf.DUMMYFUNCTION("""COMPUTED_VALUE"""),"Stanislove1387@icloud.com")</f>
        <v>Stanislove1387@icloud.com</v>
      </c>
      <c r="C1927" s="15" t="str">
        <f ca="1">IFERROR(__xludf.DUMMYFUNCTION("""COMPUTED_VALUE"""),"+998974608713")</f>
        <v>+998974608713</v>
      </c>
      <c r="D1927" s="15"/>
      <c r="E1927" s="14"/>
      <c r="F192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927" s="14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</row>
    <row r="1928" spans="1:26" ht="14.25">
      <c r="A1928" s="14" t="str">
        <f ca="1">IFERROR(__xludf.DUMMYFUNCTION("""COMPUTED_VALUE"""),"Татьяна Татьяна")</f>
        <v>Татьяна Татьяна</v>
      </c>
      <c r="B1928" s="14" t="str">
        <f ca="1">IFERROR(__xludf.DUMMYFUNCTION("""COMPUTED_VALUE"""),"star-1903@list.ru")</f>
        <v>star-1903@list.ru</v>
      </c>
      <c r="C1928" s="15" t="str">
        <f ca="1">IFERROR(__xludf.DUMMYFUNCTION("""COMPUTED_VALUE"""),"+375291988546")</f>
        <v>+375291988546</v>
      </c>
      <c r="D1928" s="15" t="str">
        <f ca="1">IFERROR(__xludf.DUMMYFUNCTION("""COMPUTED_VALUE"""),"Беларусь")</f>
        <v>Беларусь</v>
      </c>
      <c r="E1928" s="14"/>
      <c r="F1928" s="8" t="str">
        <f ca="1">IFERROR(__xludf.DUMMYFUNCTION("""COMPUTED_VALUE"""),"- Чайная встреча в Минске")</f>
        <v>- Чайная встреча в Минске</v>
      </c>
      <c r="G1928" s="14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</row>
    <row r="1929" spans="1:26" ht="25.5">
      <c r="A1929" s="14" t="str">
        <f ca="1">IFERROR(__xludf.DUMMYFUNCTION("""COMPUTED_VALUE"""),"Светлана Жарких")</f>
        <v>Светлана Жарких</v>
      </c>
      <c r="B1929" s="14" t="str">
        <f ca="1">IFERROR(__xludf.DUMMYFUNCTION("""COMPUTED_VALUE"""),"star.svetlana.ss55@gmail.com")</f>
        <v>star.svetlana.ss55@gmail.com</v>
      </c>
      <c r="C1929" s="15" t="str">
        <f ca="1">IFERROR(__xludf.DUMMYFUNCTION("""COMPUTED_VALUE"""),"+79924275161")</f>
        <v>+79924275161</v>
      </c>
      <c r="D1929" s="15" t="str">
        <f ca="1">IFERROR(__xludf.DUMMYFUNCTION("""COMPUTED_VALUE"""),"Россия")</f>
        <v>Россия</v>
      </c>
      <c r="E1929" s="14"/>
      <c r="F1929" s="8" t="str">
        <f ca="1">IFERROR(__xludf.DUMMYFUNCTION("""COMPUTED_VALUE"""),"- Партнерская программа
- Вебинар с Никитой Бородулиным 11.02.2022 часть1")</f>
        <v>- Партнерская программа
- Вебинар с Никитой Бородулиным 11.02.2022 часть1</v>
      </c>
      <c r="G1929" s="14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</row>
    <row r="1930" spans="1:26" ht="14.25">
      <c r="A1930" s="14" t="str">
        <f ca="1">IFERROR(__xludf.DUMMYFUNCTION("""COMPUTED_VALUE"""),"Аляксандр Iванавiч Старосценка")</f>
        <v>Аляксандр Iванавiч Старосценка</v>
      </c>
      <c r="B1930" s="14" t="str">
        <f ca="1">IFERROR(__xludf.DUMMYFUNCTION("""COMPUTED_VALUE"""),"starost65@gmail.com")</f>
        <v>starost65@gmail.com</v>
      </c>
      <c r="C1930" s="15" t="str">
        <f ca="1">IFERROR(__xludf.DUMMYFUNCTION("""COMPUTED_VALUE"""),"0296273781")</f>
        <v>0296273781</v>
      </c>
      <c r="D1930" s="15" t="str">
        <f ca="1">IFERROR(__xludf.DUMMYFUNCTION("""COMPUTED_VALUE"""),"Беларусь")</f>
        <v>Беларусь</v>
      </c>
      <c r="E1930" s="14"/>
      <c r="F1930" s="8" t="str">
        <f ca="1">IFERROR(__xludf.DUMMYFUNCTION("""COMPUTED_VALUE"""),"- Чайная встреча в Минске 8.1.22")</f>
        <v>- Чайная встреча в Минске 8.1.22</v>
      </c>
      <c r="G1930" s="14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</row>
    <row r="1931" spans="1:26" ht="14.25">
      <c r="A1931" s="14" t="str">
        <f ca="1">IFERROR(__xludf.DUMMYFUNCTION("""COMPUTED_VALUE"""),"Артём Тулинов")</f>
        <v>Артём Тулинов</v>
      </c>
      <c r="B1931" s="14" t="str">
        <f ca="1">IFERROR(__xludf.DUMMYFUNCTION("""COMPUTED_VALUE"""),"steal8888tsrget@yandex.ru")</f>
        <v>steal8888tsrget@yandex.ru</v>
      </c>
      <c r="C1931" s="15" t="str">
        <f ca="1">IFERROR(__xludf.DUMMYFUNCTION("""COMPUTED_VALUE"""),", +79051735687")</f>
        <v>, +79051735687</v>
      </c>
      <c r="D1931" s="15" t="str">
        <f ca="1">IFERROR(__xludf.DUMMYFUNCTION("""COMPUTED_VALUE"""),"Россия")</f>
        <v>Россия</v>
      </c>
      <c r="E1931" s="14" t="str">
        <f ca="1">IFERROR(__xludf.DUMMYFUNCTION("""COMPUTED_VALUE"""),"@Artemtema888")</f>
        <v>@Artemtema888</v>
      </c>
      <c r="F1931" s="8" t="str">
        <f ca="1">IFERROR(__xludf.DUMMYFUNCTION("""COMPUTED_VALUE"""),"Мероприятий не обнаружено")</f>
        <v>Мероприятий не обнаружено</v>
      </c>
      <c r="G1931" s="14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</row>
    <row r="1932" spans="1:26" ht="76.5">
      <c r="A1932" s="14" t="str">
        <f ca="1">IFERROR(__xludf.DUMMYFUNCTION("""COMPUTED_VALUE"""),"Лилия Степанова")</f>
        <v>Лилия Степанова</v>
      </c>
      <c r="B1932" s="14" t="str">
        <f ca="1">IFERROR(__xludf.DUMMYFUNCTION("""COMPUTED_VALUE"""),"step.lil.val@gmail.com")</f>
        <v>step.lil.val@gmail.com</v>
      </c>
      <c r="C1932" s="15" t="str">
        <f ca="1">IFERROR(__xludf.DUMMYFUNCTION("""COMPUTED_VALUE"""),"+79533084407")</f>
        <v>+79533084407</v>
      </c>
      <c r="D1932" s="15" t="str">
        <f ca="1">IFERROR(__xludf.DUMMYFUNCTION("""COMPUTED_VALUE"""),"Россия")</f>
        <v>Россия</v>
      </c>
      <c r="E1932" s="14" t="str">
        <f ca="1">IFERROR(__xludf.DUMMYFUNCTION("""COMPUTED_VALUE"""),"Лилия ")</f>
        <v xml:space="preserve">Лилия </v>
      </c>
      <c r="F1932" s="8" t="str">
        <f ca="1">IFERROR(__xludf.DUMMYFUNCTION("""COMPUTED_VALUE"""),"- Тишина Челлендж
- Онлайн курс Шаг к Пробуждению №17 2-19.4.22 Пакет индивидуальный
- Онлайн курс Шаг к Пробуждению №17 2-19.4.22 Пакет стандартный
- Однодневный ретрит Россия 14 мая 2022")</f>
        <v>- Тишина Челлендж
- Онлайн курс Шаг к Пробуждению №17 2-19.4.22 Пакет индивидуальный
- Онлайн курс Шаг к Пробуждению №17 2-19.4.22 Пакет стандартный
- Однодневный ретрит Россия 14 мая 2022</v>
      </c>
      <c r="G1932" s="14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</row>
    <row r="1933" spans="1:26" ht="14.25">
      <c r="A1933" s="14" t="str">
        <f ca="1">IFERROR(__xludf.DUMMYFUNCTION("""COMPUTED_VALUE"""),"Александра Степанюк")</f>
        <v>Александра Степанюк</v>
      </c>
      <c r="B1933" s="14" t="str">
        <f ca="1">IFERROR(__xludf.DUMMYFUNCTION("""COMPUTED_VALUE"""),"stepanyuk_2020@inbox.ru")</f>
        <v>stepanyuk_2020@inbox.ru</v>
      </c>
      <c r="C1933" s="15" t="str">
        <f ca="1">IFERROR(__xludf.DUMMYFUNCTION("""COMPUTED_VALUE"""),"+375297938190")</f>
        <v>+375297938190</v>
      </c>
      <c r="D1933" s="15" t="str">
        <f ca="1">IFERROR(__xludf.DUMMYFUNCTION("""COMPUTED_VALUE"""),"Беларусь")</f>
        <v>Беларусь</v>
      </c>
      <c r="E1933" s="14"/>
      <c r="F1933" s="8" t="str">
        <f ca="1">IFERROR(__xludf.DUMMYFUNCTION("""COMPUTED_VALUE"""),"- Живая ""Практика Тишины"" Минск (регулярные занятия)")</f>
        <v>- Живая "Практика Тишины" Минск (регулярные занятия)</v>
      </c>
      <c r="G1933" s="14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</row>
    <row r="1934" spans="1:26" ht="14.25">
      <c r="A1934" s="14" t="str">
        <f ca="1">IFERROR(__xludf.DUMMYFUNCTION("""COMPUTED_VALUE"""),"Анастасия Иванова")</f>
        <v>Анастасия Иванова</v>
      </c>
      <c r="B1934" s="14" t="str">
        <f ca="1">IFERROR(__xludf.DUMMYFUNCTION("""COMPUTED_VALUE"""),"stesi04021983@gmail.com")</f>
        <v>stesi04021983@gmail.com</v>
      </c>
      <c r="C1934" s="15"/>
      <c r="D1934" s="15" t="str">
        <f ca="1">IFERROR(__xludf.DUMMYFUNCTION("""COMPUTED_VALUE"""),"Швеция")</f>
        <v>Швеция</v>
      </c>
      <c r="E1934" s="14"/>
      <c r="F1934" s="8" t="str">
        <f ca="1">IFERROR(__xludf.DUMMYFUNCTION("""COMPUTED_VALUE"""),"- Тишина Челлендж (бесплатная часть)")</f>
        <v>- Тишина Челлендж (бесплатная часть)</v>
      </c>
      <c r="G1934" s="14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</row>
    <row r="1935" spans="1:26" ht="14.25">
      <c r="A1935" s="14" t="str">
        <f ca="1">IFERROR(__xludf.DUMMYFUNCTION("""COMPUTED_VALUE"""),"Наталья Бочкарева")</f>
        <v>Наталья Бочкарева</v>
      </c>
      <c r="B1935" s="14" t="str">
        <f ca="1">IFERROR(__xludf.DUMMYFUNCTION("""COMPUTED_VALUE"""),"Stichmama@rambler.ru")</f>
        <v>Stichmama@rambler.ru</v>
      </c>
      <c r="C1935" s="15" t="str">
        <f ca="1">IFERROR(__xludf.DUMMYFUNCTION("""COMPUTED_VALUE"""),"+79080635229")</f>
        <v>+79080635229</v>
      </c>
      <c r="D1935" s="15" t="str">
        <f ca="1">IFERROR(__xludf.DUMMYFUNCTION("""COMPUTED_VALUE"""),"Россия")</f>
        <v>Россия</v>
      </c>
      <c r="E1935" s="14"/>
      <c r="F1935" s="8" t="str">
        <f ca="1">IFERROR(__xludf.DUMMYFUNCTION("""COMPUTED_VALUE"""),"- Практика тишины Магнитогорск 19.02.2022")</f>
        <v>- Практика тишины Магнитогорск 19.02.2022</v>
      </c>
      <c r="G1935" s="14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</row>
    <row r="1936" spans="1:26" ht="14.25">
      <c r="A1936" s="14" t="str">
        <f ca="1">IFERROR(__xludf.DUMMYFUNCTION("""COMPUTED_VALUE"""),"Александр Малашевский")</f>
        <v>Александр Малашевский</v>
      </c>
      <c r="B1936" s="14" t="str">
        <f ca="1">IFERROR(__xludf.DUMMYFUNCTION("""COMPUTED_VALUE"""),"stihi.ya@list.ru")</f>
        <v>stihi.ya@list.ru</v>
      </c>
      <c r="C1936" s="15" t="str">
        <f ca="1">IFERROR(__xludf.DUMMYFUNCTION("""COMPUTED_VALUE"""),"79009467744")</f>
        <v>79009467744</v>
      </c>
      <c r="D1936" s="15" t="str">
        <f ca="1">IFERROR(__xludf.DUMMYFUNCTION("""COMPUTED_VALUE"""),"Россия")</f>
        <v>Россия</v>
      </c>
      <c r="E1936" s="14"/>
      <c r="F1936" s="8" t="str">
        <f ca="1">IFERROR(__xludf.DUMMYFUNCTION("""COMPUTED_VALUE"""),"- Вводный вебинар 3.5.22 на Шаг к Пробуждению")</f>
        <v>- Вводный вебинар 3.5.22 на Шаг к Пробуждению</v>
      </c>
      <c r="G1936" s="14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</row>
    <row r="1937" spans="1:26" ht="25.5">
      <c r="A1937" s="14" t="str">
        <f ca="1">IFERROR(__xludf.DUMMYFUNCTION("""COMPUTED_VALUE"""),"Оксана Аманбаева")</f>
        <v>Оксана Аманбаева</v>
      </c>
      <c r="B1937" s="14" t="str">
        <f ca="1">IFERROR(__xludf.DUMMYFUNCTION("""COMPUTED_VALUE"""),"stilist507@mail.ru")</f>
        <v>stilist507@mail.ru</v>
      </c>
      <c r="C1937" s="15" t="str">
        <f ca="1">IFERROR(__xludf.DUMMYFUNCTION("""COMPUTED_VALUE"""),"+77013375107")</f>
        <v>+77013375107</v>
      </c>
      <c r="D1937" s="15"/>
      <c r="E1937" s="14"/>
      <c r="F193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937" s="14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</row>
    <row r="1938" spans="1:26" ht="14.25">
      <c r="A1938" s="14" t="str">
        <f ca="1">IFERROR(__xludf.DUMMYFUNCTION("""COMPUTED_VALUE"""),"stralkova,  ")</f>
        <v xml:space="preserve">stralkova,  </v>
      </c>
      <c r="B1938" s="14" t="str">
        <f ca="1">IFERROR(__xludf.DUMMYFUNCTION("""COMPUTED_VALUE"""),"stralkova@yahoo.com")</f>
        <v>stralkova@yahoo.com</v>
      </c>
      <c r="C1938" s="15"/>
      <c r="D1938" s="15"/>
      <c r="E1938" s="14"/>
      <c r="F1938" s="8" t="str">
        <f ca="1">IFERROR(__xludf.DUMMYFUNCTION("""COMPUTED_VALUE"""),"- USA Челлендж Тишина")</f>
        <v>- USA Челлендж Тишина</v>
      </c>
      <c r="G1938" s="14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</row>
    <row r="1939" spans="1:26" ht="14.25">
      <c r="A1939" s="14" t="str">
        <f ca="1">IFERROR(__xludf.DUMMYFUNCTION("""COMPUTED_VALUE"""),"Елена Стрюкова")</f>
        <v>Елена Стрюкова</v>
      </c>
      <c r="B1939" s="14" t="str">
        <f ca="1">IFERROR(__xludf.DUMMYFUNCTION("""COMPUTED_VALUE"""),"Stryelena@yandex.ru")</f>
        <v>Stryelena@yandex.ru</v>
      </c>
      <c r="C1939" s="15"/>
      <c r="D1939" s="15" t="str">
        <f ca="1">IFERROR(__xludf.DUMMYFUNCTION("""COMPUTED_VALUE"""),"США")</f>
        <v>США</v>
      </c>
      <c r="E1939" s="14"/>
      <c r="F1939" s="8" t="str">
        <f ca="1">IFERROR(__xludf.DUMMYFUNCTION("""COMPUTED_VALUE"""),"- Тишина Челлендж (бесплатная часть)")</f>
        <v>- Тишина Челлендж (бесплатная часть)</v>
      </c>
      <c r="G1939" s="14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</row>
    <row r="1940" spans="1:26" ht="14.25">
      <c r="A1940" s="14" t="str">
        <f ca="1">IFERROR(__xludf.DUMMYFUNCTION("""COMPUTED_VALUE"""),"Калина Сухомлинова")</f>
        <v>Калина Сухомлинова</v>
      </c>
      <c r="B1940" s="14" t="str">
        <f ca="1">IFERROR(__xludf.DUMMYFUNCTION("""COMPUTED_VALUE"""),"Suhomlinowanata@yandex.ru")</f>
        <v>Suhomlinowanata@yandex.ru</v>
      </c>
      <c r="C1940" s="15" t="str">
        <f ca="1">IFERROR(__xludf.DUMMYFUNCTION("""COMPUTED_VALUE"""),"+79615825819")</f>
        <v>+79615825819</v>
      </c>
      <c r="D1940" s="15" t="str">
        <f ca="1">IFERROR(__xludf.DUMMYFUNCTION("""COMPUTED_VALUE"""),"Россия")</f>
        <v>Россия</v>
      </c>
      <c r="E1940" s="14"/>
      <c r="F1940" s="8" t="str">
        <f ca="1">IFERROR(__xludf.DUMMYFUNCTION("""COMPUTED_VALUE"""),"- Тишина Челлендж (бесплатная часть)")</f>
        <v>- Тишина Челлендж (бесплатная часть)</v>
      </c>
      <c r="G1940" s="14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</row>
    <row r="1941" spans="1:26" ht="25.5">
      <c r="A1941" s="14" t="str">
        <f ca="1">IFERROR(__xludf.DUMMYFUNCTION("""COMPUTED_VALUE"""),"Анара Сулейменова")</f>
        <v>Анара Сулейменова</v>
      </c>
      <c r="B1941" s="14" t="str">
        <f ca="1">IFERROR(__xludf.DUMMYFUNCTION("""COMPUTED_VALUE"""),"suleimenovaa@icloud.com")</f>
        <v>suleimenovaa@icloud.com</v>
      </c>
      <c r="C1941" s="15" t="str">
        <f ca="1">IFERROR(__xludf.DUMMYFUNCTION("""COMPUTED_VALUE"""),"77014016226")</f>
        <v>77014016226</v>
      </c>
      <c r="D1941" s="15" t="str">
        <f ca="1">IFERROR(__xludf.DUMMYFUNCTION("""COMPUTED_VALUE"""),"Казахстан ")</f>
        <v xml:space="preserve">Казахстан </v>
      </c>
      <c r="E1941" s="14"/>
      <c r="F194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941" s="14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</row>
    <row r="1942" spans="1:26" ht="25.5">
      <c r="A1942" s="14" t="str">
        <f ca="1">IFERROR(__xludf.DUMMYFUNCTION("""COMPUTED_VALUE"""),"Мадина Сулейменова")</f>
        <v>Мадина Сулейменова</v>
      </c>
      <c r="B1942" s="14" t="str">
        <f ca="1">IFERROR(__xludf.DUMMYFUNCTION("""COMPUTED_VALUE"""),"sulejmenova-1990@mail.ru")</f>
        <v>sulejmenova-1990@mail.ru</v>
      </c>
      <c r="C1942" s="15" t="str">
        <f ca="1">IFERROR(__xludf.DUMMYFUNCTION("""COMPUTED_VALUE"""),"+77012223520")</f>
        <v>+77012223520</v>
      </c>
      <c r="D1942" s="15"/>
      <c r="E1942" s="14"/>
      <c r="F194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942" s="14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</row>
    <row r="1943" spans="1:26" ht="14.25">
      <c r="A1943" s="14" t="str">
        <f ca="1">IFERROR(__xludf.DUMMYFUNCTION("""COMPUTED_VALUE"""),"Анджела Линкевич")</f>
        <v>Анджела Линкевич</v>
      </c>
      <c r="B1943" s="14" t="str">
        <f ca="1">IFERROR(__xludf.DUMMYFUNCTION("""COMPUTED_VALUE"""),"sunny_lol@inbox.ru")</f>
        <v>sunny_lol@inbox.ru</v>
      </c>
      <c r="C1943" s="15" t="str">
        <f ca="1">IFERROR(__xludf.DUMMYFUNCTION("""COMPUTED_VALUE"""),"+375292541347")</f>
        <v>+375292541347</v>
      </c>
      <c r="D1943" s="15" t="str">
        <f ca="1">IFERROR(__xludf.DUMMYFUNCTION("""COMPUTED_VALUE"""),"Беларусь")</f>
        <v>Беларусь</v>
      </c>
      <c r="E1943" s="14"/>
      <c r="F1943" s="8" t="str">
        <f ca="1">IFERROR(__xludf.DUMMYFUNCTION("""COMPUTED_VALUE"""),"- Чайная встреча Разговор по душам Минск 11.12.2021")</f>
        <v>- Чайная встреча Разговор по душам Минск 11.12.2021</v>
      </c>
      <c r="G1943" s="14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</row>
    <row r="1944" spans="1:26" ht="14.25">
      <c r="A1944" s="14" t="str">
        <f ca="1">IFERROR(__xludf.DUMMYFUNCTION("""COMPUTED_VALUE"""),"Юля Жданова")</f>
        <v>Юля Жданова</v>
      </c>
      <c r="B1944" s="14" t="str">
        <f ca="1">IFERROR(__xludf.DUMMYFUNCTION("""COMPUTED_VALUE"""),"sunnyfoxsmiles@gmail.com")</f>
        <v>sunnyfoxsmiles@gmail.com</v>
      </c>
      <c r="C1944" s="15" t="str">
        <f ca="1">IFERROR(__xludf.DUMMYFUNCTION("""COMPUTED_VALUE"""),"+79022666558")</f>
        <v>+79022666558</v>
      </c>
      <c r="D1944" s="15" t="str">
        <f ca="1">IFERROR(__xludf.DUMMYFUNCTION("""COMPUTED_VALUE"""),"Россия")</f>
        <v>Россия</v>
      </c>
      <c r="E1944" s="14"/>
      <c r="F1944" s="8" t="str">
        <f ca="1">IFERROR(__xludf.DUMMYFUNCTION("""COMPUTED_VALUE"""),"- Сатсанг и чайная встреча Екатеринбург 17.2 2022")</f>
        <v>- Сатсанг и чайная встреча Екатеринбург 17.2 2022</v>
      </c>
      <c r="G1944" s="14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</row>
    <row r="1945" spans="1:26" ht="14.25">
      <c r="A1945" s="14" t="str">
        <f ca="1">IFERROR(__xludf.DUMMYFUNCTION("""COMPUTED_VALUE"""),"Сурайё Ахмедова")</f>
        <v>Сурайё Ахмедова</v>
      </c>
      <c r="B1945" s="14" t="str">
        <f ca="1">IFERROR(__xludf.DUMMYFUNCTION("""COMPUTED_VALUE"""),"suraye.akhmedova.81@gmail.com")</f>
        <v>suraye.akhmedova.81@gmail.com</v>
      </c>
      <c r="C1945" s="15" t="str">
        <f ca="1">IFERROR(__xludf.DUMMYFUNCTION("""COMPUTED_VALUE"""),", +998991170707")</f>
        <v>, +998991170707</v>
      </c>
      <c r="D1945" s="15"/>
      <c r="E1945" s="14"/>
      <c r="F1945" s="8" t="str">
        <f ca="1">IFERROR(__xludf.DUMMYFUNCTION("""COMPUTED_VALUE"""),"Мероприятий не обнаружено")</f>
        <v>Мероприятий не обнаружено</v>
      </c>
      <c r="G1945" s="14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</row>
    <row r="1946" spans="1:26" ht="14.25">
      <c r="A1946" s="14" t="str">
        <f ca="1">IFERROR(__xludf.DUMMYFUNCTION("""COMPUTED_VALUE"""),"susannahveskov,  ")</f>
        <v xml:space="preserve">susannahveskov,  </v>
      </c>
      <c r="B1946" s="14" t="str">
        <f ca="1">IFERROR(__xludf.DUMMYFUNCTION("""COMPUTED_VALUE"""),"susannahveskov@gmail.com")</f>
        <v>susannahveskov@gmail.com</v>
      </c>
      <c r="C1946" s="15"/>
      <c r="D1946" s="15"/>
      <c r="E1946" s="14"/>
      <c r="F1946" s="8" t="str">
        <f ca="1">IFERROR(__xludf.DUMMYFUNCTION("""COMPUTED_VALUE"""),"- USA Челлендж Тишина")</f>
        <v>- USA Челлендж Тишина</v>
      </c>
      <c r="G1946" s="14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</row>
    <row r="1947" spans="1:26" ht="14.25">
      <c r="A1947" s="14" t="str">
        <f ca="1">IFERROR(__xludf.DUMMYFUNCTION("""COMPUTED_VALUE"""),"Susanne VISSER")</f>
        <v>Susanne VISSER</v>
      </c>
      <c r="B1947" s="14" t="str">
        <f ca="1">IFERROR(__xludf.DUMMYFUNCTION("""COMPUTED_VALUE"""),"susannevisser7@hotmail.com")</f>
        <v>susannevisser7@hotmail.com</v>
      </c>
      <c r="C1947" s="15"/>
      <c r="D1947" s="15"/>
      <c r="E1947" s="14"/>
      <c r="F1947" s="8" t="str">
        <f ca="1">IFERROR(__xludf.DUMMYFUNCTION("""COMPUTED_VALUE"""),"- What hides behind anxiety? The quantum leap [EU]")</f>
        <v>- What hides behind anxiety? The quantum leap [EU]</v>
      </c>
      <c r="G1947" s="14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</row>
    <row r="1948" spans="1:26" ht="14.25">
      <c r="A1948" s="14" t="str">
        <f ca="1">IFERROR(__xludf.DUMMYFUNCTION("""COMPUTED_VALUE"""),"Владимир Суворкин")</f>
        <v>Владимир Суворкин</v>
      </c>
      <c r="B1948" s="14" t="str">
        <f ca="1">IFERROR(__xludf.DUMMYFUNCTION("""COMPUTED_VALUE"""),"Suvorkin2005@gmail.com")</f>
        <v>Suvorkin2005@gmail.com</v>
      </c>
      <c r="C1948" s="15" t="str">
        <f ca="1">IFERROR(__xludf.DUMMYFUNCTION("""COMPUTED_VALUE"""),"+4917662254951")</f>
        <v>+4917662254951</v>
      </c>
      <c r="D1948" s="15" t="str">
        <f ca="1">IFERROR(__xludf.DUMMYFUNCTION("""COMPUTED_VALUE"""),"Германия")</f>
        <v>Германия</v>
      </c>
      <c r="E1948" s="14"/>
      <c r="F1948" s="8" t="str">
        <f ca="1">IFERROR(__xludf.DUMMYFUNCTION("""COMPUTED_VALUE"""),"- Вебинар все о ретрите 12.2.2022")</f>
        <v>- Вебинар все о ретрите 12.2.2022</v>
      </c>
      <c r="G1948" s="14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</row>
    <row r="1949" spans="1:26" ht="14.25">
      <c r="A1949" s="14" t="str">
        <f ca="1">IFERROR(__xludf.DUMMYFUNCTION("""COMPUTED_VALUE"""),"suyetova.o,  ")</f>
        <v xml:space="preserve">suyetova.o,  </v>
      </c>
      <c r="B1949" s="14" t="str">
        <f ca="1">IFERROR(__xludf.DUMMYFUNCTION("""COMPUTED_VALUE"""),"suyetova.o@gmail.com")</f>
        <v>suyetova.o@gmail.com</v>
      </c>
      <c r="C1949" s="15"/>
      <c r="D1949" s="15"/>
      <c r="E1949" s="14"/>
      <c r="F1949" s="8" t="str">
        <f ca="1">IFERROR(__xludf.DUMMYFUNCTION("""COMPUTED_VALUE"""),"- USA Челлендж Тишина")</f>
        <v>- USA Челлендж Тишина</v>
      </c>
      <c r="G1949" s="14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</row>
    <row r="1950" spans="1:26" ht="25.5">
      <c r="A1950" s="14" t="str">
        <f ca="1">IFERROR(__xludf.DUMMYFUNCTION("""COMPUTED_VALUE"""),"Екатерина Лавга")</f>
        <v>Екатерина Лавга</v>
      </c>
      <c r="B1950" s="14" t="str">
        <f ca="1">IFERROR(__xludf.DUMMYFUNCTION("""COMPUTED_VALUE"""),"Suzanamyr@mail.ru")</f>
        <v>Suzanamyr@mail.ru</v>
      </c>
      <c r="C1950" s="15" t="str">
        <f ca="1">IFERROR(__xludf.DUMMYFUNCTION("""COMPUTED_VALUE"""),"87014296907")</f>
        <v>87014296907</v>
      </c>
      <c r="D1950" s="15"/>
      <c r="E1950" s="14"/>
      <c r="F195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950" s="14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</row>
    <row r="1951" spans="1:26" ht="14.25">
      <c r="A1951" s="14" t="str">
        <f ca="1">IFERROR(__xludf.DUMMYFUNCTION("""COMPUTED_VALUE"""),"Светлана Карпенко")</f>
        <v>Светлана Карпенко</v>
      </c>
      <c r="B1951" s="14" t="str">
        <f ca="1">IFERROR(__xludf.DUMMYFUNCTION("""COMPUTED_VALUE"""),"Svalkar71@mail.ru")</f>
        <v>Svalkar71@mail.ru</v>
      </c>
      <c r="C1951" s="15" t="str">
        <f ca="1">IFERROR(__xludf.DUMMYFUNCTION("""COMPUTED_VALUE"""),"79283550861")</f>
        <v>79283550861</v>
      </c>
      <c r="D1951" s="15" t="str">
        <f ca="1">IFERROR(__xludf.DUMMYFUNCTION("""COMPUTED_VALUE"""),"Россия")</f>
        <v>Россия</v>
      </c>
      <c r="E1951" s="14"/>
      <c r="F1951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1951" s="14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</row>
    <row r="1952" spans="1:26" ht="14.25">
      <c r="A1952" s="14" t="str">
        <f ca="1">IFERROR(__xludf.DUMMYFUNCTION("""COMPUTED_VALUE"""),"Светлана Латыпова")</f>
        <v>Светлана Латыпова</v>
      </c>
      <c r="B1952" s="14" t="str">
        <f ca="1">IFERROR(__xludf.DUMMYFUNCTION("""COMPUTED_VALUE"""),"sveta-zlat777@mail.ru")</f>
        <v>sveta-zlat777@mail.ru</v>
      </c>
      <c r="C1952" s="15" t="str">
        <f ca="1">IFERROR(__xludf.DUMMYFUNCTION("""COMPUTED_VALUE"""),"+79517978177")</f>
        <v>+79517978177</v>
      </c>
      <c r="D1952" s="15" t="str">
        <f ca="1">IFERROR(__xludf.DUMMYFUNCTION("""COMPUTED_VALUE"""),"Саудовская Аравия")</f>
        <v>Саудовская Аравия</v>
      </c>
      <c r="E1952" s="14"/>
      <c r="F1952" s="8" t="str">
        <f ca="1">IFERROR(__xludf.DUMMYFUNCTION("""COMPUTED_VALUE"""),"- Тишина Челлендж (бесплатная часть)")</f>
        <v>- Тишина Челлендж (бесплатная часть)</v>
      </c>
      <c r="G1952" s="14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</row>
    <row r="1953" spans="1:26" ht="14.25">
      <c r="A1953" s="14" t="str">
        <f ca="1">IFERROR(__xludf.DUMMYFUNCTION("""COMPUTED_VALUE"""),"svetik2015455,  ")</f>
        <v xml:space="preserve">svetik2015455,  </v>
      </c>
      <c r="B1953" s="14" t="str">
        <f ca="1">IFERROR(__xludf.DUMMYFUNCTION("""COMPUTED_VALUE"""),"svetik2015455@gmail.com")</f>
        <v>svetik2015455@gmail.com</v>
      </c>
      <c r="C1953" s="15"/>
      <c r="D1953" s="15"/>
      <c r="E1953" s="14"/>
      <c r="F1953" s="8" t="str">
        <f ca="1">IFERROR(__xludf.DUMMYFUNCTION("""COMPUTED_VALUE"""),"- USA Челлендж Тишина")</f>
        <v>- USA Челлендж Тишина</v>
      </c>
      <c r="G1953" s="14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</row>
    <row r="1954" spans="1:26" ht="14.25">
      <c r="A1954" s="14" t="str">
        <f ca="1">IFERROR(__xludf.DUMMYFUNCTION("""COMPUTED_VALUE"""),"Светлана Рощупкина")</f>
        <v>Светлана Рощупкина</v>
      </c>
      <c r="B1954" s="14" t="str">
        <f ca="1">IFERROR(__xludf.DUMMYFUNCTION("""COMPUTED_VALUE"""),"svetik23_2011@mail.ru")</f>
        <v>svetik23_2011@mail.ru</v>
      </c>
      <c r="C1954" s="15" t="str">
        <f ca="1">IFERROR(__xludf.DUMMYFUNCTION("""COMPUTED_VALUE"""),"79144126464")</f>
        <v>79144126464</v>
      </c>
      <c r="D1954" s="15" t="str">
        <f ca="1">IFERROR(__xludf.DUMMYFUNCTION("""COMPUTED_VALUE"""),"Россия")</f>
        <v>Россия</v>
      </c>
      <c r="E1954" s="14"/>
      <c r="F1954" s="8" t="str">
        <f ca="1">IFERROR(__xludf.DUMMYFUNCTION("""COMPUTED_VALUE"""),"- Чайная встреча - Сочи-Хабаровск 19.2.2022")</f>
        <v>- Чайная встреча - Сочи-Хабаровск 19.2.2022</v>
      </c>
      <c r="G1954" s="14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</row>
    <row r="1955" spans="1:26" ht="14.25">
      <c r="A1955" s="14" t="str">
        <f ca="1">IFERROR(__xludf.DUMMYFUNCTION("""COMPUTED_VALUE"""),"Светлана Шарифуллина")</f>
        <v>Светлана Шарифуллина</v>
      </c>
      <c r="B1955" s="14" t="str">
        <f ca="1">IFERROR(__xludf.DUMMYFUNCTION("""COMPUTED_VALUE"""),"Svetlana-air71@mail.ru")</f>
        <v>Svetlana-air71@mail.ru</v>
      </c>
      <c r="C1955" s="15"/>
      <c r="D1955" s="15" t="str">
        <f ca="1">IFERROR(__xludf.DUMMYFUNCTION("""COMPUTED_VALUE"""),"Россия")</f>
        <v>Россия</v>
      </c>
      <c r="E1955" s="14"/>
      <c r="F1955" s="8" t="str">
        <f ca="1">IFERROR(__xludf.DUMMYFUNCTION("""COMPUTED_VALUE"""),"- Тишина Челлендж (бесплатная часть)")</f>
        <v>- Тишина Челлендж (бесплатная часть)</v>
      </c>
      <c r="G1955" s="14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</row>
    <row r="1956" spans="1:26" ht="14.25">
      <c r="A1956" s="14" t="str">
        <f ca="1">IFERROR(__xludf.DUMMYFUNCTION("""COMPUTED_VALUE"""),"Светлана Кустря")</f>
        <v>Светлана Кустря</v>
      </c>
      <c r="B1956" s="14" t="str">
        <f ca="1">IFERROR(__xludf.DUMMYFUNCTION("""COMPUTED_VALUE"""),"svetlana.ks@list.ru")</f>
        <v>svetlana.ks@list.ru</v>
      </c>
      <c r="C1956" s="15" t="str">
        <f ca="1">IFERROR(__xludf.DUMMYFUNCTION("""COMPUTED_VALUE"""),"+79184513731")</f>
        <v>+79184513731</v>
      </c>
      <c r="D1956" s="15" t="str">
        <f ca="1">IFERROR(__xludf.DUMMYFUNCTION("""COMPUTED_VALUE"""),"Россия")</f>
        <v>Россия</v>
      </c>
      <c r="E1956" s="14"/>
      <c r="F1956" s="8" t="str">
        <f ca="1">IFERROR(__xludf.DUMMYFUNCTION("""COMPUTED_VALUE"""),"- Однодневный ретрит Россия 14 мая 2022")</f>
        <v>- Однодневный ретрит Россия 14 мая 2022</v>
      </c>
      <c r="G1956" s="14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</row>
    <row r="1957" spans="1:26" ht="25.5">
      <c r="A1957" s="14" t="str">
        <f ca="1">IFERROR(__xludf.DUMMYFUNCTION("""COMPUTED_VALUE"""),"Светлана Кузьмяк")</f>
        <v>Светлана Кузьмяк</v>
      </c>
      <c r="B1957" s="14" t="str">
        <f ca="1">IFERROR(__xludf.DUMMYFUNCTION("""COMPUTED_VALUE"""),"svetlana12i912@gmail.com")</f>
        <v>svetlana12i912@gmail.com</v>
      </c>
      <c r="C1957" s="15" t="str">
        <f ca="1">IFERROR(__xludf.DUMMYFUNCTION("""COMPUTED_VALUE"""),"87086449514")</f>
        <v>87086449514</v>
      </c>
      <c r="D1957" s="15"/>
      <c r="E1957" s="14"/>
      <c r="F195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957" s="14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</row>
    <row r="1958" spans="1:26" ht="14.25">
      <c r="A1958" s="14" t="str">
        <f ca="1">IFERROR(__xludf.DUMMYFUNCTION("""COMPUTED_VALUE"""),"Светлана Латыпова")</f>
        <v>Светлана Латыпова</v>
      </c>
      <c r="B1958" s="14" t="str">
        <f ca="1">IFERROR(__xludf.DUMMYFUNCTION("""COMPUTED_VALUE"""),"svetlanalatypova88@gmail.com")</f>
        <v>svetlanalatypova88@gmail.com</v>
      </c>
      <c r="C1958" s="15" t="str">
        <f ca="1">IFERROR(__xludf.DUMMYFUNCTION("""COMPUTED_VALUE"""),"79517978177")</f>
        <v>79517978177</v>
      </c>
      <c r="D1958" s="15" t="str">
        <f ca="1">IFERROR(__xludf.DUMMYFUNCTION("""COMPUTED_VALUE"""),"Россия")</f>
        <v>Россия</v>
      </c>
      <c r="E1958" s="14"/>
      <c r="F1958" s="8" t="str">
        <f ca="1">IFERROR(__xludf.DUMMYFUNCTION("""COMPUTED_VALUE"""),"- Тишина Челлендж (бесплатная часть)")</f>
        <v>- Тишина Челлендж (бесплатная часть)</v>
      </c>
      <c r="G1958" s="14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</row>
    <row r="1959" spans="1:26" ht="14.25">
      <c r="A1959" s="14" t="str">
        <f ca="1">IFERROR(__xludf.DUMMYFUNCTION("""COMPUTED_VALUE"""),"Тарас Кравченко")</f>
        <v>Тарас Кравченко</v>
      </c>
      <c r="B1959" s="14" t="str">
        <f ca="1">IFERROR(__xludf.DUMMYFUNCTION("""COMPUTED_VALUE"""),"svetotechenie@gmail.com")</f>
        <v>svetotechenie@gmail.com</v>
      </c>
      <c r="C1959" s="15" t="str">
        <f ca="1">IFERROR(__xludf.DUMMYFUNCTION("""COMPUTED_VALUE"""),"+79183380068")</f>
        <v>+79183380068</v>
      </c>
      <c r="D1959" s="15" t="str">
        <f ca="1">IFERROR(__xludf.DUMMYFUNCTION("""COMPUTED_VALUE"""),"Россия")</f>
        <v>Россия</v>
      </c>
      <c r="E1959" s="14" t="str">
        <f ca="1">IFERROR(__xludf.DUMMYFUNCTION("""COMPUTED_VALUE"""),"@svetotechenie")</f>
        <v>@svetotechenie</v>
      </c>
      <c r="F1959" s="8" t="str">
        <f ca="1">IFERROR(__xludf.DUMMYFUNCTION("""COMPUTED_VALUE"""),"- Клуб пробуждения Друзья (2 уровень) - 1 месяц")</f>
        <v>- Клуб пробуждения Друзья (2 уровень) - 1 месяц</v>
      </c>
      <c r="G1959" s="14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</row>
    <row r="1960" spans="1:26" ht="14.25">
      <c r="A1960" s="14" t="str">
        <f ca="1">IFERROR(__xludf.DUMMYFUNCTION("""COMPUTED_VALUE"""),"Евгений Свиридков")</f>
        <v>Евгений Свиридков</v>
      </c>
      <c r="B1960" s="14" t="str">
        <f ca="1">IFERROR(__xludf.DUMMYFUNCTION("""COMPUTED_VALUE"""),"sviridkov.j@gmail.com")</f>
        <v>sviridkov.j@gmail.com</v>
      </c>
      <c r="C1960" s="15" t="str">
        <f ca="1">IFERROR(__xludf.DUMMYFUNCTION("""COMPUTED_VALUE"""),"+79232888787")</f>
        <v>+79232888787</v>
      </c>
      <c r="D1960" s="15" t="str">
        <f ca="1">IFERROR(__xludf.DUMMYFUNCTION("""COMPUTED_VALUE"""),"Россия")</f>
        <v>Россия</v>
      </c>
      <c r="E1960" s="14"/>
      <c r="F1960" s="8" t="str">
        <f ca="1">IFERROR(__xludf.DUMMYFUNCTION("""COMPUTED_VALUE"""),"- Ретрит в Сочи 17-25 июля 2022 (при оплате до 3 июля)")</f>
        <v>- Ретрит в Сочи 17-25 июля 2022 (при оплате до 3 июля)</v>
      </c>
      <c r="G1960" s="14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</row>
    <row r="1961" spans="1:26" ht="14.25">
      <c r="A1961" s="14" t="str">
        <f ca="1">IFERROR(__xludf.DUMMYFUNCTION("""COMPUTED_VALUE"""),"Светлана Малина")</f>
        <v>Светлана Малина</v>
      </c>
      <c r="B1961" s="14" t="str">
        <f ca="1">IFERROR(__xludf.DUMMYFUNCTION("""COMPUTED_VALUE"""),"svitlnamalina@gmail.com")</f>
        <v>svitlnamalina@gmail.com</v>
      </c>
      <c r="C1961" s="15" t="str">
        <f ca="1">IFERROR(__xludf.DUMMYFUNCTION("""COMPUTED_VALUE"""),", +4917634456493")</f>
        <v>, +4917634456493</v>
      </c>
      <c r="D1961" s="15" t="str">
        <f ca="1">IFERROR(__xludf.DUMMYFUNCTION("""COMPUTED_VALUE"""),"Германия")</f>
        <v>Германия</v>
      </c>
      <c r="E1961" s="14"/>
      <c r="F1961" s="8" t="str">
        <f ca="1">IFERROR(__xludf.DUMMYFUNCTION("""COMPUTED_VALUE"""),"Мероприятий не обнаружено")</f>
        <v>Мероприятий не обнаружено</v>
      </c>
      <c r="G1961" s="14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</row>
    <row r="1962" spans="1:26" ht="14.25">
      <c r="A1962" s="14" t="str">
        <f ca="1">IFERROR(__xludf.DUMMYFUNCTION("""COMPUTED_VALUE"""),"Ирина Святогорова")</f>
        <v>Ирина Святогорова</v>
      </c>
      <c r="B1962" s="14" t="str">
        <f ca="1">IFERROR(__xludf.DUMMYFUNCTION("""COMPUTED_VALUE"""),"Svyatogor1974@yandex.ru")</f>
        <v>Svyatogor1974@yandex.ru</v>
      </c>
      <c r="C1962" s="15" t="str">
        <f ca="1">IFERROR(__xludf.DUMMYFUNCTION("""COMPUTED_VALUE"""),"+79113948002")</f>
        <v>+79113948002</v>
      </c>
      <c r="D1962" s="15" t="str">
        <f ca="1">IFERROR(__xludf.DUMMYFUNCTION("""COMPUTED_VALUE"""),"Россия")</f>
        <v>Россия</v>
      </c>
      <c r="E1962" s="14"/>
      <c r="F1962" s="8" t="str">
        <f ca="1">IFERROR(__xludf.DUMMYFUNCTION("""COMPUTED_VALUE"""),"- Вводный вебинар 3.5.22 на Шаг к Пробуждению")</f>
        <v>- Вводный вебинар 3.5.22 на Шаг к Пробуждению</v>
      </c>
      <c r="G1962" s="14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</row>
    <row r="1963" spans="1:26" ht="14.25">
      <c r="A1963" s="14" t="str">
        <f ca="1">IFERROR(__xludf.DUMMYFUNCTION("""COMPUTED_VALUE"""),"Галина Янушкевич")</f>
        <v>Галина Янушкевич</v>
      </c>
      <c r="B1963" s="14" t="str">
        <f ca="1">IFERROR(__xludf.DUMMYFUNCTION("""COMPUTED_VALUE"""),"sweet-gal@mail.ru")</f>
        <v>sweet-gal@mail.ru</v>
      </c>
      <c r="C1963" s="15" t="str">
        <f ca="1">IFERROR(__xludf.DUMMYFUNCTION("""COMPUTED_VALUE"""),"+375297797047")</f>
        <v>+375297797047</v>
      </c>
      <c r="D1963" s="15" t="str">
        <f ca="1">IFERROR(__xludf.DUMMYFUNCTION("""COMPUTED_VALUE"""),"Беларусь")</f>
        <v>Беларусь</v>
      </c>
      <c r="E1963" s="14"/>
      <c r="F1963" s="8" t="str">
        <f ca="1">IFERROR(__xludf.DUMMYFUNCTION("""COMPUTED_VALUE"""),"- Йога тишины 28 марта 2022 Минск")</f>
        <v>- Йога тишины 28 марта 2022 Минск</v>
      </c>
      <c r="G1963" s="14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</row>
    <row r="1964" spans="1:26" ht="14.25">
      <c r="A1964" s="14" t="str">
        <f ca="1">IFERROR(__xludf.DUMMYFUNCTION("""COMPUTED_VALUE"""),"Saniya S")</f>
        <v>Saniya S</v>
      </c>
      <c r="B1964" s="14" t="str">
        <f ca="1">IFERROR(__xludf.DUMMYFUNCTION("""COMPUTED_VALUE"""),"Sydykovasaniyam@gmail.com")</f>
        <v>Sydykovasaniyam@gmail.com</v>
      </c>
      <c r="C1964" s="15"/>
      <c r="D1964" s="15" t="str">
        <f ca="1">IFERROR(__xludf.DUMMYFUNCTION("""COMPUTED_VALUE"""),"Швеция")</f>
        <v>Швеция</v>
      </c>
      <c r="E1964" s="14"/>
      <c r="F1964" s="8" t="str">
        <f ca="1">IFERROR(__xludf.DUMMYFUNCTION("""COMPUTED_VALUE"""),"- Тишина Челлендж (бесплатная часть)")</f>
        <v>- Тишина Челлендж (бесплатная часть)</v>
      </c>
      <c r="G1964" s="14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</row>
    <row r="1965" spans="1:26" ht="14.25">
      <c r="A1965" s="14" t="str">
        <f ca="1">IFERROR(__xludf.DUMMYFUNCTION("""COMPUTED_VALUE"""),"Дарина Сыразденова")</f>
        <v>Дарина Сыразденова</v>
      </c>
      <c r="B1965" s="14" t="str">
        <f ca="1">IFERROR(__xludf.DUMMYFUNCTION("""COMPUTED_VALUE"""),"Syrazdenova@gmail.com")</f>
        <v>Syrazdenova@gmail.com</v>
      </c>
      <c r="C1965" s="15"/>
      <c r="D1965" s="15" t="str">
        <f ca="1">IFERROR(__xludf.DUMMYFUNCTION("""COMPUTED_VALUE"""),"Швеция")</f>
        <v>Швеция</v>
      </c>
      <c r="E1965" s="14"/>
      <c r="F1965" s="8" t="str">
        <f ca="1">IFERROR(__xludf.DUMMYFUNCTION("""COMPUTED_VALUE"""),"- Тишина Челлендж (бесплатная часть)")</f>
        <v>- Тишина Челлендж (бесплатная часть)</v>
      </c>
      <c r="G1965" s="14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</row>
    <row r="1966" spans="1:26" ht="14.25">
      <c r="A1966" s="14" t="str">
        <f ca="1">IFERROR(__xludf.DUMMYFUNCTION("""COMPUTED_VALUE"""),"Ксения Агафонова")</f>
        <v>Ксения Агафонова</v>
      </c>
      <c r="B1966" s="14" t="str">
        <f ca="1">IFERROR(__xludf.DUMMYFUNCTION("""COMPUTED_VALUE"""),"syringa2707@mail.ru")</f>
        <v>syringa2707@mail.ru</v>
      </c>
      <c r="C1966" s="15" t="str">
        <f ca="1">IFERROR(__xludf.DUMMYFUNCTION("""COMPUTED_VALUE"""),"+79996525848")</f>
        <v>+79996525848</v>
      </c>
      <c r="D1966" s="15" t="str">
        <f ca="1">IFERROR(__xludf.DUMMYFUNCTION("""COMPUTED_VALUE"""),"Германия")</f>
        <v>Германия</v>
      </c>
      <c r="E1966" s="14"/>
      <c r="F1966" s="8" t="str">
        <f ca="1">IFERROR(__xludf.DUMMYFUNCTION("""COMPUTED_VALUE"""),"- Интенсив 15-17 апреля Москва")</f>
        <v>- Интенсив 15-17 апреля Москва</v>
      </c>
      <c r="G1966" s="14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</row>
    <row r="1967" spans="1:26" ht="25.5">
      <c r="A1967" s="14" t="str">
        <f ca="1">IFERROR(__xludf.DUMMYFUNCTION("""COMPUTED_VALUE"""),"Anna Szurlej")</f>
        <v>Anna Szurlej</v>
      </c>
      <c r="B1967" s="14" t="str">
        <f ca="1">IFERROR(__xludf.DUMMYFUNCTION("""COMPUTED_VALUE"""),"szania69@wp.pl")</f>
        <v>szania69@wp.pl</v>
      </c>
      <c r="C1967" s="15" t="str">
        <f ca="1">IFERROR(__xludf.DUMMYFUNCTION("""COMPUTED_VALUE"""),"+48608520250")</f>
        <v>+48608520250</v>
      </c>
      <c r="D1967" s="15" t="str">
        <f ca="1">IFERROR(__xludf.DUMMYFUNCTION("""COMPUTED_VALUE"""),"Польша")</f>
        <v>Польша</v>
      </c>
      <c r="E1967" s="14"/>
      <c r="F1967" s="8" t="str">
        <f ca="1">IFERROR(__xludf.DUMMYFUNCTION("""COMPUTED_VALUE"""),"- Интенсив онлайн 11-13.02.2022
- Интенсив онлайн 11-13.03.2022 ")</f>
        <v xml:space="preserve">- Интенсив онлайн 11-13.02.2022
- Интенсив онлайн 11-13.03.2022 </v>
      </c>
      <c r="G1967" s="14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</row>
    <row r="1968" spans="1:26" ht="14.25">
      <c r="A1968" s="14" t="str">
        <f ca="1">IFERROR(__xludf.DUMMYFUNCTION("""COMPUTED_VALUE"""),"ТАТЬЯНА ПУРВИНА")</f>
        <v>ТАТЬЯНА ПУРВИНА</v>
      </c>
      <c r="B1968" s="14" t="str">
        <f ca="1">IFERROR(__xludf.DUMMYFUNCTION("""COMPUTED_VALUE"""),"t.beni@yandex.ru")</f>
        <v>t.beni@yandex.ru</v>
      </c>
      <c r="C1968" s="15" t="str">
        <f ca="1">IFERROR(__xludf.DUMMYFUNCTION("""COMPUTED_VALUE"""),"79168585246")</f>
        <v>79168585246</v>
      </c>
      <c r="D1968" s="15" t="str">
        <f ca="1">IFERROR(__xludf.DUMMYFUNCTION("""COMPUTED_VALUE"""),"Россия")</f>
        <v>Россия</v>
      </c>
      <c r="E1968" s="14" t="str">
        <f ca="1">IFERROR(__xludf.DUMMYFUNCTION("""COMPUTED_VALUE"""),"@Tatiana12124")</f>
        <v>@Tatiana12124</v>
      </c>
      <c r="F1968" s="8" t="str">
        <f ca="1">IFERROR(__xludf.DUMMYFUNCTION("""COMPUTED_VALUE"""),"- Клуб пробуждения Друзья (2 уровень) - 1 месяц")</f>
        <v>- Клуб пробуждения Друзья (2 уровень) - 1 месяц</v>
      </c>
      <c r="G1968" s="14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</row>
    <row r="1969" spans="1:26" ht="14.25">
      <c r="A1969" s="14" t="str">
        <f ca="1">IFERROR(__xludf.DUMMYFUNCTION("""COMPUTED_VALUE"""),"t.worobej,  ")</f>
        <v xml:space="preserve">t.worobej,  </v>
      </c>
      <c r="B1969" s="14" t="str">
        <f ca="1">IFERROR(__xludf.DUMMYFUNCTION("""COMPUTED_VALUE"""),"t.worobej@gmail.com")</f>
        <v>t.worobej@gmail.com</v>
      </c>
      <c r="C1969" s="15"/>
      <c r="D1969" s="15"/>
      <c r="E1969" s="14"/>
      <c r="F1969" s="8" t="str">
        <f ca="1">IFERROR(__xludf.DUMMYFUNCTION("""COMPUTED_VALUE"""),"- USA Челлендж Тишина")</f>
        <v>- USA Челлендж Тишина</v>
      </c>
      <c r="G1969" s="14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</row>
    <row r="1970" spans="1:26" ht="14.25">
      <c r="A1970" s="14" t="str">
        <f ca="1">IFERROR(__xludf.DUMMYFUNCTION("""COMPUTED_VALUE"""),"Татьяна Проскурина")</f>
        <v>Татьяна Проскурина</v>
      </c>
      <c r="B1970" s="14" t="str">
        <f ca="1">IFERROR(__xludf.DUMMYFUNCTION("""COMPUTED_VALUE"""),"T89205744200@gmail.com")</f>
        <v>T89205744200@gmail.com</v>
      </c>
      <c r="C1970" s="15" t="str">
        <f ca="1">IFERROR(__xludf.DUMMYFUNCTION("""COMPUTED_VALUE"""),"+89155661819")</f>
        <v>+89155661819</v>
      </c>
      <c r="D1970" s="15" t="str">
        <f ca="1">IFERROR(__xludf.DUMMYFUNCTION("""COMPUTED_VALUE"""),"Россия")</f>
        <v>Россия</v>
      </c>
      <c r="E1970" s="14"/>
      <c r="F1970" s="8" t="str">
        <f ca="1">IFERROR(__xludf.DUMMYFUNCTION("""COMPUTED_VALUE"""),"- Тишина Челлендж (бесплатная часть)")</f>
        <v>- Тишина Челлендж (бесплатная часть)</v>
      </c>
      <c r="G1970" s="14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</row>
    <row r="1971" spans="1:26" ht="14.25">
      <c r="A1971" s="14" t="str">
        <f ca="1">IFERROR(__xludf.DUMMYFUNCTION("""COMPUTED_VALUE"""),"Таисия Солодкая")</f>
        <v>Таисия Солодкая</v>
      </c>
      <c r="B1971" s="14" t="str">
        <f ca="1">IFERROR(__xludf.DUMMYFUNCTION("""COMPUTED_VALUE"""),"TaisiaSolodkya@gmail.com")</f>
        <v>TaisiaSolodkya@gmail.com</v>
      </c>
      <c r="C1971" s="15" t="str">
        <f ca="1">IFERROR(__xludf.DUMMYFUNCTION("""COMPUTED_VALUE"""),"+79282047193")</f>
        <v>+79282047193</v>
      </c>
      <c r="D1971" s="15" t="str">
        <f ca="1">IFERROR(__xludf.DUMMYFUNCTION("""COMPUTED_VALUE"""),"Россия")</f>
        <v>Россия</v>
      </c>
      <c r="E1971" s="14"/>
      <c r="F1971" s="8" t="str">
        <f ca="1">IFERROR(__xludf.DUMMYFUNCTION("""COMPUTED_VALUE"""),"- Однодневный ретрит Россия 14 мая 2022")</f>
        <v>- Однодневный ретрит Россия 14 мая 2022</v>
      </c>
      <c r="G1971" s="14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</row>
    <row r="1972" spans="1:26" ht="25.5">
      <c r="A1972" s="14" t="str">
        <f ca="1">IFERROR(__xludf.DUMMYFUNCTION("""COMPUTED_VALUE"""),"Тамара Чудиновских")</f>
        <v>Тамара Чудиновских</v>
      </c>
      <c r="B1972" s="14" t="str">
        <f ca="1">IFERROR(__xludf.DUMMYFUNCTION("""COMPUTED_VALUE"""),"Tamachud67@gmail.com")</f>
        <v>Tamachud67@gmail.com</v>
      </c>
      <c r="C1972" s="15" t="str">
        <f ca="1">IFERROR(__xludf.DUMMYFUNCTION("""COMPUTED_VALUE"""),"+972559801030")</f>
        <v>+972559801030</v>
      </c>
      <c r="D1972" s="15" t="str">
        <f ca="1">IFERROR(__xludf.DUMMYFUNCTION("""COMPUTED_VALUE"""),"Израиль")</f>
        <v>Израиль</v>
      </c>
      <c r="E1972" s="14"/>
      <c r="F1972" s="8" t="str">
        <f ca="1">IFERROR(__xludf.DUMMYFUNCTION("""COMPUTED_VALUE"""),"- Онлайн курс Шаг к Пробуждению №17 26.3-10.4.22 Пакет стандартный")</f>
        <v>- Онлайн курс Шаг к Пробуждению №17 26.3-10.4.22 Пакет стандартный</v>
      </c>
      <c r="G1972" s="14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</row>
    <row r="1973" spans="1:26" ht="14.25">
      <c r="A1973" s="14" t="str">
        <f ca="1">IFERROR(__xludf.DUMMYFUNCTION("""COMPUTED_VALUE"""),"Татьяна Шульякова")</f>
        <v>Татьяна Шульякова</v>
      </c>
      <c r="B1973" s="14" t="str">
        <f ca="1">IFERROR(__xludf.DUMMYFUNCTION("""COMPUTED_VALUE"""),"tan9lvs1@yandex.ru")</f>
        <v>tan9lvs1@yandex.ru</v>
      </c>
      <c r="C1973" s="15" t="str">
        <f ca="1">IFERROR(__xludf.DUMMYFUNCTION("""COMPUTED_VALUE"""),"79517331777")</f>
        <v>79517331777</v>
      </c>
      <c r="D1973" s="15" t="str">
        <f ca="1">IFERROR(__xludf.DUMMYFUNCTION("""COMPUTED_VALUE"""),"Россия")</f>
        <v>Россия</v>
      </c>
      <c r="E1973" s="14"/>
      <c r="F1973" s="8" t="str">
        <f ca="1">IFERROR(__xludf.DUMMYFUNCTION("""COMPUTED_VALUE"""),"- Тишина Челлендж (бесплатная часть)")</f>
        <v>- Тишина Челлендж (бесплатная часть)</v>
      </c>
      <c r="G1973" s="14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</row>
    <row r="1974" spans="1:26" ht="14.25">
      <c r="A1974" s="14" t="str">
        <f ca="1">IFERROR(__xludf.DUMMYFUNCTION("""COMPUTED_VALUE"""),"tanie14,  ")</f>
        <v xml:space="preserve">tanie14,  </v>
      </c>
      <c r="B1974" s="14" t="str">
        <f ca="1">IFERROR(__xludf.DUMMYFUNCTION("""COMPUTED_VALUE"""),"tanie14@live.com")</f>
        <v>tanie14@live.com</v>
      </c>
      <c r="C1974" s="15"/>
      <c r="D1974" s="15"/>
      <c r="E1974" s="14"/>
      <c r="F1974" s="8" t="str">
        <f ca="1">IFERROR(__xludf.DUMMYFUNCTION("""COMPUTED_VALUE"""),"- USA Челлендж Тишина")</f>
        <v>- USA Челлендж Тишина</v>
      </c>
      <c r="G1974" s="14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</row>
    <row r="1975" spans="1:26" ht="25.5">
      <c r="A1975" s="14" t="str">
        <f ca="1">IFERROR(__xludf.DUMMYFUNCTION("""COMPUTED_VALUE"""),"николай звягин")</f>
        <v>николай звягин</v>
      </c>
      <c r="B1975" s="14" t="str">
        <f ca="1">IFERROR(__xludf.DUMMYFUNCTION("""COMPUTED_VALUE"""),"tanikozv27@gmail.com")</f>
        <v>tanikozv27@gmail.com</v>
      </c>
      <c r="C1975" s="15" t="str">
        <f ca="1">IFERROR(__xludf.DUMMYFUNCTION("""COMPUTED_VALUE"""),"79034174329")</f>
        <v>79034174329</v>
      </c>
      <c r="D1975" s="15" t="str">
        <f ca="1">IFERROR(__xludf.DUMMYFUNCTION("""COMPUTED_VALUE"""),"Россия")</f>
        <v>Россия</v>
      </c>
      <c r="E1975" s="14"/>
      <c r="F1975" s="8" t="str">
        <f ca="1">IFERROR(__xludf.DUMMYFUNCTION("""COMPUTED_VALUE"""),"- Беседа - сатсанг с Екатериной Сосниной: Счастье внутри нас 15.1.22")</f>
        <v>- Беседа - сатсанг с Екатериной Сосниной: Счастье внутри нас 15.1.22</v>
      </c>
      <c r="G1975" s="14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</row>
    <row r="1976" spans="1:26" ht="38.25">
      <c r="A1976" s="14" t="str">
        <f ca="1">IFERROR(__xludf.DUMMYFUNCTION("""COMPUTED_VALUE"""),"Татьяна Соловьева")</f>
        <v>Татьяна Соловьева</v>
      </c>
      <c r="B1976" s="14" t="str">
        <f ca="1">IFERROR(__xludf.DUMMYFUNCTION("""COMPUTED_VALUE"""),"tanja_2009@mail.ru")</f>
        <v>tanja_2009@mail.ru</v>
      </c>
      <c r="C1976" s="15" t="str">
        <f ca="1">IFERROR(__xludf.DUMMYFUNCTION("""COMPUTED_VALUE"""),"+7772247458")</f>
        <v>+7772247458</v>
      </c>
      <c r="D1976" s="15" t="str">
        <f ca="1">IFERROR(__xludf.DUMMYFUNCTION("""COMPUTED_VALUE"""),"Казахстан")</f>
        <v>Казахстан</v>
      </c>
      <c r="E1976" s="14"/>
      <c r="F1976" s="8" t="str">
        <f ca="1">IFERROR(__xludf.DUMMYFUNCTION("""COMPUTED_VALUE"""),"- Марафон Тишины - Тишина челлендж: Урал, Казахстан, Узбекистан 25-29.04.2022
- Тишина Челлендж (бесплатная часть)")</f>
        <v>- Марафон Тишины - Тишина челлендж: Урал, Казахстан, Узбекистан 25-29.04.2022
- Тишина Челлендж (бесплатная часть)</v>
      </c>
      <c r="G1976" s="14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</row>
    <row r="1977" spans="1:26" ht="14.25">
      <c r="A1977" s="14" t="str">
        <f ca="1">IFERROR(__xludf.DUMMYFUNCTION("""COMPUTED_VALUE"""),"Татьяна Татьяна")</f>
        <v>Татьяна Татьяна</v>
      </c>
      <c r="B1977" s="14" t="str">
        <f ca="1">IFERROR(__xludf.DUMMYFUNCTION("""COMPUTED_VALUE"""),"tanuha.u@mail.ru")</f>
        <v>tanuha.u@mail.ru</v>
      </c>
      <c r="C1977" s="15" t="str">
        <f ca="1">IFERROR(__xludf.DUMMYFUNCTION("""COMPUTED_VALUE"""),"+380713822911")</f>
        <v>+380713822911</v>
      </c>
      <c r="D1977" s="15"/>
      <c r="E1977" s="14"/>
      <c r="F1977" s="8" t="str">
        <f ca="1">IFERROR(__xludf.DUMMYFUNCTION("""COMPUTED_VALUE"""),"- Тишина Челлендж (бесплатная часть)")</f>
        <v>- Тишина Челлендж (бесплатная часть)</v>
      </c>
      <c r="G1977" s="14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</row>
    <row r="1978" spans="1:26" ht="14.25">
      <c r="A1978" s="14" t="str">
        <f ca="1">IFERROR(__xludf.DUMMYFUNCTION("""COMPUTED_VALUE"""),"Татьяна Огриенко")</f>
        <v>Татьяна Огриенко</v>
      </c>
      <c r="B1978" s="14" t="str">
        <f ca="1">IFERROR(__xludf.DUMMYFUNCTION("""COMPUTED_VALUE"""),"tanya_dj@inbox.ru")</f>
        <v>tanya_dj@inbox.ru</v>
      </c>
      <c r="C1978" s="15"/>
      <c r="D1978" s="15" t="str">
        <f ca="1">IFERROR(__xludf.DUMMYFUNCTION("""COMPUTED_VALUE"""),"Россия")</f>
        <v>Россия</v>
      </c>
      <c r="E1978" s="14"/>
      <c r="F1978" s="8" t="str">
        <f ca="1">IFERROR(__xludf.DUMMYFUNCTION("""COMPUTED_VALUE"""),"- Тишина Челлендж (бесплатная часть)")</f>
        <v>- Тишина Челлендж (бесплатная часть)</v>
      </c>
      <c r="G1978" s="14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</row>
    <row r="1979" spans="1:26" ht="14.25">
      <c r="A1979" s="14" t="str">
        <f ca="1">IFERROR(__xludf.DUMMYFUNCTION("""COMPUTED_VALUE"""),"Татьяна Истомина")</f>
        <v>Татьяна Истомина</v>
      </c>
      <c r="B1979" s="14" t="str">
        <f ca="1">IFERROR(__xludf.DUMMYFUNCTION("""COMPUTED_VALUE"""),"tanya-mirny@mail.ru")</f>
        <v>tanya-mirny@mail.ru</v>
      </c>
      <c r="C1979" s="15" t="str">
        <f ca="1">IFERROR(__xludf.DUMMYFUNCTION("""COMPUTED_VALUE"""),"79891617728")</f>
        <v>79891617728</v>
      </c>
      <c r="D1979" s="15" t="str">
        <f ca="1">IFERROR(__xludf.DUMMYFUNCTION("""COMPUTED_VALUE"""),"Россия")</f>
        <v>Россия</v>
      </c>
      <c r="E1979" s="14"/>
      <c r="F1979" s="8" t="str">
        <f ca="1">IFERROR(__xludf.DUMMYFUNCTION("""COMPUTED_VALUE"""),"-  встреча Космос внутри Сочи 5.3.2022")</f>
        <v>-  встреча Космос внутри Сочи 5.3.2022</v>
      </c>
      <c r="G1979" s="14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</row>
    <row r="1980" spans="1:26" ht="14.25">
      <c r="A1980" s="14" t="str">
        <f ca="1">IFERROR(__xludf.DUMMYFUNCTION("""COMPUTED_VALUE"""),"tanya.ionova,  ")</f>
        <v xml:space="preserve">tanya.ionova,  </v>
      </c>
      <c r="B1980" s="14" t="str">
        <f ca="1">IFERROR(__xludf.DUMMYFUNCTION("""COMPUTED_VALUE"""),"tanya.ionova@gmail.com")</f>
        <v>tanya.ionova@gmail.com</v>
      </c>
      <c r="C1980" s="15"/>
      <c r="D1980" s="15"/>
      <c r="E1980" s="14"/>
      <c r="F1980" s="8" t="str">
        <f ca="1">IFERROR(__xludf.DUMMYFUNCTION("""COMPUTED_VALUE"""),"- Практика Тишины общая платная")</f>
        <v>- Практика Тишины общая платная</v>
      </c>
      <c r="G1980" s="14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</row>
    <row r="1981" spans="1:26" ht="14.25">
      <c r="A1981" s="14" t="str">
        <f ca="1">IFERROR(__xludf.DUMMYFUNCTION("""COMPUTED_VALUE"""),"Попова татьяна")</f>
        <v>Попова татьяна</v>
      </c>
      <c r="B1981" s="14" t="str">
        <f ca="1">IFERROR(__xludf.DUMMYFUNCTION("""COMPUTED_VALUE"""),"tanya.popova.1972@internet.ru")</f>
        <v>tanya.popova.1972@internet.ru</v>
      </c>
      <c r="C1981" s="15" t="str">
        <f ca="1">IFERROR(__xludf.DUMMYFUNCTION("""COMPUTED_VALUE"""),", 79880115462")</f>
        <v>, 79880115462</v>
      </c>
      <c r="D1981" s="15" t="str">
        <f ca="1">IFERROR(__xludf.DUMMYFUNCTION("""COMPUTED_VALUE"""),"Россия")</f>
        <v>Россия</v>
      </c>
      <c r="E1981" s="14"/>
      <c r="F1981" s="8" t="str">
        <f ca="1">IFERROR(__xludf.DUMMYFUNCTION("""COMPUTED_VALUE"""),"Мероприятий не обнаружено")</f>
        <v>Мероприятий не обнаружено</v>
      </c>
      <c r="G1981" s="14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</row>
    <row r="1982" spans="1:26" ht="14.25">
      <c r="A1982" s="14" t="str">
        <f ca="1">IFERROR(__xludf.DUMMYFUNCTION("""COMPUTED_VALUE"""),"Таня Чаркова")</f>
        <v>Таня Чаркова</v>
      </c>
      <c r="B1982" s="14" t="str">
        <f ca="1">IFERROR(__xludf.DUMMYFUNCTION("""COMPUTED_VALUE"""),"tanya221085@mail.ru")</f>
        <v>tanya221085@mail.ru</v>
      </c>
      <c r="C1982" s="15" t="str">
        <f ca="1">IFERROR(__xludf.DUMMYFUNCTION("""COMPUTED_VALUE"""),"79042703173")</f>
        <v>79042703173</v>
      </c>
      <c r="D1982" s="15" t="str">
        <f ca="1">IFERROR(__xludf.DUMMYFUNCTION("""COMPUTED_VALUE"""),"Россия")</f>
        <v>Россия</v>
      </c>
      <c r="E1982" s="14"/>
      <c r="F1982" s="8" t="str">
        <f ca="1">IFERROR(__xludf.DUMMYFUNCTION("""COMPUTED_VALUE"""),"-  Курс Пробуждение. Начало.")</f>
        <v>-  Курс Пробуждение. Начало.</v>
      </c>
      <c r="G1982" s="14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</row>
    <row r="1983" spans="1:26" ht="14.25">
      <c r="A1983" s="14" t="str">
        <f ca="1">IFERROR(__xludf.DUMMYFUNCTION("""COMPUTED_VALUE"""),"Таня ")</f>
        <v xml:space="preserve">Таня </v>
      </c>
      <c r="B1983" s="14" t="str">
        <f ca="1">IFERROR(__xludf.DUMMYFUNCTION("""COMPUTED_VALUE"""),"tanya221985@mail.ru")</f>
        <v>tanya221985@mail.ru</v>
      </c>
      <c r="C1983" s="15" t="str">
        <f ca="1">IFERROR(__xludf.DUMMYFUNCTION("""COMPUTED_VALUE"""),", 79042703173")</f>
        <v>, 79042703173</v>
      </c>
      <c r="D1983" s="15" t="str">
        <f ca="1">IFERROR(__xludf.DUMMYFUNCTION("""COMPUTED_VALUE"""),"Россия")</f>
        <v>Россия</v>
      </c>
      <c r="E1983" s="14"/>
      <c r="F1983" s="8" t="str">
        <f ca="1">IFERROR(__xludf.DUMMYFUNCTION("""COMPUTED_VALUE"""),"Мероприятий не обнаружено")</f>
        <v>Мероприятий не обнаружено</v>
      </c>
      <c r="G1983" s="14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</row>
    <row r="1984" spans="1:26" ht="14.25">
      <c r="A1984" s="14" t="str">
        <f ca="1">IFERROR(__xludf.DUMMYFUNCTION("""COMPUTED_VALUE"""),"Татьяна Фурман")</f>
        <v>Татьяна Фурман</v>
      </c>
      <c r="B1984" s="14" t="str">
        <f ca="1">IFERROR(__xludf.DUMMYFUNCTION("""COMPUTED_VALUE"""),"tanyata12@mail.ru")</f>
        <v>tanyata12@mail.ru</v>
      </c>
      <c r="C1984" s="15" t="str">
        <f ca="1">IFERROR(__xludf.DUMMYFUNCTION("""COMPUTED_VALUE"""),"+375293159545")</f>
        <v>+375293159545</v>
      </c>
      <c r="D1984" s="15" t="str">
        <f ca="1">IFERROR(__xludf.DUMMYFUNCTION("""COMPUTED_VALUE"""),"Беларусь")</f>
        <v>Беларусь</v>
      </c>
      <c r="E1984" s="14"/>
      <c r="F1984" s="8" t="str">
        <f ca="1">IFERROR(__xludf.DUMMYFUNCTION("""COMPUTED_VALUE"""),"- Чайная встреча Разговор по душам Минск 9.04.2022")</f>
        <v>- Чайная встреча Разговор по душам Минск 9.04.2022</v>
      </c>
      <c r="G1984" s="14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</row>
    <row r="1985" spans="1:26" ht="25.5">
      <c r="A1985" s="14" t="str">
        <f ca="1">IFERROR(__xludf.DUMMYFUNCTION("""COMPUTED_VALUE"""),"Татьяна Амирова")</f>
        <v>Татьяна Амирова</v>
      </c>
      <c r="B1985" s="14" t="str">
        <f ca="1">IFERROR(__xludf.DUMMYFUNCTION("""COMPUTED_VALUE"""),"tanyushaamirova@gmail.com")</f>
        <v>tanyushaamirova@gmail.com</v>
      </c>
      <c r="C1985" s="15" t="str">
        <f ca="1">IFERROR(__xludf.DUMMYFUNCTION("""COMPUTED_VALUE"""),"998903193999")</f>
        <v>998903193999</v>
      </c>
      <c r="D1985" s="15"/>
      <c r="E1985" s="14"/>
      <c r="F198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985" s="14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</row>
    <row r="1986" spans="1:26" ht="25.5">
      <c r="A1986" s="14" t="str">
        <f ca="1">IFERROR(__xludf.DUMMYFUNCTION("""COMPUTED_VALUE"""),"Tanya Ten")</f>
        <v>Tanya Ten</v>
      </c>
      <c r="B1986" s="14" t="str">
        <f ca="1">IFERROR(__xludf.DUMMYFUNCTION("""COMPUTED_VALUE"""),"Tanyutaten@gmail.com")</f>
        <v>Tanyutaten@gmail.com</v>
      </c>
      <c r="C1986" s="15" t="str">
        <f ca="1">IFERROR(__xludf.DUMMYFUNCTION("""COMPUTED_VALUE"""),"909903050")</f>
        <v>909903050</v>
      </c>
      <c r="D1986" s="15"/>
      <c r="E1986" s="14"/>
      <c r="F198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986" s="14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</row>
    <row r="1987" spans="1:26" ht="38.25">
      <c r="A1987" s="14" t="str">
        <f ca="1">IFERROR(__xludf.DUMMYFUNCTION("""COMPUTED_VALUE"""),"Татьяна Василенко")</f>
        <v>Татьяна Василенко</v>
      </c>
      <c r="B1987" s="14" t="str">
        <f ca="1">IFERROR(__xludf.DUMMYFUNCTION("""COMPUTED_VALUE"""),"Tarakanovatu@gmail.com")</f>
        <v>Tarakanovatu@gmail.com</v>
      </c>
      <c r="C1987" s="15" t="str">
        <f ca="1">IFERROR(__xludf.DUMMYFUNCTION("""COMPUTED_VALUE"""),"+79200100660")</f>
        <v>+79200100660</v>
      </c>
      <c r="D1987" s="15" t="str">
        <f ca="1">IFERROR(__xludf.DUMMYFUNCTION("""COMPUTED_VALUE"""),"Россия")</f>
        <v>Россия</v>
      </c>
      <c r="E1987" s="14"/>
      <c r="F1987" s="8" t="str">
        <f ca="1">IFERROR(__xludf.DUMMYFUNCTION("""COMPUTED_VALUE"""),"- Онлайн курс Шаг к Пробуждению №16 26.2-5.3.22 Пакет стандартный
- Интенсив 15-17 апреля Москва")</f>
        <v>- Онлайн курс Шаг к Пробуждению №16 26.2-5.3.22 Пакет стандартный
- Интенсив 15-17 апреля Москва</v>
      </c>
      <c r="G1987" s="14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</row>
    <row r="1988" spans="1:26" ht="14.25">
      <c r="A1988" s="14" t="str">
        <f ca="1">IFERROR(__xludf.DUMMYFUNCTION("""COMPUTED_VALUE"""),"Илья Тарасов")</f>
        <v>Илья Тарасов</v>
      </c>
      <c r="B1988" s="14" t="str">
        <f ca="1">IFERROR(__xludf.DUMMYFUNCTION("""COMPUTED_VALUE"""),"tarasov.ilya.007@mail.ru")</f>
        <v>tarasov.ilya.007@mail.ru</v>
      </c>
      <c r="C1988" s="15" t="str">
        <f ca="1">IFERROR(__xludf.DUMMYFUNCTION("""COMPUTED_VALUE"""),"79296623555")</f>
        <v>79296623555</v>
      </c>
      <c r="D1988" s="15" t="str">
        <f ca="1">IFERROR(__xludf.DUMMYFUNCTION("""COMPUTED_VALUE"""),"Россия")</f>
        <v>Россия</v>
      </c>
      <c r="E1988" s="14"/>
      <c r="F1988" s="8" t="str">
        <f ca="1">IFERROR(__xludf.DUMMYFUNCTION("""COMPUTED_VALUE"""),"- Однодневный ретрит Россия 14 мая 2022")</f>
        <v>- Однодневный ретрит Россия 14 мая 2022</v>
      </c>
      <c r="G1988" s="14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</row>
    <row r="1989" spans="1:26" ht="25.5">
      <c r="A1989" s="14" t="str">
        <f ca="1">IFERROR(__xludf.DUMMYFUNCTION("""COMPUTED_VALUE"""),"Наталия Братская")</f>
        <v>Наталия Братская</v>
      </c>
      <c r="B1989" s="14" t="str">
        <f ca="1">IFERROR(__xludf.DUMMYFUNCTION("""COMPUTED_VALUE"""),"Tasha191212@gmail.com")</f>
        <v>Tasha191212@gmail.com</v>
      </c>
      <c r="C1989" s="15" t="str">
        <f ca="1">IFERROR(__xludf.DUMMYFUNCTION("""COMPUTED_VALUE"""),"+380973960527")</f>
        <v>+380973960527</v>
      </c>
      <c r="D1989" s="15"/>
      <c r="E1989" s="14"/>
      <c r="F1989" s="8" t="str">
        <f ca="1">IFERROR(__xludf.DUMMYFUNCTION("""COMPUTED_VALUE"""),"- Новогодний Интенсив Алматы-онлайн 17-19.12.2021
- Интенсив онлайн 11-13.02.2022")</f>
        <v>- Новогодний Интенсив Алматы-онлайн 17-19.12.2021
- Интенсив онлайн 11-13.02.2022</v>
      </c>
      <c r="G1989" s="14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</row>
    <row r="1990" spans="1:26" ht="25.5">
      <c r="A1990" s="14" t="str">
        <f ca="1">IFERROR(__xludf.DUMMYFUNCTION("""COMPUTED_VALUE"""),"Татьяна Корнева")</f>
        <v>Татьяна Корнева</v>
      </c>
      <c r="B1990" s="14" t="str">
        <f ca="1">IFERROR(__xludf.DUMMYFUNCTION("""COMPUTED_VALUE"""),"tata-korol@mail.ru")</f>
        <v>tata-korol@mail.ru</v>
      </c>
      <c r="C1990" s="15" t="str">
        <f ca="1">IFERROR(__xludf.DUMMYFUNCTION("""COMPUTED_VALUE"""),"+4915905878416")</f>
        <v>+4915905878416</v>
      </c>
      <c r="D1990" s="15" t="str">
        <f ca="1">IFERROR(__xludf.DUMMYFUNCTION("""COMPUTED_VALUE"""),"Германия")</f>
        <v>Германия</v>
      </c>
      <c r="E1990" s="14"/>
      <c r="F1990" s="8" t="str">
        <f ca="1">IFERROR(__xludf.DUMMYFUNCTION("""COMPUTED_VALUE"""),"- Беседа - сатсанг с Екатериной Сосниной: Счастье внутри нас 15.1.22")</f>
        <v>- Беседа - сатсанг с Екатериной Сосниной: Счастье внутри нас 15.1.22</v>
      </c>
      <c r="G1990" s="14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</row>
    <row r="1991" spans="1:26" ht="14.25">
      <c r="A1991" s="14" t="str">
        <f ca="1">IFERROR(__xludf.DUMMYFUNCTION("""COMPUTED_VALUE"""),"Tatiana Kuzmenko")</f>
        <v>Tatiana Kuzmenko</v>
      </c>
      <c r="B1991" s="14" t="str">
        <f ca="1">IFERROR(__xludf.DUMMYFUNCTION("""COMPUTED_VALUE"""),"Tata.kuzmenko@gmail.com")</f>
        <v>Tata.kuzmenko@gmail.com</v>
      </c>
      <c r="C1991" s="15" t="str">
        <f ca="1">IFERROR(__xludf.DUMMYFUNCTION("""COMPUTED_VALUE"""),"+79057189345")</f>
        <v>+79057189345</v>
      </c>
      <c r="D1991" s="15" t="str">
        <f ca="1">IFERROR(__xludf.DUMMYFUNCTION("""COMPUTED_VALUE"""),"Россия")</f>
        <v>Россия</v>
      </c>
      <c r="E1991" s="14"/>
      <c r="F1991" s="8" t="str">
        <f ca="1">IFERROR(__xludf.DUMMYFUNCTION("""COMPUTED_VALUE"""),"- Вебинар все о ретрите 12.2.2022")</f>
        <v>- Вебинар все о ретрите 12.2.2022</v>
      </c>
      <c r="G1991" s="14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</row>
    <row r="1992" spans="1:26" ht="14.25">
      <c r="A1992" s="14" t="str">
        <f ca="1">IFERROR(__xludf.DUMMYFUNCTION("""COMPUTED_VALUE"""),"Татьяна Корнева")</f>
        <v>Татьяна Корнева</v>
      </c>
      <c r="B1992" s="14" t="str">
        <f ca="1">IFERROR(__xludf.DUMMYFUNCTION("""COMPUTED_VALUE"""),"tatakorol@mail.ru")</f>
        <v>tatakorol@mail.ru</v>
      </c>
      <c r="C1992" s="15" t="str">
        <f ca="1">IFERROR(__xludf.DUMMYFUNCTION("""COMPUTED_VALUE"""),"+4915905878416")</f>
        <v>+4915905878416</v>
      </c>
      <c r="D1992" s="15" t="str">
        <f ca="1">IFERROR(__xludf.DUMMYFUNCTION("""COMPUTED_VALUE"""),"Германия")</f>
        <v>Германия</v>
      </c>
      <c r="E1992" s="14"/>
      <c r="F1992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1992" s="14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</row>
    <row r="1993" spans="1:26" ht="14.25">
      <c r="A1993" s="14" t="str">
        <f ca="1">IFERROR(__xludf.DUMMYFUNCTION("""COMPUTED_VALUE"""),"Татьяна Сорока")</f>
        <v>Татьяна Сорока</v>
      </c>
      <c r="B1993" s="14" t="str">
        <f ca="1">IFERROR(__xludf.DUMMYFUNCTION("""COMPUTED_VALUE"""),"tatavladi7@yandex.ru")</f>
        <v>tatavladi7@yandex.ru</v>
      </c>
      <c r="C1993" s="15" t="str">
        <f ca="1">IFERROR(__xludf.DUMMYFUNCTION("""COMPUTED_VALUE"""),"0721506688")</f>
        <v>0721506688</v>
      </c>
      <c r="D1993" s="15"/>
      <c r="E1993" s="14"/>
      <c r="F1993" s="8" t="str">
        <f ca="1">IFERROR(__xludf.DUMMYFUNCTION("""COMPUTED_VALUE"""),"- Тишина Челлендж (бесплатная часть)")</f>
        <v>- Тишина Челлендж (бесплатная часть)</v>
      </c>
      <c r="G1993" s="14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</row>
    <row r="1994" spans="1:26" ht="14.25">
      <c r="A1994" s="14" t="str">
        <f ca="1">IFERROR(__xludf.DUMMYFUNCTION("""COMPUTED_VALUE"""),"Татьяна Соколова")</f>
        <v>Татьяна Соколова</v>
      </c>
      <c r="B1994" s="14" t="str">
        <f ca="1">IFERROR(__xludf.DUMMYFUNCTION("""COMPUTED_VALUE"""),"tatiana_sokolova_89@mail.ru")</f>
        <v>tatiana_sokolova_89@mail.ru</v>
      </c>
      <c r="C1994" s="15"/>
      <c r="D1994" s="15" t="str">
        <f ca="1">IFERROR(__xludf.DUMMYFUNCTION("""COMPUTED_VALUE"""),"Казахстан")</f>
        <v>Казахстан</v>
      </c>
      <c r="E1994" s="14"/>
      <c r="F1994" s="8" t="str">
        <f ca="1">IFERROR(__xludf.DUMMYFUNCTION("""COMPUTED_VALUE"""),"- Базовая бесплатная часть")</f>
        <v>- Базовая бесплатная часть</v>
      </c>
      <c r="G1994" s="14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</row>
    <row r="1995" spans="1:26" ht="14.25">
      <c r="A1995" s="14" t="str">
        <f ca="1">IFERROR(__xludf.DUMMYFUNCTION("""COMPUTED_VALUE"""),"tatiana.vorob,  ")</f>
        <v xml:space="preserve">tatiana.vorob,  </v>
      </c>
      <c r="B1995" s="14" t="str">
        <f ca="1">IFERROR(__xludf.DUMMYFUNCTION("""COMPUTED_VALUE"""),"tatiana.vorob@mail.ru")</f>
        <v>tatiana.vorob@mail.ru</v>
      </c>
      <c r="C1995" s="15"/>
      <c r="D1995" s="15"/>
      <c r="E1995" s="14"/>
      <c r="F1995" s="8" t="str">
        <f ca="1">IFERROR(__xludf.DUMMYFUNCTION("""COMPUTED_VALUE"""),"- Челлендж Тишины")</f>
        <v>- Челлендж Тишины</v>
      </c>
      <c r="G1995" s="14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</row>
    <row r="1996" spans="1:26" ht="25.5">
      <c r="A1996" s="14" t="str">
        <f ca="1">IFERROR(__xludf.DUMMYFUNCTION("""COMPUTED_VALUE"""),"Татьяна Явтушенко")</f>
        <v>Татьяна Явтушенко</v>
      </c>
      <c r="B1996" s="14" t="str">
        <f ca="1">IFERROR(__xludf.DUMMYFUNCTION("""COMPUTED_VALUE"""),"tatiana3173740@gmail.com")</f>
        <v>tatiana3173740@gmail.com</v>
      </c>
      <c r="C1996" s="15" t="str">
        <f ca="1">IFERROR(__xludf.DUMMYFUNCTION("""COMPUTED_VALUE"""),"+998903173740")</f>
        <v>+998903173740</v>
      </c>
      <c r="D1996" s="15"/>
      <c r="E1996" s="14"/>
      <c r="F199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996" s="14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</row>
    <row r="1997" spans="1:26" ht="25.5">
      <c r="A1997" s="14" t="str">
        <f ca="1">IFERROR(__xludf.DUMMYFUNCTION("""COMPUTED_VALUE"""),"Татьяна Федорова")</f>
        <v>Татьяна Федорова</v>
      </c>
      <c r="B1997" s="14" t="str">
        <f ca="1">IFERROR(__xludf.DUMMYFUNCTION("""COMPUTED_VALUE"""),"tatka2015kira@gmail.com")</f>
        <v>tatka2015kira@gmail.com</v>
      </c>
      <c r="C1997" s="15" t="str">
        <f ca="1">IFERROR(__xludf.DUMMYFUNCTION("""COMPUTED_VALUE"""),"+4915252349110")</f>
        <v>+4915252349110</v>
      </c>
      <c r="D1997" s="15"/>
      <c r="E1997" s="14"/>
      <c r="F199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1997" s="14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</row>
    <row r="1998" spans="1:26" ht="14.25">
      <c r="A1998" s="14" t="str">
        <f ca="1">IFERROR(__xludf.DUMMYFUNCTION("""COMPUTED_VALUE"""),"Татьяна Баскаль")</f>
        <v>Татьяна Баскаль</v>
      </c>
      <c r="B1998" s="14" t="str">
        <f ca="1">IFERROR(__xludf.DUMMYFUNCTION("""COMPUTED_VALUE"""),"tatuanabaskal1@mail.ru")</f>
        <v>tatuanabaskal1@mail.ru</v>
      </c>
      <c r="C1998" s="15" t="str">
        <f ca="1">IFERROR(__xludf.DUMMYFUNCTION("""COMPUTED_VALUE"""),", +998971821882")</f>
        <v>, +998971821882</v>
      </c>
      <c r="D1998" s="15"/>
      <c r="E1998" s="14"/>
      <c r="F1998" s="8" t="str">
        <f ca="1">IFERROR(__xludf.DUMMYFUNCTION("""COMPUTED_VALUE"""),"Мероприятий не обнаружено")</f>
        <v>Мероприятий не обнаружено</v>
      </c>
      <c r="G1998" s="14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</row>
    <row r="1999" spans="1:26" ht="14.25">
      <c r="A1999" s="14" t="str">
        <f ca="1">IFERROR(__xludf.DUMMYFUNCTION("""COMPUTED_VALUE"""),"tatusya3108,  ")</f>
        <v xml:space="preserve">tatusya3108,  </v>
      </c>
      <c r="B1999" s="14" t="str">
        <f ca="1">IFERROR(__xludf.DUMMYFUNCTION("""COMPUTED_VALUE"""),"tatusya3108@bk.ru")</f>
        <v>tatusya3108@bk.ru</v>
      </c>
      <c r="C1999" s="15"/>
      <c r="D1999" s="15"/>
      <c r="E1999" s="14"/>
      <c r="F1999" s="8" t="str">
        <f ca="1">IFERROR(__xludf.DUMMYFUNCTION("""COMPUTED_VALUE"""),"- Челлендж Тишины")</f>
        <v>- Челлендж Тишины</v>
      </c>
      <c r="G1999" s="14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</row>
    <row r="2000" spans="1:26" ht="14.25">
      <c r="A2000" s="14" t="str">
        <f ca="1">IFERROR(__xludf.DUMMYFUNCTION("""COMPUTED_VALUE"""),"taty25092509,  ")</f>
        <v xml:space="preserve">taty25092509,  </v>
      </c>
      <c r="B2000" s="14" t="str">
        <f ca="1">IFERROR(__xludf.DUMMYFUNCTION("""COMPUTED_VALUE"""),"taty25092509@mail.ru")</f>
        <v>taty25092509@mail.ru</v>
      </c>
      <c r="C2000" s="15"/>
      <c r="D2000" s="15"/>
      <c r="E2000" s="14"/>
      <c r="F2000" s="8" t="str">
        <f ca="1">IFERROR(__xludf.DUMMYFUNCTION("""COMPUTED_VALUE"""),"- USA Челлендж Тишина")</f>
        <v>- USA Челлендж Тишина</v>
      </c>
      <c r="G2000" s="14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</row>
    <row r="2001" spans="1:26" ht="25.5">
      <c r="A2001" s="14" t="str">
        <f ca="1">IFERROR(__xludf.DUMMYFUNCTION("""COMPUTED_VALUE"""),"Татьяна Баранова")</f>
        <v>Татьяна Баранова</v>
      </c>
      <c r="B2001" s="14" t="str">
        <f ca="1">IFERROR(__xludf.DUMMYFUNCTION("""COMPUTED_VALUE"""),"tatyana-iv.baranova@yandex.ru")</f>
        <v>tatyana-iv.baranova@yandex.ru</v>
      </c>
      <c r="C2001" s="15" t="str">
        <f ca="1">IFERROR(__xludf.DUMMYFUNCTION("""COMPUTED_VALUE"""),"79326221439")</f>
        <v>79326221439</v>
      </c>
      <c r="D2001" s="15" t="str">
        <f ca="1">IFERROR(__xludf.DUMMYFUNCTION("""COMPUTED_VALUE"""),"Россия")</f>
        <v>Россия</v>
      </c>
      <c r="E2001" s="14"/>
      <c r="F2001" s="8" t="str">
        <f ca="1">IFERROR(__xludf.DUMMYFUNCTION("""COMPUTED_VALUE"""),"- Вебинар с Никитой Бородулиным 11.02.2022 часть1
- Вебинар все о ретрите 12.2.2022")</f>
        <v>- Вебинар с Никитой Бородулиным 11.02.2022 часть1
- Вебинар все о ретрите 12.2.2022</v>
      </c>
      <c r="G2001" s="14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</row>
    <row r="2002" spans="1:26" ht="14.25">
      <c r="A2002" s="14" t="str">
        <f ca="1">IFERROR(__xludf.DUMMYFUNCTION("""COMPUTED_VALUE"""),"Татьяна Захарова")</f>
        <v>Татьяна Захарова</v>
      </c>
      <c r="B2002" s="14" t="str">
        <f ca="1">IFERROR(__xludf.DUMMYFUNCTION("""COMPUTED_VALUE"""),"tatyana-zakharova-7979@mail.ru")</f>
        <v>tatyana-zakharova-7979@mail.ru</v>
      </c>
      <c r="C2002" s="15" t="str">
        <f ca="1">IFERROR(__xludf.DUMMYFUNCTION("""COMPUTED_VALUE"""),"79144437086")</f>
        <v>79144437086</v>
      </c>
      <c r="D2002" s="15" t="str">
        <f ca="1">IFERROR(__xludf.DUMMYFUNCTION("""COMPUTED_VALUE"""),"США")</f>
        <v>США</v>
      </c>
      <c r="E2002" s="14"/>
      <c r="F2002" s="8" t="str">
        <f ca="1">IFERROR(__xludf.DUMMYFUNCTION("""COMPUTED_VALUE"""),"- Тишина Челлендж (бесплатная часть)")</f>
        <v>- Тишина Челлендж (бесплатная часть)</v>
      </c>
      <c r="G2002" s="14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</row>
    <row r="2003" spans="1:26" ht="14.25">
      <c r="A2003" s="14" t="str">
        <f ca="1">IFERROR(__xludf.DUMMYFUNCTION("""COMPUTED_VALUE"""),"ТАТЬЯНА БЕЛОУС")</f>
        <v>ТАТЬЯНА БЕЛОУС</v>
      </c>
      <c r="B2003" s="14" t="str">
        <f ca="1">IFERROR(__xludf.DUMMYFUNCTION("""COMPUTED_VALUE"""),"tatyana.belous.1965@gmail.com")</f>
        <v>tatyana.belous.1965@gmail.com</v>
      </c>
      <c r="C2003" s="15" t="str">
        <f ca="1">IFERROR(__xludf.DUMMYFUNCTION("""COMPUTED_VALUE"""),"972548660430")</f>
        <v>972548660430</v>
      </c>
      <c r="D2003" s="15" t="str">
        <f ca="1">IFERROR(__xludf.DUMMYFUNCTION("""COMPUTED_VALUE"""),"Израиль Молдавия")</f>
        <v>Израиль Молдавия</v>
      </c>
      <c r="E2003" s="14" t="str">
        <f ca="1">IFERROR(__xludf.DUMMYFUNCTION("""COMPUTED_VALUE"""),"@Tania1965Moldova")</f>
        <v>@Tania1965Moldova</v>
      </c>
      <c r="F2003" s="8" t="str">
        <f ca="1">IFERROR(__xludf.DUMMYFUNCTION("""COMPUTED_VALUE"""),"- Клуб пробуждения Друзья (2 уровень) - 6 месяцев - скидка 13%")</f>
        <v>- Клуб пробуждения Друзья (2 уровень) - 6 месяцев - скидка 13%</v>
      </c>
      <c r="G2003" s="14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</row>
    <row r="2004" spans="1:26" ht="25.5">
      <c r="A2004" s="14" t="str">
        <f ca="1">IFERROR(__xludf.DUMMYFUNCTION("""COMPUTED_VALUE"""),"Tatyana Kukina")</f>
        <v>Tatyana Kukina</v>
      </c>
      <c r="B2004" s="14" t="str">
        <f ca="1">IFERROR(__xludf.DUMMYFUNCTION("""COMPUTED_VALUE"""),"tatyanaakukina@gmail.com")</f>
        <v>tatyanaakukina@gmail.com</v>
      </c>
      <c r="C2004" s="15" t="str">
        <f ca="1">IFERROR(__xludf.DUMMYFUNCTION("""COMPUTED_VALUE"""),"+998901856414")</f>
        <v>+998901856414</v>
      </c>
      <c r="D2004" s="15" t="str">
        <f ca="1">IFERROR(__xludf.DUMMYFUNCTION("""COMPUTED_VALUE"""),"Узбекистан")</f>
        <v>Узбекистан</v>
      </c>
      <c r="E2004" s="14"/>
      <c r="F200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004" s="14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</row>
    <row r="2005" spans="1:26" ht="14.25">
      <c r="A2005" s="14" t="str">
        <f ca="1">IFERROR(__xludf.DUMMYFUNCTION("""COMPUTED_VALUE"""),"Татьяна Кутнякова")</f>
        <v>Татьяна Кутнякова</v>
      </c>
      <c r="B2005" s="14" t="str">
        <f ca="1">IFERROR(__xludf.DUMMYFUNCTION("""COMPUTED_VALUE"""),"tder63@mail.ru")</f>
        <v>tder63@mail.ru</v>
      </c>
      <c r="C2005" s="15"/>
      <c r="D2005" s="15" t="str">
        <f ca="1">IFERROR(__xludf.DUMMYFUNCTION("""COMPUTED_VALUE"""),"Швеция")</f>
        <v>Швеция</v>
      </c>
      <c r="E2005" s="14"/>
      <c r="F2005" s="8" t="str">
        <f ca="1">IFERROR(__xludf.DUMMYFUNCTION("""COMPUTED_VALUE"""),"- Тишина Челлендж (бесплатная часть)")</f>
        <v>- Тишина Челлендж (бесплатная часть)</v>
      </c>
      <c r="G2005" s="14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</row>
    <row r="2006" spans="1:26" ht="14.25">
      <c r="A2006" s="14" t="str">
        <f ca="1">IFERROR(__xludf.DUMMYFUNCTION("""COMPUTED_VALUE"""),"Виктория Алексеева")</f>
        <v>Виктория Алексеева</v>
      </c>
      <c r="B2006" s="14" t="str">
        <f ca="1">IFERROR(__xludf.DUMMYFUNCTION("""COMPUTED_VALUE"""),"temerso@mail.ru")</f>
        <v>temerso@mail.ru</v>
      </c>
      <c r="C2006" s="15" t="str">
        <f ca="1">IFERROR(__xludf.DUMMYFUNCTION("""COMPUTED_VALUE"""),"79261808929")</f>
        <v>79261808929</v>
      </c>
      <c r="D2006" s="15" t="str">
        <f ca="1">IFERROR(__xludf.DUMMYFUNCTION("""COMPUTED_VALUE"""),"Россия")</f>
        <v>Россия</v>
      </c>
      <c r="E2006" s="14"/>
      <c r="F2006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2006" s="14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</row>
    <row r="2007" spans="1:26" ht="14.25">
      <c r="A2007" s="14" t="str">
        <f ca="1">IFERROR(__xludf.DUMMYFUNCTION("""COMPUTED_VALUE"""),"Валерий Саломатин")</f>
        <v>Валерий Саломатин</v>
      </c>
      <c r="B2007" s="14" t="str">
        <f ca="1">IFERROR(__xludf.DUMMYFUNCTION("""COMPUTED_VALUE"""),"Temich261097@mail.ru")</f>
        <v>Temich261097@mail.ru</v>
      </c>
      <c r="C2007" s="15" t="str">
        <f ca="1">IFERROR(__xludf.DUMMYFUNCTION("""COMPUTED_VALUE"""),", 37067536539")</f>
        <v>, 37067536539</v>
      </c>
      <c r="D2007" s="15" t="str">
        <f ca="1">IFERROR(__xludf.DUMMYFUNCTION("""COMPUTED_VALUE"""),"Литва")</f>
        <v>Литва</v>
      </c>
      <c r="E2007" s="14"/>
      <c r="F2007" s="8" t="str">
        <f ca="1">IFERROR(__xludf.DUMMYFUNCTION("""COMPUTED_VALUE"""),"Мероприятий не обнаружено")</f>
        <v>Мероприятий не обнаружено</v>
      </c>
      <c r="G2007" s="14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</row>
    <row r="2008" spans="1:26" ht="14.25">
      <c r="A2008" s="14" t="str">
        <f ca="1">IFERROR(__xludf.DUMMYFUNCTION("""COMPUTED_VALUE"""),"Тереза Пацук")</f>
        <v>Тереза Пацук</v>
      </c>
      <c r="B2008" s="14" t="str">
        <f ca="1">IFERROR(__xludf.DUMMYFUNCTION("""COMPUTED_VALUE"""),"tereza-spb@mail.ru")</f>
        <v>tereza-spb@mail.ru</v>
      </c>
      <c r="C2008" s="15" t="str">
        <f ca="1">IFERROR(__xludf.DUMMYFUNCTION("""COMPUTED_VALUE"""),"+79117710812")</f>
        <v>+79117710812</v>
      </c>
      <c r="D2008" s="15"/>
      <c r="E2008" s="14"/>
      <c r="F2008" s="8" t="str">
        <f ca="1">IFERROR(__xludf.DUMMYFUNCTION("""COMPUTED_VALUE"""),"- Тишина Челлендж (бесплатная часть)")</f>
        <v>- Тишина Челлендж (бесплатная часть)</v>
      </c>
      <c r="G2008" s="14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</row>
    <row r="2009" spans="1:26" ht="14.25">
      <c r="A2009" s="14" t="str">
        <f ca="1">IFERROR(__xludf.DUMMYFUNCTION("""COMPUTED_VALUE"""),"Kriminalnoe Ctivo")</f>
        <v>Kriminalnoe Ctivo</v>
      </c>
      <c r="B2009" s="14" t="str">
        <f ca="1">IFERROR(__xludf.DUMMYFUNCTION("""COMPUTED_VALUE"""),"Terkinvasiliy189@gmail.com")</f>
        <v>Terkinvasiliy189@gmail.com</v>
      </c>
      <c r="C2009" s="15" t="str">
        <f ca="1">IFERROR(__xludf.DUMMYFUNCTION("""COMPUTED_VALUE"""),"+972508774471")</f>
        <v>+972508774471</v>
      </c>
      <c r="D2009" s="15" t="str">
        <f ca="1">IFERROR(__xludf.DUMMYFUNCTION("""COMPUTED_VALUE"""),"Израиль")</f>
        <v>Израиль</v>
      </c>
      <c r="E2009" s="14"/>
      <c r="F2009" s="8" t="str">
        <f ca="1">IFERROR(__xludf.DUMMYFUNCTION("""COMPUTED_VALUE"""),"- Базовая бесплатная часть")</f>
        <v>- Базовая бесплатная часть</v>
      </c>
      <c r="G2009" s="14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</row>
    <row r="2010" spans="1:26" ht="14.25">
      <c r="A2010" s="14" t="str">
        <f ca="1">IFERROR(__xludf.DUMMYFUNCTION("""COMPUTED_VALUE"""),"Tatjana Jermakova")</f>
        <v>Tatjana Jermakova</v>
      </c>
      <c r="B2010" s="14" t="str">
        <f ca="1">IFERROR(__xludf.DUMMYFUNCTION("""COMPUTED_VALUE"""),"Terma29@gmail.com")</f>
        <v>Terma29@gmail.com</v>
      </c>
      <c r="C2010" s="15"/>
      <c r="D2010" s="15" t="str">
        <f ca="1">IFERROR(__xludf.DUMMYFUNCTION("""COMPUTED_VALUE"""),"Эстония")</f>
        <v>Эстония</v>
      </c>
      <c r="E2010" s="14"/>
      <c r="F2010" s="8" t="str">
        <f ca="1">IFERROR(__xludf.DUMMYFUNCTION("""COMPUTED_VALUE"""),"- Тишина Челлендж (бесплатная часть)")</f>
        <v>- Тишина Челлендж (бесплатная часть)</v>
      </c>
      <c r="G2010" s="14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</row>
    <row r="2011" spans="1:26" ht="14.25">
      <c r="A2011" s="14" t="str">
        <f ca="1">IFERROR(__xludf.DUMMYFUNCTION("""COMPUTED_VALUE"""),"Сергей Терновский")</f>
        <v>Сергей Терновский</v>
      </c>
      <c r="B2011" s="14" t="str">
        <f ca="1">IFERROR(__xludf.DUMMYFUNCTION("""COMPUTED_VALUE"""),"Ternovskisergey@gmail.com")</f>
        <v>Ternovskisergey@gmail.com</v>
      </c>
      <c r="C2011" s="15" t="str">
        <f ca="1">IFERROR(__xludf.DUMMYFUNCTION("""COMPUTED_VALUE"""),"+375297064018")</f>
        <v>+375297064018</v>
      </c>
      <c r="D2011" s="15" t="str">
        <f ca="1">IFERROR(__xludf.DUMMYFUNCTION("""COMPUTED_VALUE"""),"Беларусь")</f>
        <v>Беларусь</v>
      </c>
      <c r="E2011" s="14"/>
      <c r="F2011" s="8" t="str">
        <f ca="1">IFERROR(__xludf.DUMMYFUNCTION("""COMPUTED_VALUE"""),"- Чайная встреча в Минске")</f>
        <v>- Чайная встреча в Минске</v>
      </c>
      <c r="G2011" s="14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</row>
    <row r="2012" spans="1:26" ht="14.25">
      <c r="A2012" s="14" t="str">
        <f ca="1">IFERROR(__xludf.DUMMYFUNCTION("""COMPUTED_VALUE"""),"Наталья Кученкова")</f>
        <v>Наталья Кученкова</v>
      </c>
      <c r="B2012" s="14" t="str">
        <f ca="1">IFERROR(__xludf.DUMMYFUNCTION("""COMPUTED_VALUE"""),"territoria-ru@yandex.ru")</f>
        <v>territoria-ru@yandex.ru</v>
      </c>
      <c r="C2012" s="15" t="str">
        <f ca="1">IFERROR(__xludf.DUMMYFUNCTION("""COMPUTED_VALUE"""),"+79060250309")</f>
        <v>+79060250309</v>
      </c>
      <c r="D2012" s="15" t="str">
        <f ca="1">IFERROR(__xludf.DUMMYFUNCTION("""COMPUTED_VALUE"""),"Россия")</f>
        <v>Россия</v>
      </c>
      <c r="E2012" s="14"/>
      <c r="F2012" s="8" t="str">
        <f ca="1">IFERROR(__xludf.DUMMYFUNCTION("""COMPUTED_VALUE"""),"- Тишина Челлендж (бесплатная часть)")</f>
        <v>- Тишина Челлендж (бесплатная часть)</v>
      </c>
      <c r="G2012" s="14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</row>
    <row r="2013" spans="1:26" ht="14.25">
      <c r="A2013" s="14" t="str">
        <f ca="1">IFERROR(__xludf.DUMMYFUNCTION("""COMPUTED_VALUE"""),"test testvich")</f>
        <v>test testvich</v>
      </c>
      <c r="B2013" s="14" t="str">
        <f ca="1">IFERROR(__xludf.DUMMYFUNCTION("""COMPUTED_VALUE"""),"test123@yandex.ru")</f>
        <v>test123@yandex.ru</v>
      </c>
      <c r="C2013" s="15" t="str">
        <f ca="1">IFERROR(__xludf.DUMMYFUNCTION("""COMPUTED_VALUE"""),", +79147292828")</f>
        <v>, +79147292828</v>
      </c>
      <c r="D2013" s="15"/>
      <c r="E2013" s="14"/>
      <c r="F2013" s="8" t="str">
        <f ca="1">IFERROR(__xludf.DUMMYFUNCTION("""COMPUTED_VALUE"""),"Мероприятий не обнаружено")</f>
        <v>Мероприятий не обнаружено</v>
      </c>
      <c r="G2013" s="14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</row>
    <row r="2014" spans="1:26" ht="14.25">
      <c r="A2014" s="14" t="str">
        <f ca="1">IFERROR(__xludf.DUMMYFUNCTION("""COMPUTED_VALUE""")," ")</f>
        <v xml:space="preserve"> </v>
      </c>
      <c r="B2014" s="14" t="str">
        <f ca="1">IFERROR(__xludf.DUMMYFUNCTION("""COMPUTED_VALUE"""),"test2@tets.ru")</f>
        <v>test2@tets.ru</v>
      </c>
      <c r="C2014" s="15"/>
      <c r="D2014" s="15"/>
      <c r="E2014" s="14"/>
      <c r="F2014" s="8" t="str">
        <f ca="1">IFERROR(__xludf.DUMMYFUNCTION("""COMPUTED_VALUE"""),"Мероприятий не обнаружено")</f>
        <v>Мероприятий не обнаружено</v>
      </c>
      <c r="G2014" s="14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</row>
    <row r="2015" spans="1:26" ht="14.25">
      <c r="A2015" s="14" t="str">
        <f ca="1">IFERROR(__xludf.DUMMYFUNCTION("""COMPUTED_VALUE"""),"test test")</f>
        <v>test test</v>
      </c>
      <c r="B2015" s="14" t="str">
        <f ca="1">IFERROR(__xludf.DUMMYFUNCTION("""COMPUTED_VALUE"""),"testest@yandex.ru")</f>
        <v>testest@yandex.ru</v>
      </c>
      <c r="C2015" s="15" t="str">
        <f ca="1">IFERROR(__xludf.DUMMYFUNCTION("""COMPUTED_VALUE"""),"+79147292828")</f>
        <v>+79147292828</v>
      </c>
      <c r="D2015" s="15"/>
      <c r="E2015" s="14"/>
      <c r="F2015" s="8" t="str">
        <f ca="1">IFERROR(__xludf.DUMMYFUNCTION("""COMPUTED_VALUE"""),"- Тишина Челлендж (бесплатная часть)")</f>
        <v>- Тишина Челлендж (бесплатная часть)</v>
      </c>
      <c r="G2015" s="14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</row>
    <row r="2016" spans="1:26" ht="14.25">
      <c r="A2016" s="14" t="str">
        <f ca="1">IFERROR(__xludf.DUMMYFUNCTION("""COMPUTED_VALUE"""),"Елизавета Нестерович")</f>
        <v>Елизавета Нестерович</v>
      </c>
      <c r="B2016" s="14" t="str">
        <f ca="1">IFERROR(__xludf.DUMMYFUNCTION("""COMPUTED_VALUE"""),"thesimliza@gmail.com")</f>
        <v>thesimliza@gmail.com</v>
      </c>
      <c r="C2016" s="15" t="str">
        <f ca="1">IFERROR(__xludf.DUMMYFUNCTION("""COMPUTED_VALUE"""),"+375445908485")</f>
        <v>+375445908485</v>
      </c>
      <c r="D2016" s="15" t="str">
        <f ca="1">IFERROR(__xludf.DUMMYFUNCTION("""COMPUTED_VALUE"""),"Беларусь")</f>
        <v>Беларусь</v>
      </c>
      <c r="E2016" s="14"/>
      <c r="F2016" s="8" t="str">
        <f ca="1">IFERROR(__xludf.DUMMYFUNCTION("""COMPUTED_VALUE"""),"- Йога тишины 28 марта 2022 Минск")</f>
        <v>- Йога тишины 28 марта 2022 Минск</v>
      </c>
      <c r="G2016" s="14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</row>
    <row r="2017" spans="1:26" ht="14.25">
      <c r="A2017" s="14" t="str">
        <f ca="1">IFERROR(__xludf.DUMMYFUNCTION("""COMPUTED_VALUE"""),"ТАТЬЯНА ХРЕНОВА")</f>
        <v>ТАТЬЯНА ХРЕНОВА</v>
      </c>
      <c r="B2017" s="14" t="str">
        <f ca="1">IFERROR(__xludf.DUMMYFUNCTION("""COMPUTED_VALUE"""),"threnova@mail.ru")</f>
        <v>threnova@mail.ru</v>
      </c>
      <c r="C2017" s="15" t="str">
        <f ca="1">IFERROR(__xludf.DUMMYFUNCTION("""COMPUTED_VALUE"""),"79165860017")</f>
        <v>79165860017</v>
      </c>
      <c r="D2017" s="15" t="str">
        <f ca="1">IFERROR(__xludf.DUMMYFUNCTION("""COMPUTED_VALUE"""),"Россия")</f>
        <v>Россия</v>
      </c>
      <c r="E2017" s="14" t="str">
        <f ca="1">IFERROR(__xludf.DUMMYFUNCTION("""COMPUTED_VALUE"""),"89165860017")</f>
        <v>89165860017</v>
      </c>
      <c r="F2017" s="8" t="str">
        <f ca="1">IFERROR(__xludf.DUMMYFUNCTION("""COMPUTED_VALUE"""),"- Интенсив 15-17 апреля Москва")</f>
        <v>- Интенсив 15-17 апреля Москва</v>
      </c>
      <c r="G2017" s="14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</row>
    <row r="2018" spans="1:26" ht="63.75">
      <c r="A2018" s="14" t="str">
        <f ca="1">IFERROR(__xludf.DUMMYFUNCTION("""COMPUTED_VALUE"""),"Гайрат Тилляходжаев")</f>
        <v>Гайрат Тилляходжаев</v>
      </c>
      <c r="B2018" s="14" t="str">
        <f ca="1">IFERROR(__xludf.DUMMYFUNCTION("""COMPUTED_VALUE"""),"tillahojaevgayrat0@gmail.com")</f>
        <v>tillahojaevgayrat0@gmail.com</v>
      </c>
      <c r="C2018" s="15" t="str">
        <f ca="1">IFERROR(__xludf.DUMMYFUNCTION("""COMPUTED_VALUE"""),"+79384515441")</f>
        <v>+79384515441</v>
      </c>
      <c r="D2018" s="15" t="str">
        <f ca="1">IFERROR(__xludf.DUMMYFUNCTION("""COMPUTED_VALUE"""),"Россия")</f>
        <v>Россия</v>
      </c>
      <c r="E2018" s="14" t="str">
        <f ca="1">IFERROR(__xludf.DUMMYFUNCTION("""COMPUTED_VALUE"""),"Gayratali Tillyaxojaev")</f>
        <v>Gayratali Tillyaxojaev</v>
      </c>
      <c r="F2018" s="8" t="str">
        <f ca="1">IFERROR(__xludf.DUMMYFUNCTION("""COMPUTED_VALUE"""),"- Ретрит в РЦ Сочи 19-27 марта 2022 (Оплата до 6 марта)
- АнтиЭго 2.0 29.3 - 12.04.2022 (поток 2)
- Заявка на звонок для курса ""Парадентальная медитация""
- Курс подготовки к Парадентальной медитации
- Курс подготовки к Парадентальной медитации (доступ к"&amp;" 1 уроку)")</f>
        <v>- Ретрит в РЦ Сочи 19-27 марта 2022 (Оплата до 6 марта)
- АнтиЭго 2.0 29.3 - 12.04.2022 (поток 2)
- Заявка на звонок для курса "Парадентальная медитация"
- Курс подготовки к Парадентальной медитации
- Курс подготовки к Парадентальной медитации (доступ к 1 уроку)</v>
      </c>
      <c r="G2018" s="14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</row>
    <row r="2019" spans="1:26" ht="25.5">
      <c r="A2019" s="14" t="str">
        <f ca="1">IFERROR(__xludf.DUMMYFUNCTION("""COMPUTED_VALUE"""),"Tatiana Vladimirovna")</f>
        <v>Tatiana Vladimirovna</v>
      </c>
      <c r="B2019" s="14" t="str">
        <f ca="1">IFERROR(__xludf.DUMMYFUNCTION("""COMPUTED_VALUE"""),"Timofey_7777@mail.ru")</f>
        <v>Timofey_7777@mail.ru</v>
      </c>
      <c r="C2019" s="15" t="str">
        <f ca="1">IFERROR(__xludf.DUMMYFUNCTION("""COMPUTED_VALUE"""),"998909587558")</f>
        <v>998909587558</v>
      </c>
      <c r="D2019" s="15"/>
      <c r="E2019" s="14"/>
      <c r="F201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019" s="14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</row>
    <row r="2020" spans="1:26" ht="14.25">
      <c r="A2020" s="14" t="str">
        <f ca="1">IFERROR(__xludf.DUMMYFUNCTION("""COMPUTED_VALUE"""),"tina.hussein13,  ")</f>
        <v xml:space="preserve">tina.hussein13,  </v>
      </c>
      <c r="B2020" s="14" t="str">
        <f ca="1">IFERROR(__xludf.DUMMYFUNCTION("""COMPUTED_VALUE"""),"tina.hussein13@gmail.com")</f>
        <v>tina.hussein13@gmail.com</v>
      </c>
      <c r="C2020" s="15"/>
      <c r="D2020" s="15"/>
      <c r="E2020" s="14"/>
      <c r="F2020" s="8" t="str">
        <f ca="1">IFERROR(__xludf.DUMMYFUNCTION("""COMPUTED_VALUE"""),"- USA Челлендж Тишина")</f>
        <v>- USA Челлендж Тишина</v>
      </c>
      <c r="G2020" s="14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</row>
    <row r="2021" spans="1:26" ht="25.5">
      <c r="A2021" s="14" t="str">
        <f ca="1">IFERROR(__xludf.DUMMYFUNCTION("""COMPUTED_VALUE"""),"Татьяна Титова")</f>
        <v>Татьяна Титова</v>
      </c>
      <c r="B2021" s="14" t="str">
        <f ca="1">IFERROR(__xludf.DUMMYFUNCTION("""COMPUTED_VALUE"""),"Titian@mail.ru")</f>
        <v>Titian@mail.ru</v>
      </c>
      <c r="C2021" s="15" t="str">
        <f ca="1">IFERROR(__xludf.DUMMYFUNCTION("""COMPUTED_VALUE"""),"79035433222")</f>
        <v>79035433222</v>
      </c>
      <c r="D2021" s="15" t="str">
        <f ca="1">IFERROR(__xludf.DUMMYFUNCTION("""COMPUTED_VALUE"""),"Россия")</f>
        <v>Россия</v>
      </c>
      <c r="E2021" s="14"/>
      <c r="F2021" s="8" t="str">
        <f ca="1">IFERROR(__xludf.DUMMYFUNCTION("""COMPUTED_VALUE"""),"- Интенсив 8-10 апреля Москва
- Однодневный ретрит Россия 14 мая 2022")</f>
        <v>- Интенсив 8-10 апреля Москва
- Однодневный ретрит Россия 14 мая 2022</v>
      </c>
      <c r="G2021" s="14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</row>
    <row r="2022" spans="1:26" ht="14.25">
      <c r="A2022" s="14" t="str">
        <f ca="1">IFERROR(__xludf.DUMMYFUNCTION("""COMPUTED_VALUE"""),"Ильмира Нургалиева")</f>
        <v>Ильмира Нургалиева</v>
      </c>
      <c r="B2022" s="14" t="str">
        <f ca="1">IFERROR(__xludf.DUMMYFUNCTION("""COMPUTED_VALUE"""),"tixero86@mail.ru")</f>
        <v>tixero86@mail.ru</v>
      </c>
      <c r="C2022" s="15" t="str">
        <f ca="1">IFERROR(__xludf.DUMMYFUNCTION("""COMPUTED_VALUE"""),"+77010594715")</f>
        <v>+77010594715</v>
      </c>
      <c r="D2022" s="15" t="str">
        <f ca="1">IFERROR(__xludf.DUMMYFUNCTION("""COMPUTED_VALUE"""),"Кыргызстан")</f>
        <v>Кыргызстан</v>
      </c>
      <c r="E2022" s="14"/>
      <c r="F2022" s="8" t="str">
        <f ca="1">IFERROR(__xludf.DUMMYFUNCTION("""COMPUTED_VALUE"""),"- Тишина Челлендж (бесплатная часть)")</f>
        <v>- Тишина Челлендж (бесплатная часть)</v>
      </c>
      <c r="G2022" s="14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</row>
    <row r="2023" spans="1:26" ht="14.25">
      <c r="A2023" s="14" t="str">
        <f ca="1">IFERROR(__xludf.DUMMYFUNCTION("""COMPUTED_VALUE"""),"tk_instyle,  ")</f>
        <v xml:space="preserve">tk_instyle,  </v>
      </c>
      <c r="B2023" s="14" t="str">
        <f ca="1">IFERROR(__xludf.DUMMYFUNCTION("""COMPUTED_VALUE"""),"tk_instyle@yahoo.com")</f>
        <v>tk_instyle@yahoo.com</v>
      </c>
      <c r="C2023" s="15"/>
      <c r="D2023" s="15"/>
      <c r="E2023" s="14"/>
      <c r="F2023" s="8" t="str">
        <f ca="1">IFERROR(__xludf.DUMMYFUNCTION("""COMPUTED_VALUE"""),"- USA Челлендж Тишина")</f>
        <v>- USA Челлендж Тишина</v>
      </c>
      <c r="G2023" s="14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</row>
    <row r="2024" spans="1:26" ht="14.25">
      <c r="A2024" s="14" t="str">
        <f ca="1">IFERROR(__xludf.DUMMYFUNCTION("""COMPUTED_VALUE"""),"Татьяна Каракулова")</f>
        <v>Татьяна Каракулова</v>
      </c>
      <c r="B2024" s="14" t="str">
        <f ca="1">IFERROR(__xludf.DUMMYFUNCTION("""COMPUTED_VALUE"""),"Tk.5428@mail.ru")</f>
        <v>Tk.5428@mail.ru</v>
      </c>
      <c r="C2024" s="15" t="str">
        <f ca="1">IFERROR(__xludf.DUMMYFUNCTION("""COMPUTED_VALUE"""),"79082703505")</f>
        <v>79082703505</v>
      </c>
      <c r="D2024" s="15" t="str">
        <f ca="1">IFERROR(__xludf.DUMMYFUNCTION("""COMPUTED_VALUE"""),"Россия")</f>
        <v>Россия</v>
      </c>
      <c r="E2024" s="14"/>
      <c r="F2024" s="8" t="str">
        <f ca="1">IFERROR(__xludf.DUMMYFUNCTION("""COMPUTED_VALUE"""),"- Тишина Челлендж (бесплатная часть)")</f>
        <v>- Тишина Челлендж (бесплатная часть)</v>
      </c>
      <c r="G2024" s="14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</row>
    <row r="2025" spans="1:26" ht="25.5">
      <c r="A2025" s="14" t="str">
        <f ca="1">IFERROR(__xludf.DUMMYFUNCTION("""COMPUTED_VALUE"""),"Мадина Тлеумагамбетова")</f>
        <v>Мадина Тлеумагамбетова</v>
      </c>
      <c r="B2025" s="14" t="str">
        <f ca="1">IFERROR(__xludf.DUMMYFUNCTION("""COMPUTED_VALUE"""),"tleumag@mail.ru")</f>
        <v>tleumag@mail.ru</v>
      </c>
      <c r="C2025" s="15" t="str">
        <f ca="1">IFERROR(__xludf.DUMMYFUNCTION("""COMPUTED_VALUE"""),"+77017457574")</f>
        <v>+77017457574</v>
      </c>
      <c r="D2025" s="15"/>
      <c r="E2025" s="14"/>
      <c r="F202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025" s="14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</row>
    <row r="2026" spans="1:26" ht="14.25">
      <c r="A2026" s="14" t="str">
        <f ca="1">IFERROR(__xludf.DUMMYFUNCTION("""COMPUTED_VALUE"""),"Toma Ninichuk")</f>
        <v>Toma Ninichuk</v>
      </c>
      <c r="B2026" s="14" t="str">
        <f ca="1">IFERROR(__xludf.DUMMYFUNCTION("""COMPUTED_VALUE"""),"tninichuk@gmail.com")</f>
        <v>tninichuk@gmail.com</v>
      </c>
      <c r="C2026" s="15" t="str">
        <f ca="1">IFERROR(__xludf.DUMMYFUNCTION("""COMPUTED_VALUE"""),"79165248412")</f>
        <v>79165248412</v>
      </c>
      <c r="D2026" s="15" t="str">
        <f ca="1">IFERROR(__xludf.DUMMYFUNCTION("""COMPUTED_VALUE"""),"USA")</f>
        <v>USA</v>
      </c>
      <c r="E2026" s="14"/>
      <c r="F2026" s="8" t="str">
        <f ca="1">IFERROR(__xludf.DUMMYFUNCTION("""COMPUTED_VALUE"""),"- USA Челлендж Тишина")</f>
        <v>- USA Челлендж Тишина</v>
      </c>
      <c r="G2026" s="14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</row>
    <row r="2027" spans="1:26" ht="25.5">
      <c r="A2027" s="14" t="str">
        <f ca="1">IFERROR(__xludf.DUMMYFUNCTION("""COMPUTED_VALUE"""),"Толкын Жакупова")</f>
        <v>Толкын Жакупова</v>
      </c>
      <c r="B2027" s="14" t="str">
        <f ca="1">IFERROR(__xludf.DUMMYFUNCTION("""COMPUTED_VALUE"""),"tolqynsalimgerei@mail.ru")</f>
        <v>tolqynsalimgerei@mail.ru</v>
      </c>
      <c r="C2027" s="15" t="str">
        <f ca="1">IFERROR(__xludf.DUMMYFUNCTION("""COMPUTED_VALUE"""),"+77079412484")</f>
        <v>+77079412484</v>
      </c>
      <c r="D2027" s="15"/>
      <c r="E2027" s="14"/>
      <c r="F202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027" s="14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</row>
    <row r="2028" spans="1:26" ht="14.25">
      <c r="A2028" s="14" t="str">
        <f ca="1">IFERROR(__xludf.DUMMYFUNCTION("""COMPUTED_VALUE"""),"tomik.chesebro,  ")</f>
        <v xml:space="preserve">tomik.chesebro,  </v>
      </c>
      <c r="B2028" s="14" t="str">
        <f ca="1">IFERROR(__xludf.DUMMYFUNCTION("""COMPUTED_VALUE"""),"tomik.chesebro@gmail.com")</f>
        <v>tomik.chesebro@gmail.com</v>
      </c>
      <c r="C2028" s="15"/>
      <c r="D2028" s="15"/>
      <c r="E2028" s="14"/>
      <c r="F2028" s="8" t="str">
        <f ca="1">IFERROR(__xludf.DUMMYFUNCTION("""COMPUTED_VALUE"""),"- USA Челлендж Тишина")</f>
        <v>- USA Челлендж Тишина</v>
      </c>
      <c r="G2028" s="14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</row>
    <row r="2029" spans="1:26" ht="14.25">
      <c r="A2029" s="14" t="str">
        <f ca="1">IFERROR(__xludf.DUMMYFUNCTION("""COMPUTED_VALUE"""),"Антон Карцев")</f>
        <v>Антон Карцев</v>
      </c>
      <c r="B2029" s="14" t="str">
        <f ca="1">IFERROR(__xludf.DUMMYFUNCTION("""COMPUTED_VALUE"""),"tonikartino@gmail.com")</f>
        <v>tonikartino@gmail.com</v>
      </c>
      <c r="C2029" s="15" t="str">
        <f ca="1">IFERROR(__xludf.DUMMYFUNCTION("""COMPUTED_VALUE"""),"+79256576267")</f>
        <v>+79256576267</v>
      </c>
      <c r="D2029" s="15" t="str">
        <f ca="1">IFERROR(__xludf.DUMMYFUNCTION("""COMPUTED_VALUE"""),"Россия")</f>
        <v>Россия</v>
      </c>
      <c r="E2029" s="14"/>
      <c r="F2029" s="8" t="str">
        <f ca="1">IFERROR(__xludf.DUMMYFUNCTION("""COMPUTED_VALUE"""),"- Ретрит в РЦ Сочи 19-27 марта 2022 (Оплата до 6 марта)")</f>
        <v>- Ретрит в РЦ Сочи 19-27 марта 2022 (Оплата до 6 марта)</v>
      </c>
      <c r="G2029" s="14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</row>
    <row r="2030" spans="1:26" ht="38.25">
      <c r="A2030" s="14" t="str">
        <f ca="1">IFERROR(__xludf.DUMMYFUNCTION("""COMPUTED_VALUE"""),"Майя Жуманова")</f>
        <v>Майя Жуманова</v>
      </c>
      <c r="B2030" s="14" t="str">
        <f ca="1">IFERROR(__xludf.DUMMYFUNCTION("""COMPUTED_VALUE"""),"Tosha_maya@mail.ru")</f>
        <v>Tosha_maya@mail.ru</v>
      </c>
      <c r="C2030" s="15" t="str">
        <f ca="1">IFERROR(__xludf.DUMMYFUNCTION("""COMPUTED_VALUE"""),"87012031978")</f>
        <v>87012031978</v>
      </c>
      <c r="D2030" s="15" t="str">
        <f ca="1">IFERROR(__xludf.DUMMYFUNCTION("""COMPUTED_VALUE"""),"Казахстан")</f>
        <v>Казахстан</v>
      </c>
      <c r="E2030" s="14"/>
      <c r="F2030" s="8" t="str">
        <f ca="1">IFERROR(__xludf.DUMMYFUNCTION("""COMPUTED_VALUE"""),"- Марафон Тишины - Тишина челлендж: Урал, Казахстан, Узбекистан 25-29.04.2022
- Тишина Челлендж (бесплатная часть)")</f>
        <v>- Марафон Тишины - Тишина челлендж: Урал, Казахстан, Узбекистан 25-29.04.2022
- Тишина Челлендж (бесплатная часть)</v>
      </c>
      <c r="G2030" s="14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</row>
    <row r="2031" spans="1:26" ht="14.25">
      <c r="A2031" s="14" t="str">
        <f ca="1">IFERROR(__xludf.DUMMYFUNCTION("""COMPUTED_VALUE"""),"ZHOMART KOPBAYEV")</f>
        <v>ZHOMART KOPBAYEV</v>
      </c>
      <c r="B2031" s="14" t="str">
        <f ca="1">IFERROR(__xludf.DUMMYFUNCTION("""COMPUTED_VALUE"""),"trafik365@mail.ru")</f>
        <v>trafik365@mail.ru</v>
      </c>
      <c r="C2031" s="15" t="str">
        <f ca="1">IFERROR(__xludf.DUMMYFUNCTION("""COMPUTED_VALUE"""),"+77773305929")</f>
        <v>+77773305929</v>
      </c>
      <c r="D2031" s="15"/>
      <c r="E2031" s="14"/>
      <c r="F2031" s="8" t="str">
        <f ca="1">IFERROR(__xludf.DUMMYFUNCTION("""COMPUTED_VALUE"""),"- Партнерская программа")</f>
        <v>- Партнерская программа</v>
      </c>
      <c r="G2031" s="14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</row>
    <row r="2032" spans="1:26" ht="14.25">
      <c r="A2032" s="14" t="str">
        <f ca="1">IFERROR(__xludf.DUMMYFUNCTION("""COMPUTED_VALUE"""),"Анатолий Трифонов")</f>
        <v>Анатолий Трифонов</v>
      </c>
      <c r="B2032" s="14" t="str">
        <f ca="1">IFERROR(__xludf.DUMMYFUNCTION("""COMPUTED_VALUE"""),"trifonov.anat.sin.ivanov@mail.ru")</f>
        <v>trifonov.anat.sin.ivanov@mail.ru</v>
      </c>
      <c r="C2032" s="15"/>
      <c r="D2032" s="15" t="str">
        <f ca="1">IFERROR(__xludf.DUMMYFUNCTION("""COMPUTED_VALUE"""),"Россия")</f>
        <v>Россия</v>
      </c>
      <c r="E2032" s="14"/>
      <c r="F2032" s="8" t="str">
        <f ca="1">IFERROR(__xludf.DUMMYFUNCTION("""COMPUTED_VALUE"""),"- Базовая бесплатная часть")</f>
        <v>- Базовая бесплатная часть</v>
      </c>
      <c r="G2032" s="14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</row>
    <row r="2033" spans="1:26" ht="14.25">
      <c r="A2033" s="14" t="str">
        <f ca="1">IFERROR(__xludf.DUMMYFUNCTION("""COMPUTED_VALUE"""),"Елена Трубицына")</f>
        <v>Елена Трубицына</v>
      </c>
      <c r="B2033" s="14" t="str">
        <f ca="1">IFERROR(__xludf.DUMMYFUNCTION("""COMPUTED_VALUE"""),"trubitsynaelena@rambler.ru")</f>
        <v>trubitsynaelena@rambler.ru</v>
      </c>
      <c r="C2033" s="15" t="str">
        <f ca="1">IFERROR(__xludf.DUMMYFUNCTION("""COMPUTED_VALUE"""),"+79120457250")</f>
        <v>+79120457250</v>
      </c>
      <c r="D2033" s="15"/>
      <c r="E2033" s="14"/>
      <c r="F2033" s="8" t="str">
        <f ca="1">IFERROR(__xludf.DUMMYFUNCTION("""COMPUTED_VALUE"""),"- Тишина Челлендж (бесплатная часть)")</f>
        <v>- Тишина Челлендж (бесплатная часть)</v>
      </c>
      <c r="G2033" s="14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</row>
    <row r="2034" spans="1:26" ht="25.5">
      <c r="A2034" s="14" t="str">
        <f ca="1">IFERROR(__xludf.DUMMYFUNCTION("""COMPUTED_VALUE"""),"ТАТЬЯНА ПЕТРОВА")</f>
        <v>ТАТЬЯНА ПЕТРОВА</v>
      </c>
      <c r="B2034" s="14" t="str">
        <f ca="1">IFERROR(__xludf.DUMMYFUNCTION("""COMPUTED_VALUE"""),"tucipo@yandex.ru")</f>
        <v>tucipo@yandex.ru</v>
      </c>
      <c r="C2034" s="15" t="str">
        <f ca="1">IFERROR(__xludf.DUMMYFUNCTION("""COMPUTED_VALUE"""),"+79282704773")</f>
        <v>+79282704773</v>
      </c>
      <c r="D2034" s="15" t="str">
        <f ca="1">IFERROR(__xludf.DUMMYFUNCTION("""COMPUTED_VALUE"""),"Россия")</f>
        <v>Россия</v>
      </c>
      <c r="E2034" s="14"/>
      <c r="F2034" s="8" t="str">
        <f ca="1">IFERROR(__xludf.DUMMYFUNCTION("""COMPUTED_VALUE"""),"- Запись на ""Беседу по душам""
- Ретрит в РЦ Сочи 5-13 марта 2022 (Оплата до 22 февраля)")</f>
        <v>- Запись на "Беседу по душам"
- Ретрит в РЦ Сочи 5-13 марта 2022 (Оплата до 22 февраля)</v>
      </c>
      <c r="G2034" s="14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</row>
    <row r="2035" spans="1:26" ht="25.5">
      <c r="A2035" s="14" t="str">
        <f ca="1">IFERROR(__xludf.DUMMYFUNCTION("""COMPUTED_VALUE"""),"Касым Жомарт Токаев")</f>
        <v>Касым Жомарт Токаев</v>
      </c>
      <c r="B2035" s="14" t="str">
        <f ca="1">IFERROR(__xludf.DUMMYFUNCTION("""COMPUTED_VALUE"""),"tulebayev.rustam1989@gmail.com")</f>
        <v>tulebayev.rustam1989@gmail.com</v>
      </c>
      <c r="C2035" s="15" t="str">
        <f ca="1">IFERROR(__xludf.DUMMYFUNCTION("""COMPUTED_VALUE"""),"77004480404")</f>
        <v>77004480404</v>
      </c>
      <c r="D2035" s="15"/>
      <c r="E2035" s="14"/>
      <c r="F203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035" s="14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</row>
    <row r="2036" spans="1:26" ht="14.25">
      <c r="A2036" s="14" t="str">
        <f ca="1">IFERROR(__xludf.DUMMYFUNCTION("""COMPUTED_VALUE"""),"Gulmira Tulegenova")</f>
        <v>Gulmira Tulegenova</v>
      </c>
      <c r="B2036" s="14" t="str">
        <f ca="1">IFERROR(__xludf.DUMMYFUNCTION("""COMPUTED_VALUE"""),"Tulegenova.mag@gmail.com")</f>
        <v>Tulegenova.mag@gmail.com</v>
      </c>
      <c r="C2036" s="15"/>
      <c r="D2036" s="15" t="str">
        <f ca="1">IFERROR(__xludf.DUMMYFUNCTION("""COMPUTED_VALUE"""),"Россия")</f>
        <v>Россия</v>
      </c>
      <c r="E2036" s="14"/>
      <c r="F2036" s="8" t="str">
        <f ca="1">IFERROR(__xludf.DUMMYFUNCTION("""COMPUTED_VALUE"""),"- Тишина Челлендж (бесплатная часть)")</f>
        <v>- Тишина Челлендж (бесплатная часть)</v>
      </c>
      <c r="G2036" s="14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</row>
    <row r="2037" spans="1:26" ht="14.25">
      <c r="A2037" s="14" t="str">
        <f ca="1">IFERROR(__xludf.DUMMYFUNCTION("""COMPUTED_VALUE"""),"tulka7777,  ")</f>
        <v xml:space="preserve">tulka7777,  </v>
      </c>
      <c r="B2037" s="14" t="str">
        <f ca="1">IFERROR(__xludf.DUMMYFUNCTION("""COMPUTED_VALUE"""),"tulka7777@gmail.com")</f>
        <v>tulka7777@gmail.com</v>
      </c>
      <c r="C2037" s="15"/>
      <c r="D2037" s="15"/>
      <c r="E2037" s="14"/>
      <c r="F2037" s="8" t="str">
        <f ca="1">IFERROR(__xludf.DUMMYFUNCTION("""COMPUTED_VALUE"""),"- USA Челлендж Тишина")</f>
        <v>- USA Челлендж Тишина</v>
      </c>
      <c r="G2037" s="14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</row>
    <row r="2038" spans="1:26" ht="25.5">
      <c r="A2038" s="14" t="str">
        <f ca="1">IFERROR(__xludf.DUMMYFUNCTION("""COMPUTED_VALUE"""),"Мубина Тураева")</f>
        <v>Мубина Тураева</v>
      </c>
      <c r="B2038" s="14" t="str">
        <f ca="1">IFERROR(__xludf.DUMMYFUNCTION("""COMPUTED_VALUE"""),"turaeva.mubina2011@gmail.com")</f>
        <v>turaeva.mubina2011@gmail.com</v>
      </c>
      <c r="C2038" s="15" t="str">
        <f ca="1">IFERROR(__xludf.DUMMYFUNCTION("""COMPUTED_VALUE"""),"+998998860770")</f>
        <v>+998998860770</v>
      </c>
      <c r="D2038" s="15"/>
      <c r="E2038" s="14"/>
      <c r="F203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038" s="14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</row>
    <row r="2039" spans="1:26" ht="25.5">
      <c r="A2039" s="14" t="str">
        <f ca="1">IFERROR(__xludf.DUMMYFUNCTION("""COMPUTED_VALUE"""),"Khojiakbar Turaev")</f>
        <v>Khojiakbar Turaev</v>
      </c>
      <c r="B2039" s="14" t="str">
        <f ca="1">IFERROR(__xludf.DUMMYFUNCTION("""COMPUTED_VALUE"""),"turaevkhojiakbar@gmail.com")</f>
        <v>turaevkhojiakbar@gmail.com</v>
      </c>
      <c r="C2039" s="15" t="str">
        <f ca="1">IFERROR(__xludf.DUMMYFUNCTION("""COMPUTED_VALUE"""),"+998977414747")</f>
        <v>+998977414747</v>
      </c>
      <c r="D2039" s="15"/>
      <c r="E2039" s="14"/>
      <c r="F203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039" s="14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</row>
    <row r="2040" spans="1:26" ht="25.5">
      <c r="A2040" s="14" t="str">
        <f ca="1">IFERROR(__xludf.DUMMYFUNCTION("""COMPUTED_VALUE"""),"Марина Туркина")</f>
        <v>Марина Туркина</v>
      </c>
      <c r="B2040" s="14" t="str">
        <f ca="1">IFERROR(__xludf.DUMMYFUNCTION("""COMPUTED_VALUE"""),"turkina1204@gmail.com")</f>
        <v>turkina1204@gmail.com</v>
      </c>
      <c r="C2040" s="15" t="str">
        <f ca="1">IFERROR(__xludf.DUMMYFUNCTION("""COMPUTED_VALUE"""),"903230532")</f>
        <v>903230532</v>
      </c>
      <c r="D2040" s="15"/>
      <c r="E2040" s="14"/>
      <c r="F204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040" s="14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</row>
    <row r="2041" spans="1:26" ht="25.5">
      <c r="A2041" s="14" t="str">
        <f ca="1">IFERROR(__xludf.DUMMYFUNCTION("""COMPUTED_VALUE"""),"Мария Туртбаева")</f>
        <v>Мария Туртбаева</v>
      </c>
      <c r="B2041" s="14" t="str">
        <f ca="1">IFERROR(__xludf.DUMMYFUNCTION("""COMPUTED_VALUE"""),"turtbaevamaria@gmail.com")</f>
        <v>turtbaevamaria@gmail.com</v>
      </c>
      <c r="C2041" s="15" t="str">
        <f ca="1">IFERROR(__xludf.DUMMYFUNCTION("""COMPUTED_VALUE"""),"87767990606")</f>
        <v>87767990606</v>
      </c>
      <c r="D2041" s="15"/>
      <c r="E2041" s="14"/>
      <c r="F204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041" s="14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</row>
    <row r="2042" spans="1:26" ht="14.25">
      <c r="A2042" s="14" t="str">
        <f ca="1">IFERROR(__xludf.DUMMYFUNCTION("""COMPUTED_VALUE"""),"Татьяна Вилькицкая")</f>
        <v>Татьяна Вилькицкая</v>
      </c>
      <c r="B2042" s="14" t="str">
        <f ca="1">IFERROR(__xludf.DUMMYFUNCTION("""COMPUTED_VALUE"""),"tvilkitskaia@hotmail.com")</f>
        <v>tvilkitskaia@hotmail.com</v>
      </c>
      <c r="C2042" s="15" t="str">
        <f ca="1">IFERROR(__xludf.DUMMYFUNCTION("""COMPUTED_VALUE"""),"0032498124828")</f>
        <v>0032498124828</v>
      </c>
      <c r="D2042" s="15" t="str">
        <f ca="1">IFERROR(__xludf.DUMMYFUNCTION("""COMPUTED_VALUE"""),"Бельгия")</f>
        <v>Бельгия</v>
      </c>
      <c r="E2042" s="14"/>
      <c r="F2042" s="8" t="str">
        <f ca="1">IFERROR(__xludf.DUMMYFUNCTION("""COMPUTED_VALUE"""),"- Новогодний фестиваль 29.12.2021-1.01.2022 Бад Майнберг")</f>
        <v>- Новогодний фестиваль 29.12.2021-1.01.2022 Бад Майнберг</v>
      </c>
      <c r="G2042" s="14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</row>
    <row r="2043" spans="1:26" ht="25.5">
      <c r="A2043" s="14" t="str">
        <f ca="1">IFERROR(__xludf.DUMMYFUNCTION("""COMPUTED_VALUE"""),"Ди Тл")</f>
        <v>Ди Тл</v>
      </c>
      <c r="B2043" s="14" t="str">
        <f ca="1">IFERROR(__xludf.DUMMYFUNCTION("""COMPUTED_VALUE"""),"Tyulyugunova.d@mail.ru")</f>
        <v>Tyulyugunova.d@mail.ru</v>
      </c>
      <c r="C2043" s="15" t="str">
        <f ca="1">IFERROR(__xludf.DUMMYFUNCTION("""COMPUTED_VALUE"""),"+77024093007")</f>
        <v>+77024093007</v>
      </c>
      <c r="D2043" s="15"/>
      <c r="E2043" s="14"/>
      <c r="F204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043" s="14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</row>
    <row r="2044" spans="1:26" ht="14.25">
      <c r="A2044" s="14" t="str">
        <f ca="1">IFERROR(__xludf.DUMMYFUNCTION("""COMPUTED_VALUE"""),"Юлия Деева")</f>
        <v>Юлия Деева</v>
      </c>
      <c r="B2044" s="14" t="str">
        <f ca="1">IFERROR(__xludf.DUMMYFUNCTION("""COMPUTED_VALUE"""),"Udeeva27@gmail.com")</f>
        <v>Udeeva27@gmail.com</v>
      </c>
      <c r="C2044" s="15" t="str">
        <f ca="1">IFERROR(__xludf.DUMMYFUNCTION("""COMPUTED_VALUE"""),"79655235508")</f>
        <v>79655235508</v>
      </c>
      <c r="D2044" s="15" t="str">
        <f ca="1">IFERROR(__xludf.DUMMYFUNCTION("""COMPUTED_VALUE"""),"Россия")</f>
        <v>Россия</v>
      </c>
      <c r="E2044" s="14"/>
      <c r="F2044" s="8" t="str">
        <f ca="1">IFERROR(__xludf.DUMMYFUNCTION("""COMPUTED_VALUE"""),"- Тишина Челлендж (бесплатная часть)")</f>
        <v>- Тишина Челлендж (бесплатная часть)</v>
      </c>
      <c r="G2044" s="14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</row>
    <row r="2045" spans="1:26" ht="14.25">
      <c r="A2045" s="14" t="str">
        <f ca="1">IFERROR(__xludf.DUMMYFUNCTION("""COMPUTED_VALUE"""),"Shambala Украина")</f>
        <v>Shambala Украина</v>
      </c>
      <c r="B2045" s="14" t="str">
        <f ca="1">IFERROR(__xludf.DUMMYFUNCTION("""COMPUTED_VALUE"""),"ukrainashg@gmail.com")</f>
        <v>ukrainashg@gmail.com</v>
      </c>
      <c r="C2045" s="15" t="str">
        <f ca="1">IFERROR(__xludf.DUMMYFUNCTION("""COMPUTED_VALUE"""),"+380977542007")</f>
        <v>+380977542007</v>
      </c>
      <c r="D2045" s="15" t="str">
        <f ca="1">IFERROR(__xludf.DUMMYFUNCTION("""COMPUTED_VALUE"""),"Великобритания")</f>
        <v>Великобритания</v>
      </c>
      <c r="E2045" s="14"/>
      <c r="F2045" s="8" t="str">
        <f ca="1">IFERROR(__xludf.DUMMYFUNCTION("""COMPUTED_VALUE"""),"- Партнерская программа")</f>
        <v>- Партнерская программа</v>
      </c>
      <c r="G2045" s="14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</row>
    <row r="2046" spans="1:26" ht="25.5">
      <c r="A2046" s="14" t="str">
        <f ca="1">IFERROR(__xludf.DUMMYFUNCTION("""COMPUTED_VALUE"""),"Маликаш Уксинбаева")</f>
        <v>Маликаш Уксинбаева</v>
      </c>
      <c r="B2046" s="14" t="str">
        <f ca="1">IFERROR(__xludf.DUMMYFUNCTION("""COMPUTED_VALUE"""),"Uksinbaevamalika@gmail.com")</f>
        <v>Uksinbaevamalika@gmail.com</v>
      </c>
      <c r="C2046" s="15" t="str">
        <f ca="1">IFERROR(__xludf.DUMMYFUNCTION("""COMPUTED_VALUE"""),"+998909538263")</f>
        <v>+998909538263</v>
      </c>
      <c r="D2046" s="15"/>
      <c r="E2046" s="14"/>
      <c r="F204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046" s="14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</row>
    <row r="2047" spans="1:26" ht="14.25">
      <c r="A2047" s="14" t="str">
        <f ca="1">IFERROR(__xludf.DUMMYFUNCTION("""COMPUTED_VALUE"""),"Юлия Алексеева")</f>
        <v>Юлия Алексеева</v>
      </c>
      <c r="B2047" s="14" t="str">
        <f ca="1">IFERROR(__xludf.DUMMYFUNCTION("""COMPUTED_VALUE"""),"ulechkaspb89@yandex.ru")</f>
        <v>ulechkaspb89@yandex.ru</v>
      </c>
      <c r="C2047" s="15" t="str">
        <f ca="1">IFERROR(__xludf.DUMMYFUNCTION("""COMPUTED_VALUE"""),"+79214363576")</f>
        <v>+79214363576</v>
      </c>
      <c r="D2047" s="15" t="str">
        <f ca="1">IFERROR(__xludf.DUMMYFUNCTION("""COMPUTED_VALUE"""),"Россия")</f>
        <v>Россия</v>
      </c>
      <c r="E2047" s="14"/>
      <c r="F2047" s="8" t="str">
        <f ca="1">IFERROR(__xludf.DUMMYFUNCTION("""COMPUTED_VALUE"""),"- Тишина Челлендж (бесплатная часть)")</f>
        <v>- Тишина Челлендж (бесплатная часть)</v>
      </c>
      <c r="G2047" s="14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</row>
    <row r="2048" spans="1:26" ht="14.25">
      <c r="A2048" s="14" t="str">
        <f ca="1">IFERROR(__xludf.DUMMYFUNCTION("""COMPUTED_VALUE"""),"Гуля Шарипова")</f>
        <v>Гуля Шарипова</v>
      </c>
      <c r="B2048" s="14" t="str">
        <f ca="1">IFERROR(__xludf.DUMMYFUNCTION("""COMPUTED_VALUE"""),"ulibka6532@mail.ru")</f>
        <v>ulibka6532@mail.ru</v>
      </c>
      <c r="C2048" s="15" t="str">
        <f ca="1">IFERROR(__xludf.DUMMYFUNCTION("""COMPUTED_VALUE"""),"+998909596532")</f>
        <v>+998909596532</v>
      </c>
      <c r="D2048" s="15"/>
      <c r="E2048" s="14"/>
      <c r="F2048" s="8" t="str">
        <f ca="1">IFERROR(__xludf.DUMMYFUNCTION("""COMPUTED_VALUE"""),"- Клуб пробуждения Друзья (Региональный)")</f>
        <v>- Клуб пробуждения Друзья (Региональный)</v>
      </c>
      <c r="G2048" s="14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</row>
    <row r="2049" spans="1:26" ht="14.25">
      <c r="A2049" s="14" t="str">
        <f ca="1">IFERROR(__xludf.DUMMYFUNCTION("""COMPUTED_VALUE"""),"Ульяна Казановская")</f>
        <v>Ульяна Казановская</v>
      </c>
      <c r="B2049" s="14" t="str">
        <f ca="1">IFERROR(__xludf.DUMMYFUNCTION("""COMPUTED_VALUE"""),"ulkakazanovskaya@gmail.com")</f>
        <v>ulkakazanovskaya@gmail.com</v>
      </c>
      <c r="C2049" s="15" t="str">
        <f ca="1">IFERROR(__xludf.DUMMYFUNCTION("""COMPUTED_VALUE"""),"+375445550903")</f>
        <v>+375445550903</v>
      </c>
      <c r="D2049" s="15" t="str">
        <f ca="1">IFERROR(__xludf.DUMMYFUNCTION("""COMPUTED_VALUE"""),"Беларусь")</f>
        <v>Беларусь</v>
      </c>
      <c r="E2049" s="14"/>
      <c r="F2049" s="8" t="str">
        <f ca="1">IFERROR(__xludf.DUMMYFUNCTION("""COMPUTED_VALUE"""),"- Чайная встреча в Минске 8.1.22")</f>
        <v>- Чайная встреча в Минске 8.1.22</v>
      </c>
      <c r="G2049" s="14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</row>
    <row r="2050" spans="1:26" ht="25.5">
      <c r="A2050" s="14" t="str">
        <f ca="1">IFERROR(__xludf.DUMMYFUNCTION("""COMPUTED_VALUE"""),"Улпан Буланова")</f>
        <v>Улпан Буланова</v>
      </c>
      <c r="B2050" s="14" t="str">
        <f ca="1">IFERROR(__xludf.DUMMYFUNCTION("""COMPUTED_VALUE"""),"Ulpanai@mail.ru")</f>
        <v>Ulpanai@mail.ru</v>
      </c>
      <c r="C2050" s="15" t="str">
        <f ca="1">IFERROR(__xludf.DUMMYFUNCTION("""COMPUTED_VALUE"""),"7763168848")</f>
        <v>7763168848</v>
      </c>
      <c r="D2050" s="15"/>
      <c r="E2050" s="14"/>
      <c r="F205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050" s="14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</row>
    <row r="2051" spans="1:26" ht="14.25">
      <c r="A2051" s="14" t="str">
        <f ca="1">IFERROR(__xludf.DUMMYFUNCTION("""COMPUTED_VALUE"""),"Ульяна Мулёва")</f>
        <v>Ульяна Мулёва</v>
      </c>
      <c r="B2051" s="14" t="str">
        <f ca="1">IFERROR(__xludf.DUMMYFUNCTION("""COMPUTED_VALUE"""),"uly02102005@gmail.com")</f>
        <v>uly02102005@gmail.com</v>
      </c>
      <c r="C2051" s="15" t="str">
        <f ca="1">IFERROR(__xludf.DUMMYFUNCTION("""COMPUTED_VALUE"""),"+375291664361")</f>
        <v>+375291664361</v>
      </c>
      <c r="D2051" s="15" t="str">
        <f ca="1">IFERROR(__xludf.DUMMYFUNCTION("""COMPUTED_VALUE"""),"Беларусь")</f>
        <v>Беларусь</v>
      </c>
      <c r="E2051" s="14"/>
      <c r="F2051" s="8" t="str">
        <f ca="1">IFERROR(__xludf.DUMMYFUNCTION("""COMPUTED_VALUE"""),"- Чайная встреча Разговор по душам 26.2.2022 Минск")</f>
        <v>- Чайная встреча Разговор по душам 26.2.2022 Минск</v>
      </c>
      <c r="G2051" s="14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</row>
    <row r="2052" spans="1:26" ht="14.25">
      <c r="A2052" s="14" t="str">
        <f ca="1">IFERROR(__xludf.DUMMYFUNCTION("""COMPUTED_VALUE"""),"Анна Хрусталёва")</f>
        <v>Анна Хрусталёва</v>
      </c>
      <c r="B2052" s="14" t="str">
        <f ca="1">IFERROR(__xludf.DUMMYFUNCTION("""COMPUTED_VALUE"""),"umka-jur@mail.ru")</f>
        <v>umka-jur@mail.ru</v>
      </c>
      <c r="C2052" s="15" t="str">
        <f ca="1">IFERROR(__xludf.DUMMYFUNCTION("""COMPUTED_VALUE"""),"+79786562195")</f>
        <v>+79786562195</v>
      </c>
      <c r="D2052" s="15" t="str">
        <f ca="1">IFERROR(__xludf.DUMMYFUNCTION("""COMPUTED_VALUE"""),"ДНР")</f>
        <v>ДНР</v>
      </c>
      <c r="E2052" s="14"/>
      <c r="F2052" s="8" t="str">
        <f ca="1">IFERROR(__xludf.DUMMYFUNCTION("""COMPUTED_VALUE"""),"- Тишина Челлендж (бесплатная часть)")</f>
        <v>- Тишина Челлендж (бесплатная часть)</v>
      </c>
      <c r="G2052" s="14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</row>
    <row r="2053" spans="1:26" ht="14.25">
      <c r="A2053" s="14" t="str">
        <f ca="1">IFERROR(__xludf.DUMMYFUNCTION("""COMPUTED_VALUE"""),"Ом Тата")</f>
        <v>Ом Тата</v>
      </c>
      <c r="B2053" s="14" t="str">
        <f ca="1">IFERROR(__xludf.DUMMYFUNCTION("""COMPUTED_VALUE"""),"umnow4nat@gmail.com")</f>
        <v>umnow4nat@gmail.com</v>
      </c>
      <c r="C2053" s="15" t="str">
        <f ca="1">IFERROR(__xludf.DUMMYFUNCTION("""COMPUTED_VALUE"""),", 998909588397")</f>
        <v>, 998909588397</v>
      </c>
      <c r="D2053" s="15"/>
      <c r="E2053" s="14"/>
      <c r="F2053" s="8" t="str">
        <f ca="1">IFERROR(__xludf.DUMMYFUNCTION("""COMPUTED_VALUE"""),"Мероприятий не обнаружено")</f>
        <v>Мероприятий не обнаружено</v>
      </c>
      <c r="G2053" s="14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</row>
    <row r="2054" spans="1:26" ht="14.25">
      <c r="A2054" s="14" t="str">
        <f ca="1">IFERROR(__xludf.DUMMYFUNCTION("""COMPUTED_VALUE"""),"Фарида Игнатьева")</f>
        <v>Фарида Игнатьева</v>
      </c>
      <c r="B2054" s="14" t="str">
        <f ca="1">IFERROR(__xludf.DUMMYFUNCTION("""COMPUTED_VALUE"""),"Ur80@list.ru")</f>
        <v>Ur80@list.ru</v>
      </c>
      <c r="C2054" s="15" t="str">
        <f ca="1">IFERROR(__xludf.DUMMYFUNCTION("""COMPUTED_VALUE"""),", 79869249775")</f>
        <v>, 79869249775</v>
      </c>
      <c r="D2054" s="15" t="str">
        <f ca="1">IFERROR(__xludf.DUMMYFUNCTION("""COMPUTED_VALUE"""),"Россия")</f>
        <v>Россия</v>
      </c>
      <c r="E2054" s="14"/>
      <c r="F2054" s="8" t="str">
        <f ca="1">IFERROR(__xludf.DUMMYFUNCTION("""COMPUTED_VALUE"""),"Мероприятий не обнаружено")</f>
        <v>Мероприятий не обнаружено</v>
      </c>
      <c r="G2054" s="14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</row>
    <row r="2055" spans="1:26" ht="14.25">
      <c r="A2055" s="14" t="str">
        <f ca="1">IFERROR(__xludf.DUMMYFUNCTION("""COMPUTED_VALUE"""),"Юра Гурский")</f>
        <v>Юра Гурский</v>
      </c>
      <c r="B2055" s="14" t="str">
        <f ca="1">IFERROR(__xludf.DUMMYFUNCTION("""COMPUTED_VALUE"""),"uraalhimik888@gmail.com")</f>
        <v>uraalhimik888@gmail.com</v>
      </c>
      <c r="C2055" s="15" t="str">
        <f ca="1">IFERROR(__xludf.DUMMYFUNCTION("""COMPUTED_VALUE"""),"+380668558409")</f>
        <v>+380668558409</v>
      </c>
      <c r="D2055" s="15" t="str">
        <f ca="1">IFERROR(__xludf.DUMMYFUNCTION("""COMPUTED_VALUE"""),"Украина")</f>
        <v>Украина</v>
      </c>
      <c r="E2055" s="14"/>
      <c r="F2055" s="8" t="str">
        <f ca="1">IFERROR(__xludf.DUMMYFUNCTION("""COMPUTED_VALUE"""),"- Вебинар-батл Я уже все знаю! Мне не нужна Школа 9.01.2022")</f>
        <v>- Вебинар-батл Я уже все знаю! Мне не нужна Школа 9.01.2022</v>
      </c>
      <c r="G2055" s="14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</row>
    <row r="2056" spans="1:26" ht="14.25">
      <c r="A2056" s="14" t="str">
        <f ca="1">IFERROR(__xludf.DUMMYFUNCTION("""COMPUTED_VALUE"""),"Айгуль Уристембекова")</f>
        <v>Айгуль Уристембекова</v>
      </c>
      <c r="B2056" s="14" t="str">
        <f ca="1">IFERROR(__xludf.DUMMYFUNCTION("""COMPUTED_VALUE"""),"uristembekova@mail.ru")</f>
        <v>uristembekova@mail.ru</v>
      </c>
      <c r="C2056" s="15" t="str">
        <f ca="1">IFERROR(__xludf.DUMMYFUNCTION("""COMPUTED_VALUE"""),"+77027778083")</f>
        <v>+77027778083</v>
      </c>
      <c r="D2056" s="15" t="str">
        <f ca="1">IFERROR(__xludf.DUMMYFUNCTION("""COMPUTED_VALUE"""),"Россия")</f>
        <v>Россия</v>
      </c>
      <c r="E2056" s="14"/>
      <c r="F2056" s="8" t="str">
        <f ca="1">IFERROR(__xludf.DUMMYFUNCTION("""COMPUTED_VALUE"""),"- Тишина Челлендж (бесплатная часть)")</f>
        <v>- Тишина Челлендж (бесплатная часть)</v>
      </c>
      <c r="G2056" s="14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</row>
    <row r="2057" spans="1:26" ht="38.25">
      <c r="A2057" s="14" t="str">
        <f ca="1">IFERROR(__xludf.DUMMYFUNCTION("""COMPUTED_VALUE"""),"Урынша Жумажанова")</f>
        <v>Урынша Жумажанова</v>
      </c>
      <c r="B2057" s="14" t="str">
        <f ca="1">IFERROR(__xludf.DUMMYFUNCTION("""COMPUTED_VALUE"""),"Urynsha@mail.ru")</f>
        <v>Urynsha@mail.ru</v>
      </c>
      <c r="C2057" s="15" t="str">
        <f ca="1">IFERROR(__xludf.DUMMYFUNCTION("""COMPUTED_VALUE"""),"87082956209")</f>
        <v>87082956209</v>
      </c>
      <c r="D2057" s="15" t="str">
        <f ca="1">IFERROR(__xludf.DUMMYFUNCTION("""COMPUTED_VALUE"""),"Казахстан")</f>
        <v>Казахстан</v>
      </c>
      <c r="E2057" s="14"/>
      <c r="F2057" s="8" t="str">
        <f ca="1">IFERROR(__xludf.DUMMYFUNCTION("""COMPUTED_VALUE"""),"- Марафон Тишины - Тишина челлендж: Урал, Казахстан, Узбекистан 25-29.04.2022
- Тишина Челлендж (бесплатная часть)")</f>
        <v>- Марафон Тишины - Тишина челлендж: Урал, Казахстан, Узбекистан 25-29.04.2022
- Тишина Челлендж (бесплатная часть)</v>
      </c>
      <c r="G2057" s="14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</row>
    <row r="2058" spans="1:26" ht="14.25">
      <c r="A2058" s="14" t="str">
        <f ca="1">IFERROR(__xludf.DUMMYFUNCTION("""COMPUTED_VALUE"""),"Жорик Жорик")</f>
        <v>Жорик Жорик</v>
      </c>
      <c r="B2058" s="14" t="str">
        <f ca="1">IFERROR(__xludf.DUMMYFUNCTION("""COMPUTED_VALUE"""),"utylmac@yandex.com")</f>
        <v>utylmac@yandex.com</v>
      </c>
      <c r="C2058" s="15"/>
      <c r="D2058" s="15" t="str">
        <f ca="1">IFERROR(__xludf.DUMMYFUNCTION("""COMPUTED_VALUE"""),"Украина")</f>
        <v>Украина</v>
      </c>
      <c r="E2058" s="14"/>
      <c r="F2058" s="8" t="str">
        <f ca="1">IFERROR(__xludf.DUMMYFUNCTION("""COMPUTED_VALUE"""),"- Базовая бесплатная часть")</f>
        <v>- Базовая бесплатная часть</v>
      </c>
      <c r="G2058" s="14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</row>
    <row r="2059" spans="1:26" ht="25.5">
      <c r="A2059" s="14" t="str">
        <f ca="1">IFERROR(__xludf.DUMMYFUNCTION("""COMPUTED_VALUE"""),"Шер Зод")</f>
        <v>Шер Зод</v>
      </c>
      <c r="B2059" s="14" t="str">
        <f ca="1">IFERROR(__xludf.DUMMYFUNCTION("""COMPUTED_VALUE"""),"Uzbekistanjuramurodov@gmail.com")</f>
        <v>Uzbekistanjuramurodov@gmail.com</v>
      </c>
      <c r="C2059" s="15" t="str">
        <f ca="1">IFERROR(__xludf.DUMMYFUNCTION("""COMPUTED_VALUE"""),"+998998185888")</f>
        <v>+998998185888</v>
      </c>
      <c r="D2059" s="15"/>
      <c r="E2059" s="14"/>
      <c r="F205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059" s="14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</row>
    <row r="2060" spans="1:26" ht="14.25">
      <c r="A2060" s="14" t="str">
        <f ca="1">IFERROR(__xludf.DUMMYFUNCTION("""COMPUTED_VALUE"""),"Снежана Костюк")</f>
        <v>Снежана Костюк</v>
      </c>
      <c r="B2060" s="14" t="str">
        <f ca="1">IFERROR(__xludf.DUMMYFUNCTION("""COMPUTED_VALUE"""),"V_ryabov78@list.ru")</f>
        <v>V_ryabov78@list.ru</v>
      </c>
      <c r="C2060" s="15" t="str">
        <f ca="1">IFERROR(__xludf.DUMMYFUNCTION("""COMPUTED_VALUE"""),"79140365055")</f>
        <v>79140365055</v>
      </c>
      <c r="D2060" s="15" t="str">
        <f ca="1">IFERROR(__xludf.DUMMYFUNCTION("""COMPUTED_VALUE"""),"Россия")</f>
        <v>Россия</v>
      </c>
      <c r="E2060" s="14"/>
      <c r="F2060" s="8" t="str">
        <f ca="1">IFERROR(__xludf.DUMMYFUNCTION("""COMPUTED_VALUE"""),"- Онлайн курс Шаг к Пробуждению №14 4.12 по 14.12")</f>
        <v>- Онлайн курс Шаг к Пробуждению №14 4.12 по 14.12</v>
      </c>
      <c r="G2060" s="14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</row>
    <row r="2061" spans="1:26" ht="14.25">
      <c r="A2061" s="14" t="str">
        <f ca="1">IFERROR(__xludf.DUMMYFUNCTION("""COMPUTED_VALUE"""),"Виктория Крылова")</f>
        <v>Виктория Крылова</v>
      </c>
      <c r="B2061" s="14" t="str">
        <f ca="1">IFERROR(__xludf.DUMMYFUNCTION("""COMPUTED_VALUE"""),"v-stog@mail.ru")</f>
        <v>v-stog@mail.ru</v>
      </c>
      <c r="C2061" s="15" t="str">
        <f ca="1">IFERROR(__xludf.DUMMYFUNCTION("""COMPUTED_VALUE"""),"79082896868")</f>
        <v>79082896868</v>
      </c>
      <c r="D2061" s="15" t="str">
        <f ca="1">IFERROR(__xludf.DUMMYFUNCTION("""COMPUTED_VALUE"""),"Россия")</f>
        <v>Россия</v>
      </c>
      <c r="E2061" s="14"/>
      <c r="F2061" s="8" t="str">
        <f ca="1">IFERROR(__xludf.DUMMYFUNCTION("""COMPUTED_VALUE"""),"- Вебинар-батл Я уже все знаю! Мне не нужна Школа 9.01.2022")</f>
        <v>- Вебинар-батл Я уже все знаю! Мне не нужна Школа 9.01.2022</v>
      </c>
      <c r="G2061" s="14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</row>
    <row r="2062" spans="1:26" ht="14.25">
      <c r="A2062" s="14" t="str">
        <f ca="1">IFERROR(__xludf.DUMMYFUNCTION("""COMPUTED_VALUE"""),"Лера Воронова")</f>
        <v>Лера Воронова</v>
      </c>
      <c r="B2062" s="14" t="str">
        <f ca="1">IFERROR(__xludf.DUMMYFUNCTION("""COMPUTED_VALUE"""),"v-sysolyatina@bk.ru")</f>
        <v>v-sysolyatina@bk.ru</v>
      </c>
      <c r="C2062" s="15" t="str">
        <f ca="1">IFERROR(__xludf.DUMMYFUNCTION("""COMPUTED_VALUE"""),"79221166587")</f>
        <v>79221166587</v>
      </c>
      <c r="D2062" s="15" t="str">
        <f ca="1">IFERROR(__xludf.DUMMYFUNCTION("""COMPUTED_VALUE"""),"Россия")</f>
        <v>Россия</v>
      </c>
      <c r="E2062" s="14"/>
      <c r="F2062" s="8" t="str">
        <f ca="1">IFERROR(__xludf.DUMMYFUNCTION("""COMPUTED_VALUE"""),"- Тишина Челлендж (бесплатная часть)")</f>
        <v>- Тишина Челлендж (бесплатная часть)</v>
      </c>
      <c r="G2062" s="14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</row>
    <row r="2063" spans="1:26" ht="14.25">
      <c r="A2063" s="14" t="str">
        <f ca="1">IFERROR(__xludf.DUMMYFUNCTION("""COMPUTED_VALUE"""),"Виктория Ганецкая")</f>
        <v>Виктория Ганецкая</v>
      </c>
      <c r="B2063" s="14" t="str">
        <f ca="1">IFERROR(__xludf.DUMMYFUNCTION("""COMPUTED_VALUE"""),"v.ganetskaya@gmail.com")</f>
        <v>v.ganetskaya@gmail.com</v>
      </c>
      <c r="C2063" s="15" t="str">
        <f ca="1">IFERROR(__xludf.DUMMYFUNCTION("""COMPUTED_VALUE"""),", +380509634138")</f>
        <v>, +380509634138</v>
      </c>
      <c r="D2063" s="15" t="str">
        <f ca="1">IFERROR(__xludf.DUMMYFUNCTION("""COMPUTED_VALUE"""),"Великобритания")</f>
        <v>Великобритания</v>
      </c>
      <c r="E2063" s="14"/>
      <c r="F2063" s="8" t="str">
        <f ca="1">IFERROR(__xludf.DUMMYFUNCTION("""COMPUTED_VALUE"""),"Мероприятий не обнаружено")</f>
        <v>Мероприятий не обнаружено</v>
      </c>
      <c r="G2063" s="14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</row>
    <row r="2064" spans="1:26" ht="14.25">
      <c r="A2064" s="14" t="str">
        <f ca="1">IFERROR(__xludf.DUMMYFUNCTION("""COMPUTED_VALUE"""),"Владимир Кулавин")</f>
        <v>Владимир Кулавин</v>
      </c>
      <c r="B2064" s="14" t="str">
        <f ca="1">IFERROR(__xludf.DUMMYFUNCTION("""COMPUTED_VALUE"""),"v.kulawin@yandex.ru")</f>
        <v>v.kulawin@yandex.ru</v>
      </c>
      <c r="C2064" s="15" t="str">
        <f ca="1">IFERROR(__xludf.DUMMYFUNCTION("""COMPUTED_VALUE"""),"+79605651010")</f>
        <v>+79605651010</v>
      </c>
      <c r="D2064" s="15" t="str">
        <f ca="1">IFERROR(__xludf.DUMMYFUNCTION("""COMPUTED_VALUE"""),"Россия")</f>
        <v>Россия</v>
      </c>
      <c r="E2064" s="14"/>
      <c r="F2064" s="8" t="str">
        <f ca="1">IFERROR(__xludf.DUMMYFUNCTION("""COMPUTED_VALUE"""),"- Тишина Челлендж (бесплатная часть)")</f>
        <v>- Тишина Челлендж (бесплатная часть)</v>
      </c>
      <c r="G2064" s="14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</row>
    <row r="2065" spans="1:26" ht="25.5">
      <c r="A2065" s="14" t="str">
        <f ca="1">IFERROR(__xludf.DUMMYFUNCTION("""COMPUTED_VALUE"""),"Виктория Лукошина")</f>
        <v>Виктория Лукошина</v>
      </c>
      <c r="B2065" s="14" t="str">
        <f ca="1">IFERROR(__xludf.DUMMYFUNCTION("""COMPUTED_VALUE"""),"v.lukoshyna@gmail.com")</f>
        <v>v.lukoshyna@gmail.com</v>
      </c>
      <c r="C2065" s="15" t="str">
        <f ca="1">IFERROR(__xludf.DUMMYFUNCTION("""COMPUTED_VALUE"""),"+380986872932")</f>
        <v>+380986872932</v>
      </c>
      <c r="D2065" s="15" t="str">
        <f ca="1">IFERROR(__xludf.DUMMYFUNCTION("""COMPUTED_VALUE"""),"Украина")</f>
        <v>Украина</v>
      </c>
      <c r="E2065" s="14"/>
      <c r="F2065" s="8" t="str">
        <f ca="1">IFERROR(__xludf.DUMMYFUNCTION("""COMPUTED_VALUE"""),"- Международный ретрит 14-21.1.2022 Украина (7500 Гривен) (оплата с30.12.2021-12.01.2022)")</f>
        <v>- Международный ретрит 14-21.1.2022 Украина (7500 Гривен) (оплата с30.12.2021-12.01.2022)</v>
      </c>
      <c r="G2065" s="14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</row>
    <row r="2066" spans="1:26" ht="14.25">
      <c r="A2066" s="14" t="str">
        <f ca="1">IFERROR(__xludf.DUMMYFUNCTION("""COMPUTED_VALUE"""),"Елена Рявкина")</f>
        <v>Елена Рявкина</v>
      </c>
      <c r="B2066" s="14" t="str">
        <f ca="1">IFERROR(__xludf.DUMMYFUNCTION("""COMPUTED_VALUE"""),"V.V.R.89@yandex.ru")</f>
        <v>V.V.R.89@yandex.ru</v>
      </c>
      <c r="C2066" s="15" t="str">
        <f ca="1">IFERROR(__xludf.DUMMYFUNCTION("""COMPUTED_VALUE"""),"79226667754")</f>
        <v>79226667754</v>
      </c>
      <c r="D2066" s="15" t="str">
        <f ca="1">IFERROR(__xludf.DUMMYFUNCTION("""COMPUTED_VALUE"""),"Россия")</f>
        <v>Россия</v>
      </c>
      <c r="E2066" s="14"/>
      <c r="F2066" s="8" t="str">
        <f ca="1">IFERROR(__xludf.DUMMYFUNCTION("""COMPUTED_VALUE"""),"- Вебинар все о ретрите 12.2.2022")</f>
        <v>- Вебинар все о ретрите 12.2.2022</v>
      </c>
      <c r="G2066" s="14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</row>
    <row r="2067" spans="1:26" ht="14.25">
      <c r="A2067" s="14" t="str">
        <f ca="1">IFERROR(__xludf.DUMMYFUNCTION("""COMPUTED_VALUE"""),"Ирина Катюшина")</f>
        <v>Ирина Катюшина</v>
      </c>
      <c r="B2067" s="14" t="str">
        <f ca="1">IFERROR(__xludf.DUMMYFUNCTION("""COMPUTED_VALUE"""),"v41113556@yandex.ru")</f>
        <v>v41113556@yandex.ru</v>
      </c>
      <c r="C2067" s="15" t="str">
        <f ca="1">IFERROR(__xludf.DUMMYFUNCTION("""COMPUTED_VALUE"""),"+79529608132")</f>
        <v>+79529608132</v>
      </c>
      <c r="D2067" s="15" t="str">
        <f ca="1">IFERROR(__xludf.DUMMYFUNCTION("""COMPUTED_VALUE"""),"Россия")</f>
        <v>Россия</v>
      </c>
      <c r="E2067" s="14"/>
      <c r="F2067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2067" s="14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</row>
    <row r="2068" spans="1:26" ht="14.25">
      <c r="A2068" s="14" t="str">
        <f ca="1">IFERROR(__xludf.DUMMYFUNCTION("""COMPUTED_VALUE"""),"vad3140,  ")</f>
        <v xml:space="preserve">vad3140,  </v>
      </c>
      <c r="B2068" s="14" t="str">
        <f ca="1">IFERROR(__xludf.DUMMYFUNCTION("""COMPUTED_VALUE"""),"vad3140@hotmail.com")</f>
        <v>vad3140@hotmail.com</v>
      </c>
      <c r="C2068" s="15"/>
      <c r="D2068" s="15"/>
      <c r="E2068" s="14"/>
      <c r="F2068" s="8" t="str">
        <f ca="1">IFERROR(__xludf.DUMMYFUNCTION("""COMPUTED_VALUE"""),"- USA Челлендж Тишина")</f>
        <v>- USA Челлендж Тишина</v>
      </c>
      <c r="G2068" s="14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</row>
    <row r="2069" spans="1:26" ht="14.25">
      <c r="A2069" s="14" t="str">
        <f ca="1">IFERROR(__xludf.DUMMYFUNCTION("""COMPUTED_VALUE"""),"Вадим Шакиров")</f>
        <v>Вадим Шакиров</v>
      </c>
      <c r="B2069" s="14" t="str">
        <f ca="1">IFERROR(__xludf.DUMMYFUNCTION("""COMPUTED_VALUE"""),"vadim22-95@mail.ru")</f>
        <v>vadim22-95@mail.ru</v>
      </c>
      <c r="C2069" s="15" t="str">
        <f ca="1">IFERROR(__xludf.DUMMYFUNCTION("""COMPUTED_VALUE"""),"79241505263")</f>
        <v>79241505263</v>
      </c>
      <c r="D2069" s="15" t="str">
        <f ca="1">IFERROR(__xludf.DUMMYFUNCTION("""COMPUTED_VALUE"""),"Россия")</f>
        <v>Россия</v>
      </c>
      <c r="E2069" s="14"/>
      <c r="F2069" s="8" t="str">
        <f ca="1">IFERROR(__xludf.DUMMYFUNCTION("""COMPUTED_VALUE"""),"- Вебинар-батл Я уже все знаю! Мне не нужна Школа 9.01.2022")</f>
        <v>- Вебинар-батл Я уже все знаю! Мне не нужна Школа 9.01.2022</v>
      </c>
      <c r="G2069" s="14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</row>
    <row r="2070" spans="1:26" ht="14.25">
      <c r="A2070" s="14" t="str">
        <f ca="1">IFERROR(__xludf.DUMMYFUNCTION("""COMPUTED_VALUE"""),"Evaghelia Charizani")</f>
        <v>Evaghelia Charizani</v>
      </c>
      <c r="B2070" s="14" t="str">
        <f ca="1">IFERROR(__xludf.DUMMYFUNCTION("""COMPUTED_VALUE"""),"vagie7@yahoo.gr")</f>
        <v>vagie7@yahoo.gr</v>
      </c>
      <c r="C2070" s="15"/>
      <c r="D2070" s="15"/>
      <c r="E2070" s="14"/>
      <c r="F2070" s="8" t="str">
        <f ca="1">IFERROR(__xludf.DUMMYFUNCTION("""COMPUTED_VALUE"""),"- What hides behind anxiety? The quantum leap [EU]")</f>
        <v>- What hides behind anxiety? The quantum leap [EU]</v>
      </c>
      <c r="G2070" s="14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</row>
    <row r="2071" spans="1:26" ht="25.5">
      <c r="A2071" s="14" t="str">
        <f ca="1">IFERROR(__xludf.DUMMYFUNCTION("""COMPUTED_VALUE"""),"Вахоб Норбутаев")</f>
        <v>Вахоб Норбутаев</v>
      </c>
      <c r="B2071" s="14" t="str">
        <f ca="1">IFERROR(__xludf.DUMMYFUNCTION("""COMPUTED_VALUE"""),"vakhamontazh@gmail.com")</f>
        <v>vakhamontazh@gmail.com</v>
      </c>
      <c r="C2071" s="15" t="str">
        <f ca="1">IFERROR(__xludf.DUMMYFUNCTION("""COMPUTED_VALUE"""),"+998977480792")</f>
        <v>+998977480792</v>
      </c>
      <c r="D2071" s="15"/>
      <c r="E2071" s="14"/>
      <c r="F207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071" s="14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</row>
    <row r="2072" spans="1:26" ht="14.25">
      <c r="A2072" s="14" t="str">
        <f ca="1">IFERROR(__xludf.DUMMYFUNCTION("""COMPUTED_VALUE"""),"Булат Валеев")</f>
        <v>Булат Валеев</v>
      </c>
      <c r="B2072" s="14" t="str">
        <f ca="1">IFERROR(__xludf.DUMMYFUNCTION("""COMPUTED_VALUE"""),"valeev.bulat@gmail.com")</f>
        <v>valeev.bulat@gmail.com</v>
      </c>
      <c r="C2072" s="15" t="str">
        <f ca="1">IFERROR(__xludf.DUMMYFUNCTION("""COMPUTED_VALUE"""),"+79378424906")</f>
        <v>+79378424906</v>
      </c>
      <c r="D2072" s="15" t="str">
        <f ca="1">IFERROR(__xludf.DUMMYFUNCTION("""COMPUTED_VALUE"""),"Россия")</f>
        <v>Россия</v>
      </c>
      <c r="E2072" s="14"/>
      <c r="F2072" s="8" t="str">
        <f ca="1">IFERROR(__xludf.DUMMYFUNCTION("""COMPUTED_VALUE"""),"- Медитация без стереотипов")</f>
        <v>- Медитация без стереотипов</v>
      </c>
      <c r="G2072" s="14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</row>
    <row r="2073" spans="1:26" ht="25.5">
      <c r="A2073" s="14" t="str">
        <f ca="1">IFERROR(__xludf.DUMMYFUNCTION("""COMPUTED_VALUE"""),"Валентина Шмелёва")</f>
        <v>Валентина Шмелёва</v>
      </c>
      <c r="B2073" s="14" t="str">
        <f ca="1">IFERROR(__xludf.DUMMYFUNCTION("""COMPUTED_VALUE"""),"valentina_shmeleva@list.ru")</f>
        <v>valentina_shmeleva@list.ru</v>
      </c>
      <c r="C2073" s="15" t="str">
        <f ca="1">IFERROR(__xludf.DUMMYFUNCTION("""COMPUTED_VALUE"""),"+79277217568")</f>
        <v>+79277217568</v>
      </c>
      <c r="D2073" s="15" t="str">
        <f ca="1">IFERROR(__xludf.DUMMYFUNCTION("""COMPUTED_VALUE"""),"Россия")</f>
        <v>Россия</v>
      </c>
      <c r="E2073" s="14"/>
      <c r="F2073" s="8" t="str">
        <f ca="1">IFERROR(__xludf.DUMMYFUNCTION("""COMPUTED_VALUE"""),"- Вебинар все о ретрите 12.2.2022
- Однодневный онлайн ретрит Россия 14 мая 2022")</f>
        <v>- Вебинар все о ретрите 12.2.2022
- Однодневный онлайн ретрит Россия 14 мая 2022</v>
      </c>
      <c r="G2073" s="14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</row>
    <row r="2074" spans="1:26" ht="25.5">
      <c r="A2074" s="14" t="str">
        <f ca="1">IFERROR(__xludf.DUMMYFUNCTION("""COMPUTED_VALUE"""),"Валентина Овсянникова")</f>
        <v>Валентина Овсянникова</v>
      </c>
      <c r="B2074" s="14" t="str">
        <f ca="1">IFERROR(__xludf.DUMMYFUNCTION("""COMPUTED_VALUE"""),"valentina.1950.ov@gmail.com")</f>
        <v>valentina.1950.ov@gmail.com</v>
      </c>
      <c r="C2074" s="15" t="str">
        <f ca="1">IFERROR(__xludf.DUMMYFUNCTION("""COMPUTED_VALUE"""),"+79089028744")</f>
        <v>+79089028744</v>
      </c>
      <c r="D2074" s="15" t="str">
        <f ca="1">IFERROR(__xludf.DUMMYFUNCTION("""COMPUTED_VALUE"""),"Россия")</f>
        <v>Россия</v>
      </c>
      <c r="E2074" s="14"/>
      <c r="F2074" s="8" t="str">
        <f ca="1">IFERROR(__xludf.DUMMYFUNCTION("""COMPUTED_VALUE"""),"- Выездной ретрит Тюмень 18-20 марта 2022 (оплата с 11 по 16 марта)")</f>
        <v>- Выездной ретрит Тюмень 18-20 марта 2022 (оплата с 11 по 16 марта)</v>
      </c>
      <c r="G2074" s="14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</row>
    <row r="2075" spans="1:26" ht="14.25">
      <c r="A2075" s="14" t="str">
        <f ca="1">IFERROR(__xludf.DUMMYFUNCTION("""COMPUTED_VALUE"""),"Валентина Казахстан")</f>
        <v>Валентина Казахстан</v>
      </c>
      <c r="B2075" s="14" t="str">
        <f ca="1">IFERROR(__xludf.DUMMYFUNCTION("""COMPUTED_VALUE"""),"valentina.kazanceva@list.ru")</f>
        <v>valentina.kazanceva@list.ru</v>
      </c>
      <c r="C2075" s="15" t="str">
        <f ca="1">IFERROR(__xludf.DUMMYFUNCTION("""COMPUTED_VALUE"""),", 87710883766")</f>
        <v>, 87710883766</v>
      </c>
      <c r="D2075" s="15"/>
      <c r="E2075" s="14"/>
      <c r="F2075" s="8" t="str">
        <f ca="1">IFERROR(__xludf.DUMMYFUNCTION("""COMPUTED_VALUE"""),"Мероприятий не обнаружено")</f>
        <v>Мероприятий не обнаружено</v>
      </c>
      <c r="G2075" s="14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</row>
    <row r="2076" spans="1:26" ht="14.25">
      <c r="A2076" s="14" t="str">
        <f ca="1">IFERROR(__xludf.DUMMYFUNCTION("""COMPUTED_VALUE"""),"Valentina Svensson")</f>
        <v>Valentina Svensson</v>
      </c>
      <c r="B2076" s="14" t="str">
        <f ca="1">IFERROR(__xludf.DUMMYFUNCTION("""COMPUTED_VALUE"""),"valentina@svalafilm.se")</f>
        <v>valentina@svalafilm.se</v>
      </c>
      <c r="C2076" s="15" t="str">
        <f ca="1">IFERROR(__xludf.DUMMYFUNCTION("""COMPUTED_VALUE"""),"0763134312")</f>
        <v>0763134312</v>
      </c>
      <c r="D2076" s="15" t="str">
        <f ca="1">IFERROR(__xludf.DUMMYFUNCTION("""COMPUTED_VALUE"""),"Швеция")</f>
        <v>Швеция</v>
      </c>
      <c r="E2076" s="14"/>
      <c r="F2076" s="8" t="str">
        <f ca="1">IFERROR(__xludf.DUMMYFUNCTION("""COMPUTED_VALUE"""),"-  Ретрит в Латвии 19-27.03.2022")</f>
        <v>-  Ретрит в Латвии 19-27.03.2022</v>
      </c>
      <c r="G2076" s="14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</row>
    <row r="2077" spans="1:26" ht="14.25">
      <c r="A2077" s="14" t="str">
        <f ca="1">IFERROR(__xludf.DUMMYFUNCTION("""COMPUTED_VALUE"""),"Валентина Рыженкова")</f>
        <v>Валентина Рыженкова</v>
      </c>
      <c r="B2077" s="14" t="str">
        <f ca="1">IFERROR(__xludf.DUMMYFUNCTION("""COMPUTED_VALUE"""),"valentinakhramkova@gmail.com")</f>
        <v>valentinakhramkova@gmail.com</v>
      </c>
      <c r="C2077" s="15" t="str">
        <f ca="1">IFERROR(__xludf.DUMMYFUNCTION("""COMPUTED_VALUE"""),"+79064636325")</f>
        <v>+79064636325</v>
      </c>
      <c r="D2077" s="15" t="str">
        <f ca="1">IFERROR(__xludf.DUMMYFUNCTION("""COMPUTED_VALUE"""),"Россия")</f>
        <v>Россия</v>
      </c>
      <c r="E2077" s="14"/>
      <c r="F2077" s="8" t="str">
        <f ca="1">IFERROR(__xludf.DUMMYFUNCTION("""COMPUTED_VALUE"""),"- Вебинар все о ретрите 12.2.2022")</f>
        <v>- Вебинар все о ретрите 12.2.2022</v>
      </c>
      <c r="G2077" s="14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</row>
    <row r="2078" spans="1:26" ht="14.25">
      <c r="A2078" s="14" t="str">
        <f ca="1">IFERROR(__xludf.DUMMYFUNCTION("""COMPUTED_VALUE"""),"valeriadzh2000,  ")</f>
        <v xml:space="preserve">valeriadzh2000,  </v>
      </c>
      <c r="B2078" s="14" t="str">
        <f ca="1">IFERROR(__xludf.DUMMYFUNCTION("""COMPUTED_VALUE"""),"valeriadzh2000@mail.ru")</f>
        <v>valeriadzh2000@mail.ru</v>
      </c>
      <c r="C2078" s="15"/>
      <c r="D2078" s="15"/>
      <c r="E2078" s="14"/>
      <c r="F2078" s="8" t="str">
        <f ca="1">IFERROR(__xludf.DUMMYFUNCTION("""COMPUTED_VALUE"""),"- Челлендж Тишины")</f>
        <v>- Челлендж Тишины</v>
      </c>
      <c r="G2078" s="14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</row>
    <row r="2079" spans="1:26" ht="14.25">
      <c r="A2079" s="14" t="str">
        <f ca="1">IFERROR(__xludf.DUMMYFUNCTION("""COMPUTED_VALUE"""),"Ирина Чернышова")</f>
        <v>Ирина Чернышова</v>
      </c>
      <c r="B2079" s="14" t="str">
        <f ca="1">IFERROR(__xludf.DUMMYFUNCTION("""COMPUTED_VALUE"""),"valerian99@mail.ru")</f>
        <v>valerian99@mail.ru</v>
      </c>
      <c r="C2079" s="15" t="str">
        <f ca="1">IFERROR(__xludf.DUMMYFUNCTION("""COMPUTED_VALUE"""),"79276257175")</f>
        <v>79276257175</v>
      </c>
      <c r="D2079" s="15"/>
      <c r="E2079" s="14"/>
      <c r="F2079" s="8" t="str">
        <f ca="1">IFERROR(__xludf.DUMMYFUNCTION("""COMPUTED_VALUE"""),"- Заявка на СЪЕЗД+ФЕСТИВАЛЬ ""Мы вместе"" 3-8.01.22")</f>
        <v>- Заявка на СЪЕЗД+ФЕСТИВАЛЬ "Мы вместе" 3-8.01.22</v>
      </c>
      <c r="G2079" s="14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</row>
    <row r="2080" spans="1:26" ht="25.5">
      <c r="A2080" s="14" t="str">
        <f ca="1">IFERROR(__xludf.DUMMYFUNCTION("""COMPUTED_VALUE"""),"Валерий Попеску")</f>
        <v>Валерий Попеску</v>
      </c>
      <c r="B2080" s="14" t="str">
        <f ca="1">IFERROR(__xludf.DUMMYFUNCTION("""COMPUTED_VALUE"""),"valerii123321popesku@gmail.com")</f>
        <v>valerii123321popesku@gmail.com</v>
      </c>
      <c r="C2080" s="15" t="str">
        <f ca="1">IFERROR(__xludf.DUMMYFUNCTION("""COMPUTED_VALUE"""),"+37378217625")</f>
        <v>+37378217625</v>
      </c>
      <c r="D2080" s="15" t="str">
        <f ca="1">IFERROR(__xludf.DUMMYFUNCTION("""COMPUTED_VALUE"""),"Молдова")</f>
        <v>Молдова</v>
      </c>
      <c r="E2080" s="14" t="str">
        <f ca="1">IFERROR(__xludf.DUMMYFUNCTION("""COMPUTED_VALUE"""),"@ValeriiPopesku")</f>
        <v>@ValeriiPopesku</v>
      </c>
      <c r="F2080" s="8" t="str">
        <f ca="1">IFERROR(__xludf.DUMMYFUNCTION("""COMPUTED_VALUE"""),"- Вебинар с Никитой Бородулиным 11.02.2022 часть1
- Вебинар все о ретрите 12.2.2022")</f>
        <v>- Вебинар с Никитой Бородулиным 11.02.2022 часть1
- Вебинар все о ретрите 12.2.2022</v>
      </c>
      <c r="G2080" s="14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</row>
    <row r="2081" spans="1:26" ht="25.5">
      <c r="A2081" s="14" t="str">
        <f ca="1">IFERROR(__xludf.DUMMYFUNCTION("""COMPUTED_VALUE"""),"Валерий Трафимович")</f>
        <v>Валерий Трафимович</v>
      </c>
      <c r="B2081" s="14" t="str">
        <f ca="1">IFERROR(__xludf.DUMMYFUNCTION("""COMPUTED_VALUE"""),"valerijmag@gmail.com")</f>
        <v>valerijmag@gmail.com</v>
      </c>
      <c r="C2081" s="15" t="str">
        <f ca="1">IFERROR(__xludf.DUMMYFUNCTION("""COMPUTED_VALUE"""),"+37122551551")</f>
        <v>+37122551551</v>
      </c>
      <c r="D2081" s="15" t="str">
        <f ca="1">IFERROR(__xludf.DUMMYFUNCTION("""COMPUTED_VALUE"""),"Латвия")</f>
        <v>Латвия</v>
      </c>
      <c r="E2081" s="14"/>
      <c r="F2081" s="8" t="str">
        <f ca="1">IFERROR(__xludf.DUMMYFUNCTION("""COMPUTED_VALUE"""),"- ретрит ЕВРОПЕЙСКИЙ 14-21.1.2022 Латвия (цена- 390€) 
- Ретрит ""Проектная деятельность"" для участников ретритов")</f>
        <v>- ретрит ЕВРОПЕЙСКИЙ 14-21.1.2022 Латвия (цена- 390€) 
- Ретрит "Проектная деятельность" для участников ретритов</v>
      </c>
      <c r="G2081" s="14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</row>
    <row r="2082" spans="1:26" ht="14.25">
      <c r="A2082" s="14" t="str">
        <f ca="1">IFERROR(__xludf.DUMMYFUNCTION("""COMPUTED_VALUE"""),"Валерия Музыченко")</f>
        <v>Валерия Музыченко</v>
      </c>
      <c r="B2082" s="14" t="str">
        <f ca="1">IFERROR(__xludf.DUMMYFUNCTION("""COMPUTED_VALUE"""),"Valerik22@mail.ru")</f>
        <v>Valerik22@mail.ru</v>
      </c>
      <c r="C2082" s="15" t="str">
        <f ca="1">IFERROR(__xludf.DUMMYFUNCTION("""COMPUTED_VALUE"""),"+79029241902")</f>
        <v>+79029241902</v>
      </c>
      <c r="D2082" s="15" t="str">
        <f ca="1">IFERROR(__xludf.DUMMYFUNCTION("""COMPUTED_VALUE"""),"Россия")</f>
        <v>Россия</v>
      </c>
      <c r="E2082" s="14"/>
      <c r="F2082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2082" s="14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</row>
    <row r="2083" spans="1:26" ht="14.25">
      <c r="A2083" s="14" t="str">
        <f ca="1">IFERROR(__xludf.DUMMYFUNCTION("""COMPUTED_VALUE"""),"valeriya.dudchenko98,  ")</f>
        <v xml:space="preserve">valeriya.dudchenko98,  </v>
      </c>
      <c r="B2083" s="14" t="str">
        <f ca="1">IFERROR(__xludf.DUMMYFUNCTION("""COMPUTED_VALUE"""),"valeriya.dudchenko98@gmail.com")</f>
        <v>valeriya.dudchenko98@gmail.com</v>
      </c>
      <c r="C2083" s="15"/>
      <c r="D2083" s="15"/>
      <c r="E2083" s="14"/>
      <c r="F2083" s="8" t="str">
        <f ca="1">IFERROR(__xludf.DUMMYFUNCTION("""COMPUTED_VALUE"""),"- USA Челлендж Тишина")</f>
        <v>- USA Челлендж Тишина</v>
      </c>
      <c r="G2083" s="14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</row>
    <row r="2084" spans="1:26" ht="51">
      <c r="A2084" s="14" t="str">
        <f ca="1">IFERROR(__xludf.DUMMYFUNCTION("""COMPUTED_VALUE"""),"Валерия Артемьева")</f>
        <v>Валерия Артемьева</v>
      </c>
      <c r="B2084" s="14" t="str">
        <f ca="1">IFERROR(__xludf.DUMMYFUNCTION("""COMPUTED_VALUE"""),"Valeryartem@gmail.com")</f>
        <v>Valeryartem@gmail.com</v>
      </c>
      <c r="C2084" s="15" t="str">
        <f ca="1">IFERROR(__xludf.DUMMYFUNCTION("""COMPUTED_VALUE"""),"79875327379")</f>
        <v>79875327379</v>
      </c>
      <c r="D2084" s="15" t="str">
        <f ca="1">IFERROR(__xludf.DUMMYFUNCTION("""COMPUTED_VALUE"""),"Россия")</f>
        <v>Россия</v>
      </c>
      <c r="E2084" s="14" t="str">
        <f ca="1">IFERROR(__xludf.DUMMYFUNCTION("""COMPUTED_VALUE"""),"@valeryartem")</f>
        <v>@valeryartem</v>
      </c>
      <c r="F2084" s="8" t="str">
        <f ca="1">IFERROR(__xludf.DUMMYFUNCTION("""COMPUTED_VALUE"""),"- Клуб пробуждения Друзья (2 уровень) - 3 месяца - скидка 7%
- Вебинар-батл Я уже все знаю! Мне не нужна Школа 9.01.2022
- Беседа - сатсанг с Екатериной Сосниной: Счастье внутри нас 15.1.22")</f>
        <v>- Клуб пробуждения Друзья (2 уровень) - 3 месяца - скидка 7%
- Вебинар-батл Я уже все знаю! Мне не нужна Школа 9.01.2022
- Беседа - сатсанг с Екатериной Сосниной: Счастье внутри нас 15.1.22</v>
      </c>
      <c r="G2084" s="14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</row>
    <row r="2085" spans="1:26" ht="14.25">
      <c r="A2085" s="14" t="str">
        <f ca="1">IFERROR(__xludf.DUMMYFUNCTION("""COMPUTED_VALUE"""),"Валентина Смагина")</f>
        <v>Валентина Смагина</v>
      </c>
      <c r="B2085" s="14" t="str">
        <f ca="1">IFERROR(__xludf.DUMMYFUNCTION("""COMPUTED_VALUE"""),"Valuta_opa@mail.ru")</f>
        <v>Valuta_opa@mail.ru</v>
      </c>
      <c r="C2085" s="15"/>
      <c r="D2085" s="15" t="str">
        <f ca="1">IFERROR(__xludf.DUMMYFUNCTION("""COMPUTED_VALUE"""),"Россия")</f>
        <v>Россия</v>
      </c>
      <c r="E2085" s="14"/>
      <c r="F2085" s="8" t="str">
        <f ca="1">IFERROR(__xludf.DUMMYFUNCTION("""COMPUTED_VALUE"""),"- Тишина Челлендж (бесплатная часть)")</f>
        <v>- Тишина Челлендж (бесплатная часть)</v>
      </c>
      <c r="G2085" s="14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</row>
    <row r="2086" spans="1:26" ht="25.5">
      <c r="A2086" s="14" t="str">
        <f ca="1">IFERROR(__xludf.DUMMYFUNCTION("""COMPUTED_VALUE"""),"Вероника Краваески")</f>
        <v>Вероника Краваески</v>
      </c>
      <c r="B2086" s="14" t="str">
        <f ca="1">IFERROR(__xludf.DUMMYFUNCTION("""COMPUTED_VALUE"""),"varseniksultanova@mail.ru")</f>
        <v>varseniksultanova@mail.ru</v>
      </c>
      <c r="C2086" s="15" t="str">
        <f ca="1">IFERROR(__xludf.DUMMYFUNCTION("""COMPUTED_VALUE"""),"+998901886862")</f>
        <v>+998901886862</v>
      </c>
      <c r="D2086" s="15"/>
      <c r="E2086" s="14"/>
      <c r="F208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086" s="14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</row>
    <row r="2087" spans="1:26" ht="14.25">
      <c r="A2087" s="14" t="str">
        <f ca="1">IFERROR(__xludf.DUMMYFUNCTION("""COMPUTED_VALUE"""),"Владислав Кичура")</f>
        <v>Владислав Кичура</v>
      </c>
      <c r="B2087" s="14" t="str">
        <f ca="1">IFERROR(__xludf.DUMMYFUNCTION("""COMPUTED_VALUE"""),"Varxanter@gmail.com")</f>
        <v>Varxanter@gmail.com</v>
      </c>
      <c r="C2087" s="15" t="str">
        <f ca="1">IFERROR(__xludf.DUMMYFUNCTION("""COMPUTED_VALUE"""),"+79144096186")</f>
        <v>+79144096186</v>
      </c>
      <c r="D2087" s="15" t="str">
        <f ca="1">IFERROR(__xludf.DUMMYFUNCTION("""COMPUTED_VALUE"""),"Россия")</f>
        <v>Россия</v>
      </c>
      <c r="E2087" s="14"/>
      <c r="F2087" s="8" t="str">
        <f ca="1">IFERROR(__xludf.DUMMYFUNCTION("""COMPUTED_VALUE"""),"- Практика Тишины Хабаровск")</f>
        <v>- Практика Тишины Хабаровск</v>
      </c>
      <c r="G2087" s="14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</row>
    <row r="2088" spans="1:26" ht="25.5">
      <c r="A2088" s="14" t="str">
        <f ca="1">IFERROR(__xludf.DUMMYFUNCTION("""COMPUTED_VALUE"""),"Vasif Babaiev")</f>
        <v>Vasif Babaiev</v>
      </c>
      <c r="B2088" s="14" t="str">
        <f ca="1">IFERROR(__xludf.DUMMYFUNCTION("""COMPUTED_VALUE"""),"vasifbabaev71@gmail.com")</f>
        <v>vasifbabaev71@gmail.com</v>
      </c>
      <c r="C2088" s="15" t="str">
        <f ca="1">IFERROR(__xludf.DUMMYFUNCTION("""COMPUTED_VALUE"""),"0673491414")</f>
        <v>0673491414</v>
      </c>
      <c r="D2088" s="15"/>
      <c r="E2088" s="14"/>
      <c r="F2088" s="8" t="str">
        <f ca="1">IFERROR(__xludf.DUMMYFUNCTION("""COMPUTED_VALUE"""),"- Челлендж Тишины
- Тишина Челлендж (бесплатная часть)")</f>
        <v>- Челлендж Тишины
- Тишина Челлендж (бесплатная часть)</v>
      </c>
      <c r="G2088" s="14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</row>
    <row r="2089" spans="1:26" ht="14.25">
      <c r="A2089" s="14" t="str">
        <f ca="1">IFERROR(__xludf.DUMMYFUNCTION("""COMPUTED_VALUE"""),"Елена Васильева")</f>
        <v>Елена Васильева</v>
      </c>
      <c r="B2089" s="14" t="str">
        <f ca="1">IFERROR(__xludf.DUMMYFUNCTION("""COMPUTED_VALUE"""),"Vasileva44444@mail.ru")</f>
        <v>Vasileva44444@mail.ru</v>
      </c>
      <c r="C2089" s="15" t="str">
        <f ca="1">IFERROR(__xludf.DUMMYFUNCTION("""COMPUTED_VALUE"""),"79143579999")</f>
        <v>79143579999</v>
      </c>
      <c r="D2089" s="15" t="str">
        <f ca="1">IFERROR(__xludf.DUMMYFUNCTION("""COMPUTED_VALUE"""),"Россия")</f>
        <v>Россия</v>
      </c>
      <c r="E2089" s="14"/>
      <c r="F2089" s="8" t="str">
        <f ca="1">IFERROR(__xludf.DUMMYFUNCTION("""COMPUTED_VALUE"""),"- Тишина Челлендж (бесплатная часть)")</f>
        <v>- Тишина Челлендж (бесплатная часть)</v>
      </c>
      <c r="G2089" s="14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</row>
    <row r="2090" spans="1:26" ht="14.25">
      <c r="A2090" s="14" t="str">
        <f ca="1">IFERROR(__xludf.DUMMYFUNCTION("""COMPUTED_VALUE"""),"Василина Бареко")</f>
        <v>Василина Бареко</v>
      </c>
      <c r="B2090" s="14" t="str">
        <f ca="1">IFERROR(__xludf.DUMMYFUNCTION("""COMPUTED_VALUE"""),"vasilina5402002@gmail.com")</f>
        <v>vasilina5402002@gmail.com</v>
      </c>
      <c r="C2090" s="15" t="str">
        <f ca="1">IFERROR(__xludf.DUMMYFUNCTION("""COMPUTED_VALUE"""),"+375445404245")</f>
        <v>+375445404245</v>
      </c>
      <c r="D2090" s="15" t="str">
        <f ca="1">IFERROR(__xludf.DUMMYFUNCTION("""COMPUTED_VALUE"""),"Беларусь")</f>
        <v>Беларусь</v>
      </c>
      <c r="E2090" s="14"/>
      <c r="F2090" s="8" t="str">
        <f ca="1">IFERROR(__xludf.DUMMYFUNCTION("""COMPUTED_VALUE"""),"- Чайная встреча в Минске")</f>
        <v>- Чайная встреча в Минске</v>
      </c>
      <c r="G2090" s="14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</row>
    <row r="2091" spans="1:26" ht="38.25">
      <c r="A2091" s="14" t="str">
        <f ca="1">IFERROR(__xludf.DUMMYFUNCTION("""COMPUTED_VALUE"""),"Ольга Васильева")</f>
        <v>Ольга Васильева</v>
      </c>
      <c r="B2091" s="14" t="str">
        <f ca="1">IFERROR(__xludf.DUMMYFUNCTION("""COMPUTED_VALUE"""),"vasoli2907@gmail.com")</f>
        <v>vasoli2907@gmail.com</v>
      </c>
      <c r="C2091" s="15" t="str">
        <f ca="1">IFERROR(__xludf.DUMMYFUNCTION("""COMPUTED_VALUE"""),"79143160499")</f>
        <v>79143160499</v>
      </c>
      <c r="D2091" s="15" t="str">
        <f ca="1">IFERROR(__xludf.DUMMYFUNCTION("""COMPUTED_VALUE"""),"Россия")</f>
        <v>Россия</v>
      </c>
      <c r="E2091" s="14"/>
      <c r="F2091" s="8" t="str">
        <f ca="1">IFERROR(__xludf.DUMMYFUNCTION("""COMPUTED_VALUE"""),"- Интенсив Дальний Восток 28-30.01.2022
- Онлайн Интенсив Дальний Восток 25-27.02.2022 
- Ретрит в РЦ Сочи 19-27 марта 2022 (Оплата до 6 марта)")</f>
        <v>- Интенсив Дальний Восток 28-30.01.2022
- Онлайн Интенсив Дальний Восток 25-27.02.2022 
- Ретрит в РЦ Сочи 19-27 марта 2022 (Оплата до 6 марта)</v>
      </c>
      <c r="G2091" s="14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</row>
    <row r="2092" spans="1:26" ht="25.5">
      <c r="A2092" s="14" t="str">
        <f ca="1">IFERROR(__xludf.DUMMYFUNCTION("""COMPUTED_VALUE"""),"Зилола Вахобова")</f>
        <v>Зилола Вахобова</v>
      </c>
      <c r="B2092" s="14" t="str">
        <f ca="1">IFERROR(__xludf.DUMMYFUNCTION("""COMPUTED_VALUE"""),"Vaxobovazilola8@gmail.com")</f>
        <v>Vaxobovazilola8@gmail.com</v>
      </c>
      <c r="C2092" s="15" t="str">
        <f ca="1">IFERROR(__xludf.DUMMYFUNCTION("""COMPUTED_VALUE"""),"79642669422")</f>
        <v>79642669422</v>
      </c>
      <c r="D2092" s="15"/>
      <c r="E2092" s="14"/>
      <c r="F209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092" s="14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</row>
    <row r="2093" spans="1:26" ht="38.25">
      <c r="A2093" s="14" t="str">
        <f ca="1">IFERROR(__xludf.DUMMYFUNCTION("""COMPUTED_VALUE"""),"Виктория Докучаева")</f>
        <v>Виктория Докучаева</v>
      </c>
      <c r="B2093" s="14" t="str">
        <f ca="1">IFERROR(__xludf.DUMMYFUNCTION("""COMPUTED_VALUE"""),"vdokuchaeva16@mail.ru")</f>
        <v>vdokuchaeva16@mail.ru</v>
      </c>
      <c r="C2093" s="15" t="str">
        <f ca="1">IFERROR(__xludf.DUMMYFUNCTION("""COMPUTED_VALUE"""),"+79161051333")</f>
        <v>+79161051333</v>
      </c>
      <c r="D2093" s="15" t="str">
        <f ca="1">IFERROR(__xludf.DUMMYFUNCTION("""COMPUTED_VALUE"""),"Россия")</f>
        <v>Россия</v>
      </c>
      <c r="E2093" s="14"/>
      <c r="F2093" s="8" t="str">
        <f ca="1">IFERROR(__xludf.DUMMYFUNCTION("""COMPUTED_VALUE"""),"- Интенсив онлайн 14-17.04.2022
- Марафон Тишины - Тишина челлендж: Урал, Казахстан, Узбекистан 25-29.04.2022")</f>
        <v>- Интенсив онлайн 14-17.04.2022
- Марафон Тишины - Тишина челлендж: Урал, Казахстан, Узбекистан 25-29.04.2022</v>
      </c>
      <c r="G2093" s="14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</row>
    <row r="2094" spans="1:26" ht="14.25">
      <c r="A2094" s="14" t="str">
        <f ca="1">IFERROR(__xludf.DUMMYFUNCTION("""COMPUTED_VALUE"""),"Александр Величко")</f>
        <v>Александр Величко</v>
      </c>
      <c r="B2094" s="14" t="str">
        <f ca="1">IFERROR(__xludf.DUMMYFUNCTION("""COMPUTED_VALUE"""),"velichko.a@dns-shop.ru")</f>
        <v>velichko.a@dns-shop.ru</v>
      </c>
      <c r="C2094" s="15" t="str">
        <f ca="1">IFERROR(__xludf.DUMMYFUNCTION("""COMPUTED_VALUE"""),"+79884966976")</f>
        <v>+79884966976</v>
      </c>
      <c r="D2094" s="15" t="str">
        <f ca="1">IFERROR(__xludf.DUMMYFUNCTION("""COMPUTED_VALUE"""),"Россия")</f>
        <v>Россия</v>
      </c>
      <c r="E2094" s="14"/>
      <c r="F2094" s="8" t="str">
        <f ca="1">IFERROR(__xludf.DUMMYFUNCTION("""COMPUTED_VALUE"""),"- Практика Тишины в Питере с В.Пулло 10.5.2022")</f>
        <v>- Практика Тишины в Питере с В.Пулло 10.5.2022</v>
      </c>
      <c r="G2094" s="14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</row>
    <row r="2095" spans="1:26" ht="14.25">
      <c r="A2095" s="14" t="str">
        <f ca="1">IFERROR(__xludf.DUMMYFUNCTION("""COMPUTED_VALUE"""),"Наталья М")</f>
        <v>Наталья М</v>
      </c>
      <c r="B2095" s="14" t="str">
        <f ca="1">IFERROR(__xludf.DUMMYFUNCTION("""COMPUTED_VALUE"""),"Velikajanata@mail.ru")</f>
        <v>Velikajanata@mail.ru</v>
      </c>
      <c r="C2095" s="15" t="str">
        <f ca="1">IFERROR(__xludf.DUMMYFUNCTION("""COMPUTED_VALUE"""),"+79043959542")</f>
        <v>+79043959542</v>
      </c>
      <c r="D2095" s="15" t="str">
        <f ca="1">IFERROR(__xludf.DUMMYFUNCTION("""COMPUTED_VALUE"""),"Россия")</f>
        <v>Россия</v>
      </c>
      <c r="E2095" s="14"/>
      <c r="F2095" s="8" t="str">
        <f ca="1">IFERROR(__xludf.DUMMYFUNCTION("""COMPUTED_VALUE"""),"- Вводный вебинар 3.5.22 на Шаг к Пробуждению")</f>
        <v>- Вводный вебинар 3.5.22 на Шаг к Пробуждению</v>
      </c>
      <c r="G2095" s="14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</row>
    <row r="2096" spans="1:26" ht="14.25">
      <c r="A2096" s="14" t="str">
        <f ca="1">IFERROR(__xludf.DUMMYFUNCTION("""COMPUTED_VALUE"""),"Aigul D")</f>
        <v>Aigul D</v>
      </c>
      <c r="B2096" s="14" t="str">
        <f ca="1">IFERROR(__xludf.DUMMYFUNCTION("""COMPUTED_VALUE"""),"Venera813@list.ru")</f>
        <v>Venera813@list.ru</v>
      </c>
      <c r="C2096" s="15" t="str">
        <f ca="1">IFERROR(__xludf.DUMMYFUNCTION("""COMPUTED_VALUE"""),", 56809863")</f>
        <v>, 56809863</v>
      </c>
      <c r="D2096" s="15"/>
      <c r="E2096" s="14"/>
      <c r="F2096" s="8" t="str">
        <f ca="1">IFERROR(__xludf.DUMMYFUNCTION("""COMPUTED_VALUE"""),"Мероприятий не обнаружено")</f>
        <v>Мероприятий не обнаружено</v>
      </c>
      <c r="G2096" s="14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</row>
    <row r="2097" spans="1:26" ht="14.25">
      <c r="A2097" s="14" t="str">
        <f ca="1">IFERROR(__xludf.DUMMYFUNCTION("""COMPUTED_VALUE"""),"Венера Фелиз")</f>
        <v>Венера Фелиз</v>
      </c>
      <c r="B2097" s="14" t="str">
        <f ca="1">IFERROR(__xludf.DUMMYFUNCTION("""COMPUTED_VALUE"""),"Venerafeliz@gmail.com")</f>
        <v>Venerafeliz@gmail.com</v>
      </c>
      <c r="C2097" s="15"/>
      <c r="D2097" s="15" t="str">
        <f ca="1">IFERROR(__xludf.DUMMYFUNCTION("""COMPUTED_VALUE"""),"Россия")</f>
        <v>Россия</v>
      </c>
      <c r="E2097" s="14"/>
      <c r="F2097" s="8" t="str">
        <f ca="1">IFERROR(__xludf.DUMMYFUNCTION("""COMPUTED_VALUE"""),"- Тишина Челлендж (бесплатная часть)")</f>
        <v>- Тишина Челлендж (бесплатная часть)</v>
      </c>
      <c r="G2097" s="14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</row>
    <row r="2098" spans="1:26" ht="14.25">
      <c r="A2098" s="14" t="str">
        <f ca="1">IFERROR(__xludf.DUMMYFUNCTION("""COMPUTED_VALUE"""),"Вера Олейник")</f>
        <v>Вера Олейник</v>
      </c>
      <c r="B2098" s="14" t="str">
        <f ca="1">IFERROR(__xludf.DUMMYFUNCTION("""COMPUTED_VALUE"""),"Vera.dok@mail.ru")</f>
        <v>Vera.dok@mail.ru</v>
      </c>
      <c r="C2098" s="15" t="str">
        <f ca="1">IFERROR(__xludf.DUMMYFUNCTION("""COMPUTED_VALUE"""),"+79652178474")</f>
        <v>+79652178474</v>
      </c>
      <c r="D2098" s="15" t="str">
        <f ca="1">IFERROR(__xludf.DUMMYFUNCTION("""COMPUTED_VALUE"""),"Россия")</f>
        <v>Россия</v>
      </c>
      <c r="E2098" s="14"/>
      <c r="F2098" s="8" t="str">
        <f ca="1">IFERROR(__xludf.DUMMYFUNCTION("""COMPUTED_VALUE"""),"- Заявка на СЪЕЗД+ФЕСТИВАЛЬ ""Мы вместе"" 3-8.01.22")</f>
        <v>- Заявка на СЪЕЗД+ФЕСТИВАЛЬ "Мы вместе" 3-8.01.22</v>
      </c>
      <c r="G2098" s="14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</row>
    <row r="2099" spans="1:26" ht="14.25">
      <c r="A2099" s="14" t="str">
        <f ca="1">IFERROR(__xludf.DUMMYFUNCTION("""COMPUTED_VALUE"""),"Vera Andronik")</f>
        <v>Vera Andronik</v>
      </c>
      <c r="B2099" s="14" t="str">
        <f ca="1">IFERROR(__xludf.DUMMYFUNCTION("""COMPUTED_VALUE"""),"Vera.ludinova@gmx.de")</f>
        <v>Vera.ludinova@gmx.de</v>
      </c>
      <c r="C2099" s="15" t="str">
        <f ca="1">IFERROR(__xludf.DUMMYFUNCTION("""COMPUTED_VALUE"""),"+4917624458148")</f>
        <v>+4917624458148</v>
      </c>
      <c r="D2099" s="15" t="str">
        <f ca="1">IFERROR(__xludf.DUMMYFUNCTION("""COMPUTED_VALUE"""),"Германия")</f>
        <v>Германия</v>
      </c>
      <c r="E2099" s="14"/>
      <c r="F2099" s="8" t="str">
        <f ca="1">IFERROR(__xludf.DUMMYFUNCTION("""COMPUTED_VALUE"""),"- Мастер-класс ""Скульптура и Керамика""")</f>
        <v>- Мастер-класс "Скульптура и Керамика"</v>
      </c>
      <c r="G2099" s="14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</row>
    <row r="2100" spans="1:26" ht="14.25">
      <c r="A2100" s="14" t="str">
        <f ca="1">IFERROR(__xludf.DUMMYFUNCTION("""COMPUTED_VALUE"""),"Алика Бриз")</f>
        <v>Алика Бриз</v>
      </c>
      <c r="B2100" s="14" t="str">
        <f ca="1">IFERROR(__xludf.DUMMYFUNCTION("""COMPUTED_VALUE"""),"veraviktoriyalika@mail.ru")</f>
        <v>veraviktoriyalika@mail.ru</v>
      </c>
      <c r="C2100" s="15" t="str">
        <f ca="1">IFERROR(__xludf.DUMMYFUNCTION("""COMPUTED_VALUE"""),"79179072149")</f>
        <v>79179072149</v>
      </c>
      <c r="D2100" s="15"/>
      <c r="E2100" s="14"/>
      <c r="F2100" s="8" t="str">
        <f ca="1">IFERROR(__xludf.DUMMYFUNCTION("""COMPUTED_VALUE"""),"- Тишина Челлендж (бесплатная часть)")</f>
        <v>- Тишина Челлендж (бесплатная часть)</v>
      </c>
      <c r="G2100" s="14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</row>
    <row r="2101" spans="1:26" ht="14.25">
      <c r="A2101" s="14" t="str">
        <f ca="1">IFERROR(__xludf.DUMMYFUNCTION("""COMPUTED_VALUE"""),"olga veremeychik")</f>
        <v>olga veremeychik</v>
      </c>
      <c r="B2101" s="14" t="str">
        <f ca="1">IFERROR(__xludf.DUMMYFUNCTION("""COMPUTED_VALUE"""),"veremolga@gmail.com")</f>
        <v>veremolga@gmail.com</v>
      </c>
      <c r="C2101" s="15" t="str">
        <f ca="1">IFERROR(__xludf.DUMMYFUNCTION("""COMPUTED_VALUE"""),"+393204438001")</f>
        <v>+393204438001</v>
      </c>
      <c r="D2101" s="15" t="str">
        <f ca="1">IFERROR(__xludf.DUMMYFUNCTION("""COMPUTED_VALUE"""),"Италия")</f>
        <v>Италия</v>
      </c>
      <c r="E2101" s="14"/>
      <c r="F2101" s="8" t="str">
        <f ca="1">IFERROR(__xludf.DUMMYFUNCTION("""COMPUTED_VALUE"""),"- Онлайн-курс ""Антистресс""")</f>
        <v>- Онлайн-курс "Антистресс"</v>
      </c>
      <c r="G2101" s="14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</row>
    <row r="2102" spans="1:26" ht="14.25">
      <c r="A2102" s="14" t="str">
        <f ca="1">IFERROR(__xludf.DUMMYFUNCTION("""COMPUTED_VALUE"""),"Rima Cirt")</f>
        <v>Rima Cirt</v>
      </c>
      <c r="B2102" s="14" t="str">
        <f ca="1">IFERROR(__xludf.DUMMYFUNCTION("""COMPUTED_VALUE"""),"veririma@gmail.com")</f>
        <v>veririma@gmail.com</v>
      </c>
      <c r="C2102" s="15" t="str">
        <f ca="1">IFERROR(__xludf.DUMMYFUNCTION("""COMPUTED_VALUE"""),"+37061269275")</f>
        <v>+37061269275</v>
      </c>
      <c r="D2102" s="15" t="str">
        <f ca="1">IFERROR(__xludf.DUMMYFUNCTION("""COMPUTED_VALUE"""),"Литва")</f>
        <v>Литва</v>
      </c>
      <c r="E2102" s="14"/>
      <c r="F2102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2102" s="14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</row>
    <row r="2103" spans="1:26" ht="25.5">
      <c r="A2103" s="14" t="str">
        <f ca="1">IFERROR(__xludf.DUMMYFUNCTION("""COMPUTED_VALUE"""),"Veronica Druta")</f>
        <v>Veronica Druta</v>
      </c>
      <c r="B2103" s="14" t="str">
        <f ca="1">IFERROR(__xludf.DUMMYFUNCTION("""COMPUTED_VALUE"""),"Veronica.druta@gmail.com")</f>
        <v>Veronica.druta@gmail.com</v>
      </c>
      <c r="C2103" s="15" t="str">
        <f ca="1">IFERROR(__xludf.DUMMYFUNCTION("""COMPUTED_VALUE"""),"0782555302")</f>
        <v>0782555302</v>
      </c>
      <c r="D2103" s="15" t="str">
        <f ca="1">IFERROR(__xludf.DUMMYFUNCTION("""COMPUTED_VALUE"""),"Франция")</f>
        <v>Франция</v>
      </c>
      <c r="E2103" s="14"/>
      <c r="F2103" s="8" t="str">
        <f ca="1">IFERROR(__xludf.DUMMYFUNCTION("""COMPUTED_VALUE"""),"- Вебинар с Никитой Бородулиным 11.02.2022 часть1
- Тишина Челлендж (бесплатная часть)")</f>
        <v>- Вебинар с Никитой Бородулиным 11.02.2022 часть1
- Тишина Челлендж (бесплатная часть)</v>
      </c>
      <c r="G2103" s="14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</row>
    <row r="2104" spans="1:26" ht="14.25">
      <c r="A2104" s="14" t="str">
        <f ca="1">IFERROR(__xludf.DUMMYFUNCTION("""COMPUTED_VALUE"""),"Тест Тест, ")</f>
        <v xml:space="preserve">Тест Тест, </v>
      </c>
      <c r="B2104" s="14" t="str">
        <f ca="1">IFERROR(__xludf.DUMMYFUNCTION("""COMPUTED_VALUE"""),"veronika_sm@list.ru")</f>
        <v>veronika_sm@list.ru</v>
      </c>
      <c r="C2104" s="15" t="str">
        <f ca="1">IFERROR(__xludf.DUMMYFUNCTION("""COMPUTED_VALUE"""),"5676445, ")</f>
        <v xml:space="preserve">5676445, </v>
      </c>
      <c r="D2104" s="15"/>
      <c r="E2104" s="14"/>
      <c r="F2104" s="8" t="str">
        <f ca="1">IFERROR(__xludf.DUMMYFUNCTION("""COMPUTED_VALUE"""),"- Партнерская программа")</f>
        <v>- Партнерская программа</v>
      </c>
      <c r="G2104" s="14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</row>
    <row r="2105" spans="1:26" ht="14.25">
      <c r="A2105" s="14" t="str">
        <f ca="1">IFERROR(__xludf.DUMMYFUNCTION("""COMPUTED_VALUE"""),"Вероника Сулейманова")</f>
        <v>Вероника Сулейманова</v>
      </c>
      <c r="B2105" s="14" t="str">
        <f ca="1">IFERROR(__xludf.DUMMYFUNCTION("""COMPUTED_VALUE"""),"Veronikas1996@mail.ru")</f>
        <v>Veronikas1996@mail.ru</v>
      </c>
      <c r="C2105" s="15"/>
      <c r="D2105" s="15" t="str">
        <f ca="1">IFERROR(__xludf.DUMMYFUNCTION("""COMPUTED_VALUE"""),"Россия")</f>
        <v>Россия</v>
      </c>
      <c r="E2105" s="14"/>
      <c r="F2105" s="8" t="str">
        <f ca="1">IFERROR(__xludf.DUMMYFUNCTION("""COMPUTED_VALUE"""),"- Базовая бесплатная часть")</f>
        <v>- Базовая бесплатная часть</v>
      </c>
      <c r="G2105" s="14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</row>
    <row r="2106" spans="1:26" ht="14.25">
      <c r="A2106" s="14" t="str">
        <f ca="1">IFERROR(__xludf.DUMMYFUNCTION("""COMPUTED_VALUE"""),"Вера Полуэктова")</f>
        <v>Вера Полуэктова</v>
      </c>
      <c r="B2106" s="14" t="str">
        <f ca="1">IFERROR(__xludf.DUMMYFUNCTION("""COMPUTED_VALUE"""),"verpoluektowa@yandex.ru")</f>
        <v>verpoluektowa@yandex.ru</v>
      </c>
      <c r="C2106" s="15" t="str">
        <f ca="1">IFERROR(__xludf.DUMMYFUNCTION("""COMPUTED_VALUE"""),"79517437871")</f>
        <v>79517437871</v>
      </c>
      <c r="D2106" s="15" t="str">
        <f ca="1">IFERROR(__xludf.DUMMYFUNCTION("""COMPUTED_VALUE"""),"Россия")</f>
        <v>Россия</v>
      </c>
      <c r="E2106" s="14"/>
      <c r="F2106" s="8" t="str">
        <f ca="1">IFERROR(__xludf.DUMMYFUNCTION("""COMPUTED_VALUE"""),"- Тишина Челлендж (бесплатная часть)")</f>
        <v>- Тишина Челлендж (бесплатная часть)</v>
      </c>
      <c r="G2106" s="14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</row>
    <row r="2107" spans="1:26" ht="14.25">
      <c r="A2107" s="14" t="str">
        <f ca="1">IFERROR(__xludf.DUMMYFUNCTION("""COMPUTED_VALUE"""),"Елена Хомич")</f>
        <v>Елена Хомич</v>
      </c>
      <c r="B2107" s="14" t="str">
        <f ca="1">IFERROR(__xludf.DUMMYFUNCTION("""COMPUTED_VALUE"""),"vesnyshka.lena@yandex.by")</f>
        <v>vesnyshka.lena@yandex.by</v>
      </c>
      <c r="C2107" s="15" t="str">
        <f ca="1">IFERROR(__xludf.DUMMYFUNCTION("""COMPUTED_VALUE"""),"+375298084791")</f>
        <v>+375298084791</v>
      </c>
      <c r="D2107" s="15" t="str">
        <f ca="1">IFERROR(__xludf.DUMMYFUNCTION("""COMPUTED_VALUE"""),"Беларусь")</f>
        <v>Беларусь</v>
      </c>
      <c r="E2107" s="14"/>
      <c r="F2107" s="8" t="str">
        <f ca="1">IFERROR(__xludf.DUMMYFUNCTION("""COMPUTED_VALUE"""),"- Чайная встреча Разговор по душам 26.2.2022 Минск")</f>
        <v>- Чайная встреча Разговор по душам 26.2.2022 Минск</v>
      </c>
      <c r="G2107" s="14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</row>
    <row r="2108" spans="1:26" ht="14.25">
      <c r="A2108" s="14" t="str">
        <f ca="1">IFERROR(__xludf.DUMMYFUNCTION("""COMPUTED_VALUE"""),"victoria.smart,  ")</f>
        <v xml:space="preserve">victoria.smart,  </v>
      </c>
      <c r="B2108" s="14" t="str">
        <f ca="1">IFERROR(__xludf.DUMMYFUNCTION("""COMPUTED_VALUE"""),"victoria.smart@gmail.com")</f>
        <v>victoria.smart@gmail.com</v>
      </c>
      <c r="C2108" s="15"/>
      <c r="D2108" s="15"/>
      <c r="E2108" s="14"/>
      <c r="F2108" s="8" t="str">
        <f ca="1">IFERROR(__xludf.DUMMYFUNCTION("""COMPUTED_VALUE"""),"- USA Челлендж Тишина")</f>
        <v>- USA Челлендж Тишина</v>
      </c>
      <c r="G2108" s="14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</row>
    <row r="2109" spans="1:26" ht="25.5">
      <c r="A2109" s="14" t="str">
        <f ca="1">IFERROR(__xludf.DUMMYFUNCTION("""COMPUTED_VALUE"""),"Феруза Адылова")</f>
        <v>Феруза Адылова</v>
      </c>
      <c r="B2109" s="14" t="str">
        <f ca="1">IFERROR(__xludf.DUMMYFUNCTION("""COMPUTED_VALUE"""),"Vida-firuza@mail.ru")</f>
        <v>Vida-firuza@mail.ru</v>
      </c>
      <c r="C2109" s="15" t="str">
        <f ca="1">IFERROR(__xludf.DUMMYFUNCTION("""COMPUTED_VALUE"""),"+998977077007")</f>
        <v>+998977077007</v>
      </c>
      <c r="D2109" s="15"/>
      <c r="E2109" s="14"/>
      <c r="F210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109" s="14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</row>
    <row r="2110" spans="1:26" ht="25.5">
      <c r="A2110" s="14" t="str">
        <f ca="1">IFERROR(__xludf.DUMMYFUNCTION("""COMPUTED_VALUE"""),"Vija Ūdre")</f>
        <v>Vija Ūdre</v>
      </c>
      <c r="B2110" s="14" t="str">
        <f ca="1">IFERROR(__xludf.DUMMYFUNCTION("""COMPUTED_VALUE"""),"vijaudre@gmail.com")</f>
        <v>vijaudre@gmail.com</v>
      </c>
      <c r="C2110" s="15" t="str">
        <f ca="1">IFERROR(__xludf.DUMMYFUNCTION("""COMPUTED_VALUE"""),"28380732")</f>
        <v>28380732</v>
      </c>
      <c r="D2110" s="15" t="str">
        <f ca="1">IFERROR(__xludf.DUMMYFUNCTION("""COMPUTED_VALUE"""),"Латвия")</f>
        <v>Латвия</v>
      </c>
      <c r="E2110" s="14"/>
      <c r="F2110" s="8" t="str">
        <f ca="1">IFERROR(__xludf.DUMMYFUNCTION("""COMPUTED_VALUE"""),"- Шаг к Пробуждению №5 на латышском Латвия LV 11-18 декабря 2021 года ")</f>
        <v xml:space="preserve">- Шаг к Пробуждению №5 на латышском Латвия LV 11-18 декабря 2021 года </v>
      </c>
      <c r="G2110" s="14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</row>
    <row r="2111" spans="1:26" ht="25.5">
      <c r="A2111" s="14" t="str">
        <f ca="1">IFERROR(__xludf.DUMMYFUNCTION("""COMPUTED_VALUE"""),"Максим Вихров")</f>
        <v>Максим Вихров</v>
      </c>
      <c r="B2111" s="14" t="str">
        <f ca="1">IFERROR(__xludf.DUMMYFUNCTION("""COMPUTED_VALUE"""),"Vikhrov@bk.ru")</f>
        <v>Vikhrov@bk.ru</v>
      </c>
      <c r="C2111" s="15" t="str">
        <f ca="1">IFERROR(__xludf.DUMMYFUNCTION("""COMPUTED_VALUE"""),"+79680976060")</f>
        <v>+79680976060</v>
      </c>
      <c r="D2111" s="15" t="str">
        <f ca="1">IFERROR(__xludf.DUMMYFUNCTION("""COMPUTED_VALUE"""),"Россия")</f>
        <v>Россия</v>
      </c>
      <c r="E2111" s="14"/>
      <c r="F2111" s="8" t="str">
        <f ca="1">IFERROR(__xludf.DUMMYFUNCTION("""COMPUTED_VALUE"""),"- Беседа - сатсанг с Екатериной Сосниной: Счастье внутри нас 15.1.22")</f>
        <v>- Беседа - сатсанг с Екатериной Сосниной: Счастье внутри нас 15.1.22</v>
      </c>
      <c r="G2111" s="14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</row>
    <row r="2112" spans="1:26" ht="14.25">
      <c r="A2112" s="14" t="str">
        <f ca="1">IFERROR(__xludf.DUMMYFUNCTION("""COMPUTED_VALUE"""),"Victoria Kotova")</f>
        <v>Victoria Kotova</v>
      </c>
      <c r="B2112" s="14" t="str">
        <f ca="1">IFERROR(__xludf.DUMMYFUNCTION("""COMPUTED_VALUE"""),"vikikot@gmail.com")</f>
        <v>vikikot@gmail.com</v>
      </c>
      <c r="C2112" s="15"/>
      <c r="D2112" s="15" t="str">
        <f ca="1">IFERROR(__xludf.DUMMYFUNCTION("""COMPUTED_VALUE"""),"США")</f>
        <v>США</v>
      </c>
      <c r="E2112" s="14"/>
      <c r="F2112" s="8" t="str">
        <f ca="1">IFERROR(__xludf.DUMMYFUNCTION("""COMPUTED_VALUE"""),"- Тишина Челлендж (бесплатная часть)")</f>
        <v>- Тишина Челлендж (бесплатная часть)</v>
      </c>
      <c r="G2112" s="14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</row>
    <row r="2113" spans="1:26" ht="38.25">
      <c r="A2113" s="14" t="str">
        <f ca="1">IFERROR(__xludf.DUMMYFUNCTION("""COMPUTED_VALUE"""),"Виктор Галенко")</f>
        <v>Виктор Галенко</v>
      </c>
      <c r="B2113" s="14" t="str">
        <f ca="1">IFERROR(__xludf.DUMMYFUNCTION("""COMPUTED_VALUE"""),"Viktor_Halenko@mail.ru")</f>
        <v>Viktor_Halenko@mail.ru</v>
      </c>
      <c r="C2113" s="15" t="str">
        <f ca="1">IFERROR(__xludf.DUMMYFUNCTION("""COMPUTED_VALUE"""),"+480690533795")</f>
        <v>+480690533795</v>
      </c>
      <c r="D2113" s="15" t="str">
        <f ca="1">IFERROR(__xludf.DUMMYFUNCTION("""COMPUTED_VALUE"""),"Польша")</f>
        <v>Польша</v>
      </c>
      <c r="E2113" s="14"/>
      <c r="F2113" s="8" t="str">
        <f ca="1">IFERROR(__xludf.DUMMYFUNCTION("""COMPUTED_VALUE"""),"- Тишина Челлендж (бесплатная часть)
- Вводный вебинар 3.5.22 на Шаг к Пробуждению
- Базовая бесплатная часть")</f>
        <v>- Тишина Челлендж (бесплатная часть)
- Вводный вебинар 3.5.22 на Шаг к Пробуждению
- Базовая бесплатная часть</v>
      </c>
      <c r="G2113" s="14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</row>
    <row r="2114" spans="1:26" ht="14.25">
      <c r="A2114" s="14" t="str">
        <f ca="1">IFERROR(__xludf.DUMMYFUNCTION("""COMPUTED_VALUE"""),"Виктор Савельев")</f>
        <v>Виктор Савельев</v>
      </c>
      <c r="B2114" s="14" t="str">
        <f ca="1">IFERROR(__xludf.DUMMYFUNCTION("""COMPUTED_VALUE"""),"Viktorsavelev069@mail.ru")</f>
        <v>Viktorsavelev069@mail.ru</v>
      </c>
      <c r="C2114" s="15" t="str">
        <f ca="1">IFERROR(__xludf.DUMMYFUNCTION("""COMPUTED_VALUE"""),", 79095237799")</f>
        <v>, 79095237799</v>
      </c>
      <c r="D2114" s="15" t="str">
        <f ca="1">IFERROR(__xludf.DUMMYFUNCTION("""COMPUTED_VALUE"""),"Россия")</f>
        <v>Россия</v>
      </c>
      <c r="E2114" s="14"/>
      <c r="F2114" s="8" t="str">
        <f ca="1">IFERROR(__xludf.DUMMYFUNCTION("""COMPUTED_VALUE"""),"Мероприятий не обнаружено")</f>
        <v>Мероприятий не обнаружено</v>
      </c>
      <c r="G2114" s="14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</row>
    <row r="2115" spans="1:26" ht="14.25">
      <c r="A2115" s="14" t="str">
        <f ca="1">IFERROR(__xludf.DUMMYFUNCTION("""COMPUTED_VALUE"""),"vikulya1158,  ")</f>
        <v xml:space="preserve">vikulya1158,  </v>
      </c>
      <c r="B2115" s="14" t="str">
        <f ca="1">IFERROR(__xludf.DUMMYFUNCTION("""COMPUTED_VALUE"""),"vikulya1158@yahoo.com")</f>
        <v>vikulya1158@yahoo.com</v>
      </c>
      <c r="C2115" s="15"/>
      <c r="D2115" s="15"/>
      <c r="E2115" s="14"/>
      <c r="F2115" s="8" t="str">
        <f ca="1">IFERROR(__xludf.DUMMYFUNCTION("""COMPUTED_VALUE"""),"- USA Челлендж Тишина")</f>
        <v>- USA Челлендж Тишина</v>
      </c>
      <c r="G2115" s="14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</row>
    <row r="2116" spans="1:26" ht="76.5">
      <c r="A2116" s="14" t="str">
        <f ca="1">IFERROR(__xludf.DUMMYFUNCTION("""COMPUTED_VALUE"""),"Vineta Riekstiņa")</f>
        <v>Vineta Riekstiņa</v>
      </c>
      <c r="B2116" s="14" t="str">
        <f ca="1">IFERROR(__xludf.DUMMYFUNCTION("""COMPUTED_VALUE"""),"vineta@m2m.lv")</f>
        <v>vineta@m2m.lv</v>
      </c>
      <c r="C2116" s="15" t="str">
        <f ca="1">IFERROR(__xludf.DUMMYFUNCTION("""COMPUTED_VALUE"""),"+37126489299")</f>
        <v>+37126489299</v>
      </c>
      <c r="D2116" s="15" t="str">
        <f ca="1">IFERROR(__xludf.DUMMYFUNCTION("""COMPUTED_VALUE"""),"Латвия")</f>
        <v>Латвия</v>
      </c>
      <c r="E2116" s="14"/>
      <c r="F2116" s="8" t="str">
        <f ca="1">IFERROR(__xludf.DUMMYFUNCTION("""COMPUTED_VALUE"""),"- Шаг к Пробуждению №5 на латышском Латвия LV 11-18 декабря 2021 года 
- ретрит ЕВРОПЕЙСКИЙ 14-21.1.2022 Латвия (цена- 390€) 
- Онлайн Интенсив 29-30 января 2022 Европа
- Ретрит ""Проектная деятельность"" для участников ретритов
- Европейский Онлайн Интен"&amp;"сив 4-6.03.2022")</f>
        <v>- Шаг к Пробуждению №5 на латышском Латвия LV 11-18 декабря 2021 года 
- ретрит ЕВРОПЕЙСКИЙ 14-21.1.2022 Латвия (цена- 390€) 
- Онлайн Интенсив 29-30 января 2022 Европа
- Ретрит "Проектная деятельность" для участников ретритов
- Европейский Онлайн Интенсив 4-6.03.2022</v>
      </c>
      <c r="G2116" s="14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</row>
    <row r="2117" spans="1:26" ht="25.5">
      <c r="A2117" s="14" t="str">
        <f ca="1">IFERROR(__xludf.DUMMYFUNCTION("""COMPUTED_VALUE"""),"Карина Чулембаева")</f>
        <v>Карина Чулембаева</v>
      </c>
      <c r="B2117" s="14" t="str">
        <f ca="1">IFERROR(__xludf.DUMMYFUNCTION("""COMPUTED_VALUE"""),"vini.puh1508@gmail.com")</f>
        <v>vini.puh1508@gmail.com</v>
      </c>
      <c r="C2117" s="15" t="str">
        <f ca="1">IFERROR(__xludf.DUMMYFUNCTION("""COMPUTED_VALUE"""),"87027596552")</f>
        <v>87027596552</v>
      </c>
      <c r="D2117" s="15"/>
      <c r="E2117" s="14"/>
      <c r="F211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117" s="14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</row>
    <row r="2118" spans="1:26" ht="14.25">
      <c r="A2118" s="14" t="str">
        <f ca="1">IFERROR(__xludf.DUMMYFUNCTION("""COMPUTED_VALUE"""),"Инна Виноград")</f>
        <v>Инна Виноград</v>
      </c>
      <c r="B2118" s="14" t="str">
        <f ca="1">IFERROR(__xludf.DUMMYFUNCTION("""COMPUTED_VALUE"""),"Vinograd.inna@mail.ru")</f>
        <v>Vinograd.inna@mail.ru</v>
      </c>
      <c r="C2118" s="15" t="str">
        <f ca="1">IFERROR(__xludf.DUMMYFUNCTION("""COMPUTED_VALUE"""),"+380714392909")</f>
        <v>+380714392909</v>
      </c>
      <c r="D2118" s="15" t="str">
        <f ca="1">IFERROR(__xludf.DUMMYFUNCTION("""COMPUTED_VALUE"""),"Украина")</f>
        <v>Украина</v>
      </c>
      <c r="E2118" s="14"/>
      <c r="F2118" s="8" t="str">
        <f ca="1">IFERROR(__xludf.DUMMYFUNCTION("""COMPUTED_VALUE"""),"- Тишина Челлендж (бесплатная часть)")</f>
        <v>- Тишина Челлендж (бесплатная часть)</v>
      </c>
      <c r="G2118" s="14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</row>
    <row r="2119" spans="1:26" ht="25.5">
      <c r="A2119" s="14" t="str">
        <f ca="1">IFERROR(__xludf.DUMMYFUNCTION("""COMPUTED_VALUE"""),"Ирина Ким")</f>
        <v>Ирина Ким</v>
      </c>
      <c r="B2119" s="14" t="str">
        <f ca="1">IFERROR(__xludf.DUMMYFUNCTION("""COMPUTED_VALUE"""),"vinogradari@list.ru")</f>
        <v>vinogradari@list.ru</v>
      </c>
      <c r="C2119" s="15" t="str">
        <f ca="1">IFERROR(__xludf.DUMMYFUNCTION("""COMPUTED_VALUE"""),"+77074808045")</f>
        <v>+77074808045</v>
      </c>
      <c r="D2119" s="15" t="str">
        <f ca="1">IFERROR(__xludf.DUMMYFUNCTION("""COMPUTED_VALUE"""),"Казахстан ")</f>
        <v xml:space="preserve">Казахстан </v>
      </c>
      <c r="E2119" s="14"/>
      <c r="F211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119" s="14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</row>
    <row r="2120" spans="1:26" ht="25.5">
      <c r="A2120" s="14" t="str">
        <f ca="1">IFERROR(__xludf.DUMMYFUNCTION("""COMPUTED_VALUE"""),"Виолета Будрикене")</f>
        <v>Виолета Будрикене</v>
      </c>
      <c r="B2120" s="14" t="str">
        <f ca="1">IFERROR(__xludf.DUMMYFUNCTION("""COMPUTED_VALUE"""),"violeta571110@gmail.com")</f>
        <v>violeta571110@gmail.com</v>
      </c>
      <c r="C2120" s="15" t="str">
        <f ca="1">IFERROR(__xludf.DUMMYFUNCTION("""COMPUTED_VALUE"""),"+37060105781")</f>
        <v>+37060105781</v>
      </c>
      <c r="D2120" s="15" t="str">
        <f ca="1">IFERROR(__xludf.DUMMYFUNCTION("""COMPUTED_VALUE"""),"Россия")</f>
        <v>Россия</v>
      </c>
      <c r="E2120" s="14"/>
      <c r="F2120" s="8" t="str">
        <f ca="1">IFERROR(__xludf.DUMMYFUNCTION("""COMPUTED_VALUE"""),"- Онлайн курс Шаг к Пробуждению №16 26.2-5.3.22 Пакет стандартный")</f>
        <v>- Онлайн курс Шаг к Пробуждению №16 26.2-5.3.22 Пакет стандартный</v>
      </c>
      <c r="G2120" s="14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</row>
    <row r="2121" spans="1:26" ht="25.5">
      <c r="A2121" s="14" t="str">
        <f ca="1">IFERROR(__xludf.DUMMYFUNCTION("""COMPUTED_VALUE"""),"Алия Куанышева")</f>
        <v>Алия Куанышева</v>
      </c>
      <c r="B2121" s="14" t="str">
        <f ca="1">IFERROR(__xludf.DUMMYFUNCTION("""COMPUTED_VALUE"""),"vip_aliya@mail.ru")</f>
        <v>vip_aliya@mail.ru</v>
      </c>
      <c r="C2121" s="15" t="str">
        <f ca="1">IFERROR(__xludf.DUMMYFUNCTION("""COMPUTED_VALUE"""),"87028296601")</f>
        <v>87028296601</v>
      </c>
      <c r="D2121" s="15"/>
      <c r="E2121" s="14"/>
      <c r="F212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121" s="14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</row>
    <row r="2122" spans="1:26" ht="14.25">
      <c r="A2122" s="14" t="str">
        <f ca="1">IFERROR(__xludf.DUMMYFUNCTION("""COMPUTED_VALUE"""),"Liliia Rakhmangulova")</f>
        <v>Liliia Rakhmangulova</v>
      </c>
      <c r="B2122" s="14" t="str">
        <f ca="1">IFERROR(__xludf.DUMMYFUNCTION("""COMPUTED_VALUE"""),"vip.liliia123@mail.ru")</f>
        <v>vip.liliia123@mail.ru</v>
      </c>
      <c r="C2122" s="15" t="str">
        <f ca="1">IFERROR(__xludf.DUMMYFUNCTION("""COMPUTED_VALUE"""),"19293395969")</f>
        <v>19293395969</v>
      </c>
      <c r="D2122" s="15" t="str">
        <f ca="1">IFERROR(__xludf.DUMMYFUNCTION("""COMPUTED_VALUE"""),"США ")</f>
        <v xml:space="preserve">США </v>
      </c>
      <c r="E2122" s="14"/>
      <c r="F2122" s="8" t="str">
        <f ca="1">IFERROR(__xludf.DUMMYFUNCTION("""COMPUTED_VALUE"""),"- USA Челлендж Тишина")</f>
        <v>- USA Челлендж Тишина</v>
      </c>
      <c r="G2122" s="14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</row>
    <row r="2123" spans="1:26" ht="25.5">
      <c r="A2123" s="14" t="str">
        <f ca="1">IFERROR(__xludf.DUMMYFUNCTION("""COMPUTED_VALUE"""),"Vita Ormane")</f>
        <v>Vita Ormane</v>
      </c>
      <c r="B2123" s="14" t="str">
        <f ca="1">IFERROR(__xludf.DUMMYFUNCTION("""COMPUTED_VALUE"""),"Vitacevere@inbox.lv")</f>
        <v>Vitacevere@inbox.lv</v>
      </c>
      <c r="C2123" s="15" t="str">
        <f ca="1">IFERROR(__xludf.DUMMYFUNCTION("""COMPUTED_VALUE"""),"+37128682870")</f>
        <v>+37128682870</v>
      </c>
      <c r="D2123" s="15" t="str">
        <f ca="1">IFERROR(__xludf.DUMMYFUNCTION("""COMPUTED_VALUE"""),"Латвия")</f>
        <v>Латвия</v>
      </c>
      <c r="E2123" s="14"/>
      <c r="F2123" s="8" t="str">
        <f ca="1">IFERROR(__xludf.DUMMYFUNCTION("""COMPUTED_VALUE"""),"- Шаг к Пробуждению №5 на латышском Латвия LV 11-18 декабря 2021 года ")</f>
        <v xml:space="preserve">- Шаг к Пробуждению №5 на латышском Латвия LV 11-18 декабря 2021 года </v>
      </c>
      <c r="G2123" s="14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</row>
    <row r="2124" spans="1:26" ht="14.25">
      <c r="A2124" s="14" t="str">
        <f ca="1">IFERROR(__xludf.DUMMYFUNCTION("""COMPUTED_VALUE"""),"Виктория Будель")</f>
        <v>Виктория Будель</v>
      </c>
      <c r="B2124" s="14" t="str">
        <f ca="1">IFERROR(__xludf.DUMMYFUNCTION("""COMPUTED_VALUE"""),"Vittiriabudel@mail.ru")</f>
        <v>Vittiriabudel@mail.ru</v>
      </c>
      <c r="C2124" s="15" t="str">
        <f ca="1">IFERROR(__xludf.DUMMYFUNCTION("""COMPUTED_VALUE"""),", 3270224288")</f>
        <v>, 3270224288</v>
      </c>
      <c r="D2124" s="15" t="str">
        <f ca="1">IFERROR(__xludf.DUMMYFUNCTION("""COMPUTED_VALUE"""),"Италия")</f>
        <v>Италия</v>
      </c>
      <c r="E2124" s="14"/>
      <c r="F2124" s="8" t="str">
        <f ca="1">IFERROR(__xludf.DUMMYFUNCTION("""COMPUTED_VALUE"""),"Мероприятий не обнаружено")</f>
        <v>Мероприятий не обнаружено</v>
      </c>
      <c r="G2124" s="14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</row>
    <row r="2125" spans="1:26" ht="14.25">
      <c r="A2125" s="14" t="str">
        <f ca="1">IFERROR(__xludf.DUMMYFUNCTION("""COMPUTED_VALUE"""),"Ольга Пинчук")</f>
        <v>Ольга Пинчук</v>
      </c>
      <c r="B2125" s="14" t="str">
        <f ca="1">IFERROR(__xludf.DUMMYFUNCTION("""COMPUTED_VALUE"""),"Vivocom@mail.ru")</f>
        <v>Vivocom@mail.ru</v>
      </c>
      <c r="C2125" s="15" t="str">
        <f ca="1">IFERROR(__xludf.DUMMYFUNCTION("""COMPUTED_VALUE"""),"77771333373")</f>
        <v>77771333373</v>
      </c>
      <c r="D2125" s="15" t="str">
        <f ca="1">IFERROR(__xludf.DUMMYFUNCTION("""COMPUTED_VALUE"""),"Казахстан")</f>
        <v>Казахстан</v>
      </c>
      <c r="E2125" s="14"/>
      <c r="F2125" s="8" t="str">
        <f ca="1">IFERROR(__xludf.DUMMYFUNCTION("""COMPUTED_VALUE"""),"- Живая ""Практика тишины"" Алматы (регулярные занятия)")</f>
        <v>- Живая "Практика тишины" Алматы (регулярные занятия)</v>
      </c>
      <c r="G2125" s="14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</row>
    <row r="2126" spans="1:26" ht="25.5">
      <c r="A2126" s="14" t="str">
        <f ca="1">IFERROR(__xludf.DUMMYFUNCTION("""COMPUTED_VALUE"""),"Олеся Лысенко")</f>
        <v>Олеся Лысенко</v>
      </c>
      <c r="B2126" s="14" t="str">
        <f ca="1">IFERROR(__xludf.DUMMYFUNCTION("""COMPUTED_VALUE"""),"Vizualka@yandex.ru")</f>
        <v>Vizualka@yandex.ru</v>
      </c>
      <c r="C2126" s="15" t="str">
        <f ca="1">IFERROR(__xludf.DUMMYFUNCTION("""COMPUTED_VALUE"""),"+998909833439")</f>
        <v>+998909833439</v>
      </c>
      <c r="D2126" s="15"/>
      <c r="E2126" s="14"/>
      <c r="F212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126" s="14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</row>
    <row r="2127" spans="1:26" ht="14.25">
      <c r="A2127" s="14" t="str">
        <f ca="1">IFERROR(__xludf.DUMMYFUNCTION("""COMPUTED_VALUE"""),"vkasapova1,  ")</f>
        <v xml:space="preserve">vkasapova1,  </v>
      </c>
      <c r="B2127" s="14" t="str">
        <f ca="1">IFERROR(__xludf.DUMMYFUNCTION("""COMPUTED_VALUE"""),"vkasapova1@gmail.com")</f>
        <v>vkasapova1@gmail.com</v>
      </c>
      <c r="C2127" s="15"/>
      <c r="D2127" s="15" t="str">
        <f ca="1">IFERROR(__xludf.DUMMYFUNCTION("""COMPUTED_VALUE"""),"Россия")</f>
        <v>Россия</v>
      </c>
      <c r="E2127" s="14"/>
      <c r="F2127" s="8" t="str">
        <f ca="1">IFERROR(__xludf.DUMMYFUNCTION("""COMPUTED_VALUE"""),"- Базовая бесплатная часть")</f>
        <v>- Базовая бесплатная часть</v>
      </c>
      <c r="G2127" s="14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</row>
    <row r="2128" spans="1:26" ht="14.25">
      <c r="A2128" s="14" t="str">
        <f ca="1">IFERROR(__xludf.DUMMYFUNCTION("""COMPUTED_VALUE"""),"Владимир Дергунов")</f>
        <v>Владимир Дергунов</v>
      </c>
      <c r="B2128" s="14" t="str">
        <f ca="1">IFERROR(__xludf.DUMMYFUNCTION("""COMPUTED_VALUE"""),"vladimirdergunov@gmail.com")</f>
        <v>vladimirdergunov@gmail.com</v>
      </c>
      <c r="C2128" s="15" t="str">
        <f ca="1">IFERROR(__xludf.DUMMYFUNCTION("""COMPUTED_VALUE"""),"+79013622409")</f>
        <v>+79013622409</v>
      </c>
      <c r="D2128" s="15" t="str">
        <f ca="1">IFERROR(__xludf.DUMMYFUNCTION("""COMPUTED_VALUE"""),"Россия")</f>
        <v>Россия</v>
      </c>
      <c r="E2128" s="14"/>
      <c r="F2128" s="8" t="str">
        <f ca="1">IFERROR(__xludf.DUMMYFUNCTION("""COMPUTED_VALUE"""),"- Интенсив онлайн 11-13.02.2022")</f>
        <v>- Интенсив онлайн 11-13.02.2022</v>
      </c>
      <c r="G2128" s="14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</row>
    <row r="2129" spans="1:26" ht="14.25">
      <c r="A2129" s="14" t="str">
        <f ca="1">IFERROR(__xludf.DUMMYFUNCTION("""COMPUTED_VALUE"""),"vladimirlohrer1,  ")</f>
        <v xml:space="preserve">vladimirlohrer1,  </v>
      </c>
      <c r="B2129" s="14" t="str">
        <f ca="1">IFERROR(__xludf.DUMMYFUNCTION("""COMPUTED_VALUE"""),"vladimirlohrer1@hotmail.com")</f>
        <v>vladimirlohrer1@hotmail.com</v>
      </c>
      <c r="C2129" s="15"/>
      <c r="D2129" s="15" t="str">
        <f ca="1">IFERROR(__xludf.DUMMYFUNCTION("""COMPUTED_VALUE"""),"Германия")</f>
        <v>Германия</v>
      </c>
      <c r="E2129" s="14"/>
      <c r="F2129" s="8" t="str">
        <f ca="1">IFERROR(__xludf.DUMMYFUNCTION("""COMPUTED_VALUE"""),"- Базовая бесплатная часть")</f>
        <v>- Базовая бесплатная часть</v>
      </c>
      <c r="G2129" s="14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</row>
    <row r="2130" spans="1:26" ht="38.25">
      <c r="A2130" s="14" t="str">
        <f ca="1">IFERROR(__xludf.DUMMYFUNCTION("""COMPUTED_VALUE"""),"Natalja Bobõljova")</f>
        <v>Natalja Bobõljova</v>
      </c>
      <c r="B2130" s="14" t="str">
        <f ca="1">IFERROR(__xludf.DUMMYFUNCTION("""COMPUTED_VALUE"""),"vland77@mail.ru")</f>
        <v>vland77@mail.ru</v>
      </c>
      <c r="C2130" s="15" t="str">
        <f ca="1">IFERROR(__xludf.DUMMYFUNCTION("""COMPUTED_VALUE"""),"+37253311770")</f>
        <v>+37253311770</v>
      </c>
      <c r="D2130" s="15" t="str">
        <f ca="1">IFERROR(__xludf.DUMMYFUNCTION("""COMPUTED_VALUE"""),"Эстония")</f>
        <v>Эстония</v>
      </c>
      <c r="E2130" s="14" t="str">
        <f ca="1">IFERROR(__xludf.DUMMYFUNCTION("""COMPUTED_VALUE"""),"@vland777")</f>
        <v>@vland777</v>
      </c>
      <c r="F2130" s="8" t="str">
        <f ca="1">IFERROR(__xludf.DUMMYFUNCTION("""COMPUTED_VALUE"""),"- ретрит ЕВРОПЕЙСКИЙ 14-21.1.2022 Латвия (цена- 390€) 
- Ретрит ""Проектная деятельность"" для участников ретритов
- Интенсив онлайн 11-13.02.2022")</f>
        <v>- ретрит ЕВРОПЕЙСКИЙ 14-21.1.2022 Латвия (цена- 390€) 
- Ретрит "Проектная деятельность" для участников ретритов
- Интенсив онлайн 11-13.02.2022</v>
      </c>
      <c r="G2130" s="14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</row>
    <row r="2131" spans="1:26" ht="14.25">
      <c r="A2131" s="14" t="str">
        <f ca="1">IFERROR(__xludf.DUMMYFUNCTION("""COMPUTED_VALUE"""),"Никонов Иван")</f>
        <v>Никонов Иван</v>
      </c>
      <c r="B2131" s="14" t="str">
        <f ca="1">IFERROR(__xludf.DUMMYFUNCTION("""COMPUTED_VALUE"""),"vlenin84@gmail.com")</f>
        <v>vlenin84@gmail.com</v>
      </c>
      <c r="C2131" s="15" t="str">
        <f ca="1">IFERROR(__xludf.DUMMYFUNCTION("""COMPUTED_VALUE"""),"79212267888")</f>
        <v>79212267888</v>
      </c>
      <c r="D2131" s="15" t="str">
        <f ca="1">IFERROR(__xludf.DUMMYFUNCTION("""COMPUTED_VALUE"""),"Россия")</f>
        <v>Россия</v>
      </c>
      <c r="E2131" s="14"/>
      <c r="F2131" s="8" t="str">
        <f ca="1">IFERROR(__xludf.DUMMYFUNCTION("""COMPUTED_VALUE"""),"- Тишина Челлендж (бесплатная часть)")</f>
        <v>- Тишина Челлендж (бесплатная часть)</v>
      </c>
      <c r="G2131" s="14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</row>
    <row r="2132" spans="1:26" ht="14.25">
      <c r="A2132" s="14" t="str">
        <f ca="1">IFERROR(__xludf.DUMMYFUNCTION("""COMPUTED_VALUE"""),"Виктория Лойко")</f>
        <v>Виктория Лойко</v>
      </c>
      <c r="B2132" s="14" t="str">
        <f ca="1">IFERROR(__xludf.DUMMYFUNCTION("""COMPUTED_VALUE"""),"vlojko@mail.ru")</f>
        <v>vlojko@mail.ru</v>
      </c>
      <c r="C2132" s="15" t="str">
        <f ca="1">IFERROR(__xludf.DUMMYFUNCTION("""COMPUTED_VALUE"""),"+375299155985")</f>
        <v>+375299155985</v>
      </c>
      <c r="D2132" s="15" t="str">
        <f ca="1">IFERROR(__xludf.DUMMYFUNCTION("""COMPUTED_VALUE"""),"Беларусь")</f>
        <v>Беларусь</v>
      </c>
      <c r="E2132" s="14"/>
      <c r="F2132" s="8" t="str">
        <f ca="1">IFERROR(__xludf.DUMMYFUNCTION("""COMPUTED_VALUE"""),"- Чайная встреча Разговор по душам Минск 11.12.2021")</f>
        <v>- Чайная встреча Разговор по душам Минск 11.12.2021</v>
      </c>
      <c r="G2132" s="14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</row>
    <row r="2133" spans="1:26" ht="51">
      <c r="A2133" s="14" t="str">
        <f ca="1">IFERROR(__xludf.DUMMYFUNCTION("""COMPUTED_VALUE"""),"Вячеслав Люкшин")</f>
        <v>Вячеслав Люкшин</v>
      </c>
      <c r="B2133" s="14" t="str">
        <f ca="1">IFERROR(__xludf.DUMMYFUNCTION("""COMPUTED_VALUE"""),"vlukshin@yahoo.com")</f>
        <v>vlukshin@yahoo.com</v>
      </c>
      <c r="C2133" s="15" t="str">
        <f ca="1">IFERROR(__xludf.DUMMYFUNCTION("""COMPUTED_VALUE"""),"+79641194991")</f>
        <v>+79641194991</v>
      </c>
      <c r="D2133" s="15" t="str">
        <f ca="1">IFERROR(__xludf.DUMMYFUNCTION("""COMPUTED_VALUE"""),"Россия")</f>
        <v>Россия</v>
      </c>
      <c r="E2133" s="14" t="str">
        <f ca="1">IFERROR(__xludf.DUMMYFUNCTION("""COMPUTED_VALUE"""),"@Slava_Luke")</f>
        <v>@Slava_Luke</v>
      </c>
      <c r="F2133" s="8" t="str">
        <f ca="1">IFERROR(__xludf.DUMMYFUNCTION("""COMPUTED_VALUE"""),"- Онлайн Интенсив Дальний Восток 25-27.02.2022 
- Сообщество «Дальний Восток»
- Онлайн Интенсив Дальний Восток 25-27.03.2022 
- Клуб пробуждения Друзья (2 уровень) - 1 месяц")</f>
        <v>- Онлайн Интенсив Дальний Восток 25-27.02.2022 
- Сообщество «Дальний Восток»
- Онлайн Интенсив Дальний Восток 25-27.03.2022 
- Клуб пробуждения Друзья (2 уровень) - 1 месяц</v>
      </c>
      <c r="G2133" s="14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</row>
    <row r="2134" spans="1:26" ht="14.25">
      <c r="A2134" s="14" t="str">
        <f ca="1">IFERROR(__xludf.DUMMYFUNCTION("""COMPUTED_VALUE"""),"Валентина Нагорская")</f>
        <v>Валентина Нагорская</v>
      </c>
      <c r="B2134" s="14" t="str">
        <f ca="1">IFERROR(__xludf.DUMMYFUNCTION("""COMPUTED_VALUE"""),"vnagorskaya@gmail.com")</f>
        <v>vnagorskaya@gmail.com</v>
      </c>
      <c r="C2134" s="15" t="str">
        <f ca="1">IFERROR(__xludf.DUMMYFUNCTION("""COMPUTED_VALUE"""),"+79851937819")</f>
        <v>+79851937819</v>
      </c>
      <c r="D2134" s="15" t="str">
        <f ca="1">IFERROR(__xludf.DUMMYFUNCTION("""COMPUTED_VALUE"""),"Россия")</f>
        <v>Россия</v>
      </c>
      <c r="E2134" s="14"/>
      <c r="F2134" s="8" t="str">
        <f ca="1">IFERROR(__xludf.DUMMYFUNCTION("""COMPUTED_VALUE"""),"- Челлендж Тишины")</f>
        <v>- Челлендж Тишины</v>
      </c>
      <c r="G2134" s="14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</row>
    <row r="2135" spans="1:26" ht="51">
      <c r="A2135" s="14" t="str">
        <f ca="1">IFERROR(__xludf.DUMMYFUNCTION("""COMPUTED_VALUE"""),"Светлана Водолажская")</f>
        <v>Светлана Водолажская</v>
      </c>
      <c r="B2135" s="14" t="str">
        <f ca="1">IFERROR(__xludf.DUMMYFUNCTION("""COMPUTED_VALUE"""),"vodolagskaya@rambler.ru")</f>
        <v>vodolagskaya@rambler.ru</v>
      </c>
      <c r="C2135" s="15" t="str">
        <f ca="1">IFERROR(__xludf.DUMMYFUNCTION("""COMPUTED_VALUE"""),"+79184719535")</f>
        <v>+79184719535</v>
      </c>
      <c r="D2135" s="15" t="str">
        <f ca="1">IFERROR(__xludf.DUMMYFUNCTION("""COMPUTED_VALUE"""),"Россия")</f>
        <v>Россия</v>
      </c>
      <c r="E2135" s="14"/>
      <c r="F2135" s="8" t="str">
        <f ca="1">IFERROR(__xludf.DUMMYFUNCTION("""COMPUTED_VALUE"""),"- Практика тишины в Краснодаре 26.12.21
- Практика Тишины общая платная
- Клуб пробуждения Друзья (Региональный)
- Однодневный онлайн ретрит (в зале) 14 мая 2022")</f>
        <v>- Практика тишины в Краснодаре 26.12.21
- Практика Тишины общая платная
- Клуб пробуждения Друзья (Региональный)
- Однодневный онлайн ретрит (в зале) 14 мая 2022</v>
      </c>
      <c r="G2135" s="14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</row>
    <row r="2136" spans="1:26" ht="14.25">
      <c r="A2136" s="14" t="str">
        <f ca="1">IFERROR(__xludf.DUMMYFUNCTION("""COMPUTED_VALUE"""),"Сергей Ш")</f>
        <v>Сергей Ш</v>
      </c>
      <c r="B2136" s="14" t="str">
        <f ca="1">IFERROR(__xludf.DUMMYFUNCTION("""COMPUTED_VALUE"""),"voiceofmind667@gmail.com")</f>
        <v>voiceofmind667@gmail.com</v>
      </c>
      <c r="C2136" s="15" t="str">
        <f ca="1">IFERROR(__xludf.DUMMYFUNCTION("""COMPUTED_VALUE"""),", +375292532269")</f>
        <v>, +375292532269</v>
      </c>
      <c r="D2136" s="15" t="str">
        <f ca="1">IFERROR(__xludf.DUMMYFUNCTION("""COMPUTED_VALUE"""),"Беларусь")</f>
        <v>Беларусь</v>
      </c>
      <c r="E2136" s="14"/>
      <c r="F2136" s="8" t="str">
        <f ca="1">IFERROR(__xludf.DUMMYFUNCTION("""COMPUTED_VALUE"""),"Мероприятий не обнаружено")</f>
        <v>Мероприятий не обнаружено</v>
      </c>
      <c r="G2136" s="14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</row>
    <row r="2137" spans="1:26" ht="14.25">
      <c r="A2137" s="14" t="str">
        <f ca="1">IFERROR(__xludf.DUMMYFUNCTION("""COMPUTED_VALUE"""),"Anastasia French")</f>
        <v>Anastasia French</v>
      </c>
      <c r="B2137" s="14" t="str">
        <f ca="1">IFERROR(__xludf.DUMMYFUNCTION("""COMPUTED_VALUE"""),"volguntes@gmail.com")</f>
        <v>volguntes@gmail.com</v>
      </c>
      <c r="C2137" s="15" t="str">
        <f ca="1">IFERROR(__xludf.DUMMYFUNCTION("""COMPUTED_VALUE"""),"5054125577")</f>
        <v>5054125577</v>
      </c>
      <c r="D2137" s="15" t="str">
        <f ca="1">IFERROR(__xludf.DUMMYFUNCTION("""COMPUTED_VALUE"""),"United States")</f>
        <v>United States</v>
      </c>
      <c r="E2137" s="14"/>
      <c r="F2137" s="8" t="str">
        <f ca="1">IFERROR(__xludf.DUMMYFUNCTION("""COMPUTED_VALUE"""),"- USA Челлендж Тишина")</f>
        <v>- USA Челлендж Тишина</v>
      </c>
      <c r="G2137" s="14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</row>
    <row r="2138" spans="1:26" ht="14.25">
      <c r="A2138" s="14" t="str">
        <f ca="1">IFERROR(__xludf.DUMMYFUNCTION("""COMPUTED_VALUE"""),"volodon,  ")</f>
        <v xml:space="preserve">volodon,  </v>
      </c>
      <c r="B2138" s="14" t="str">
        <f ca="1">IFERROR(__xludf.DUMMYFUNCTION("""COMPUTED_VALUE"""),"volodon@gmail.com")</f>
        <v>volodon@gmail.com</v>
      </c>
      <c r="C2138" s="15"/>
      <c r="D2138" s="15"/>
      <c r="E2138" s="14"/>
      <c r="F2138" s="8" t="str">
        <f ca="1">IFERROR(__xludf.DUMMYFUNCTION("""COMPUTED_VALUE"""),"- USA Челлендж Тишина")</f>
        <v>- USA Челлендж Тишина</v>
      </c>
      <c r="G2138" s="14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</row>
    <row r="2139" spans="1:26" ht="14.25">
      <c r="A2139" s="14" t="str">
        <f ca="1">IFERROR(__xludf.DUMMYFUNCTION("""COMPUTED_VALUE"""),"Ольга Волошина")</f>
        <v>Ольга Волошина</v>
      </c>
      <c r="B2139" s="14" t="str">
        <f ca="1">IFERROR(__xludf.DUMMYFUNCTION("""COMPUTED_VALUE"""),"voloshka_57@mail.ru")</f>
        <v>voloshka_57@mail.ru</v>
      </c>
      <c r="C2139" s="15" t="str">
        <f ca="1">IFERROR(__xludf.DUMMYFUNCTION("""COMPUTED_VALUE"""),"+79164511964")</f>
        <v>+79164511964</v>
      </c>
      <c r="D2139" s="15" t="str">
        <f ca="1">IFERROR(__xludf.DUMMYFUNCTION("""COMPUTED_VALUE"""),"Россия")</f>
        <v>Россия</v>
      </c>
      <c r="E2139" s="14"/>
      <c r="F2139" s="8" t="str">
        <f ca="1">IFERROR(__xludf.DUMMYFUNCTION("""COMPUTED_VALUE"""),"-  встреча Космос внутри Сочи 5.3.2022")</f>
        <v>-  встреча Космос внутри Сочи 5.3.2022</v>
      </c>
      <c r="G2139" s="14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</row>
    <row r="2140" spans="1:26" ht="14.25">
      <c r="A2140" s="14" t="str">
        <f ca="1">IFERROR(__xludf.DUMMYFUNCTION("""COMPUTED_VALUE"""),"vova_sann,  ")</f>
        <v xml:space="preserve">vova_sann,  </v>
      </c>
      <c r="B2140" s="14" t="str">
        <f ca="1">IFERROR(__xludf.DUMMYFUNCTION("""COMPUTED_VALUE"""),"vova_sann@mail.ru")</f>
        <v>vova_sann@mail.ru</v>
      </c>
      <c r="C2140" s="15"/>
      <c r="D2140" s="15" t="str">
        <f ca="1">IFERROR(__xludf.DUMMYFUNCTION("""COMPUTED_VALUE"""),"Россия")</f>
        <v>Россия</v>
      </c>
      <c r="E2140" s="14"/>
      <c r="F2140" s="8" t="str">
        <f ca="1">IFERROR(__xludf.DUMMYFUNCTION("""COMPUTED_VALUE"""),"- Базовая бесплатная часть")</f>
        <v>- Базовая бесплатная часть</v>
      </c>
      <c r="G2140" s="14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</row>
    <row r="2141" spans="1:26" ht="25.5">
      <c r="A2141" s="14" t="str">
        <f ca="1">IFERROR(__xludf.DUMMYFUNCTION("""COMPUTED_VALUE"""),"Алексей Соколов")</f>
        <v>Алексей Соколов</v>
      </c>
      <c r="B2141" s="14" t="str">
        <f ca="1">IFERROR(__xludf.DUMMYFUNCTION("""COMPUTED_VALUE"""),"vozduhru@yandex.ru")</f>
        <v>vozduhru@yandex.ru</v>
      </c>
      <c r="C2141" s="15" t="str">
        <f ca="1">IFERROR(__xludf.DUMMYFUNCTION("""COMPUTED_VALUE"""),"+79112333947")</f>
        <v>+79112333947</v>
      </c>
      <c r="D2141" s="15" t="str">
        <f ca="1">IFERROR(__xludf.DUMMYFUNCTION("""COMPUTED_VALUE"""),"Россия")</f>
        <v>Россия</v>
      </c>
      <c r="E2141" s="14"/>
      <c r="F2141" s="8" t="str">
        <f ca="1">IFERROR(__xludf.DUMMYFUNCTION("""COMPUTED_VALUE"""),"- Однодневный онлайн ретрит Россия 14 мая 2022
- Базовая бесплатная часть")</f>
        <v>- Однодневный онлайн ретрит Россия 14 мая 2022
- Базовая бесплатная часть</v>
      </c>
      <c r="G2141" s="14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</row>
    <row r="2142" spans="1:26" ht="14.25">
      <c r="A2142" s="14" t="str">
        <f ca="1">IFERROR(__xludf.DUMMYFUNCTION("""COMPUTED_VALUE"""),"vp.public1,  ")</f>
        <v xml:space="preserve">vp.public1,  </v>
      </c>
      <c r="B2142" s="14" t="str">
        <f ca="1">IFERROR(__xludf.DUMMYFUNCTION("""COMPUTED_VALUE"""),"vp.public1@gmail.com")</f>
        <v>vp.public1@gmail.com</v>
      </c>
      <c r="C2142" s="15"/>
      <c r="D2142" s="15"/>
      <c r="E2142" s="14"/>
      <c r="F2142" s="8" t="str">
        <f ca="1">IFERROR(__xludf.DUMMYFUNCTION("""COMPUTED_VALUE"""),"- USA Челлендж Тишина")</f>
        <v>- USA Челлендж Тишина</v>
      </c>
      <c r="G2142" s="14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</row>
    <row r="2143" spans="1:26" ht="14.25">
      <c r="A2143" s="14" t="str">
        <f ca="1">IFERROR(__xludf.DUMMYFUNCTION("""COMPUTED_VALUE"""),"Сергей Денисенко")</f>
        <v>Сергей Денисенко</v>
      </c>
      <c r="B2143" s="14" t="str">
        <f ca="1">IFERROR(__xludf.DUMMYFUNCTION("""COMPUTED_VALUE"""),"vpilin@list.ru")</f>
        <v>vpilin@list.ru</v>
      </c>
      <c r="C2143" s="15" t="str">
        <f ca="1">IFERROR(__xludf.DUMMYFUNCTION("""COMPUTED_VALUE"""),"79138390912")</f>
        <v>79138390912</v>
      </c>
      <c r="D2143" s="15" t="str">
        <f ca="1">IFERROR(__xludf.DUMMYFUNCTION("""COMPUTED_VALUE"""),"Россия")</f>
        <v>Россия</v>
      </c>
      <c r="E2143" s="14"/>
      <c r="F2143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2143" s="14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</row>
    <row r="2144" spans="1:26" ht="14.25">
      <c r="A2144" s="14" t="str">
        <f ca="1">IFERROR(__xludf.DUMMYFUNCTION("""COMPUTED_VALUE"""),"Валентина Рябова")</f>
        <v>Валентина Рябова</v>
      </c>
      <c r="B2144" s="14" t="str">
        <f ca="1">IFERROR(__xludf.DUMMYFUNCTION("""COMPUTED_VALUE"""),"vr-ms@yandex.ru")</f>
        <v>vr-ms@yandex.ru</v>
      </c>
      <c r="C2144" s="15" t="str">
        <f ca="1">IFERROR(__xludf.DUMMYFUNCTION("""COMPUTED_VALUE"""),"+79262880522")</f>
        <v>+79262880522</v>
      </c>
      <c r="D2144" s="15"/>
      <c r="E2144" s="14"/>
      <c r="F2144" s="8" t="str">
        <f ca="1">IFERROR(__xludf.DUMMYFUNCTION("""COMPUTED_VALUE"""),"- Тишина Челлендж (бесплатная часть)")</f>
        <v>- Тишина Челлендж (бесплатная часть)</v>
      </c>
      <c r="G2144" s="14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</row>
    <row r="2145" spans="1:26" ht="14.25">
      <c r="A2145" s="14" t="str">
        <f ca="1">IFERROR(__xludf.DUMMYFUNCTION("""COMPUTED_VALUE"""),"Светлана Покровская")</f>
        <v>Светлана Покровская</v>
      </c>
      <c r="B2145" s="14" t="str">
        <f ca="1">IFERROR(__xludf.DUMMYFUNCTION("""COMPUTED_VALUE"""),"vremya30@yandex.ru")</f>
        <v>vremya30@yandex.ru</v>
      </c>
      <c r="C2145" s="15" t="str">
        <f ca="1">IFERROR(__xludf.DUMMYFUNCTION("""COMPUTED_VALUE"""),"+79371301177")</f>
        <v>+79371301177</v>
      </c>
      <c r="D2145" s="15" t="str">
        <f ca="1">IFERROR(__xludf.DUMMYFUNCTION("""COMPUTED_VALUE"""),"Россия")</f>
        <v>Россия</v>
      </c>
      <c r="E2145" s="14"/>
      <c r="F2145" s="8" t="str">
        <f ca="1">IFERROR(__xludf.DUMMYFUNCTION("""COMPUTED_VALUE"""),"- Тишина Челлендж (бесплатная часть)")</f>
        <v>- Тишина Челлендж (бесплатная часть)</v>
      </c>
      <c r="G2145" s="14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</row>
    <row r="2146" spans="1:26" ht="14.25">
      <c r="A2146" s="14" t="str">
        <f ca="1">IFERROR(__xludf.DUMMYFUNCTION("""COMPUTED_VALUE"""),"Валентин Сорочинский")</f>
        <v>Валентин Сорочинский</v>
      </c>
      <c r="B2146" s="14" t="str">
        <f ca="1">IFERROR(__xludf.DUMMYFUNCTION("""COMPUTED_VALUE"""),"vsvalen@ukr.net")</f>
        <v>vsvalen@ukr.net</v>
      </c>
      <c r="C2146" s="15" t="str">
        <f ca="1">IFERROR(__xludf.DUMMYFUNCTION("""COMPUTED_VALUE"""),"+380504457747")</f>
        <v>+380504457747</v>
      </c>
      <c r="D2146" s="15" t="str">
        <f ca="1">IFERROR(__xludf.DUMMYFUNCTION("""COMPUTED_VALUE"""),"США")</f>
        <v>США</v>
      </c>
      <c r="E2146" s="14"/>
      <c r="F2146" s="8" t="str">
        <f ca="1">IFERROR(__xludf.DUMMYFUNCTION("""COMPUTED_VALUE"""),"- Вводный вебинар 3.5.22 на Шаг к Пробуждению")</f>
        <v>- Вводный вебинар 3.5.22 на Шаг к Пробуждению</v>
      </c>
      <c r="G2146" s="14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</row>
    <row r="2147" spans="1:26" ht="14.25">
      <c r="A2147" s="14" t="str">
        <f ca="1">IFERROR(__xludf.DUMMYFUNCTION("""COMPUTED_VALUE"""),"Vukoman Varagic")</f>
        <v>Vukoman Varagic</v>
      </c>
      <c r="B2147" s="14" t="str">
        <f ca="1">IFERROR(__xludf.DUMMYFUNCTION("""COMPUTED_VALUE"""),"vukoman8888@gmail.com")</f>
        <v>vukoman8888@gmail.com</v>
      </c>
      <c r="C2147" s="15" t="str">
        <f ca="1">IFERROR(__xludf.DUMMYFUNCTION("""COMPUTED_VALUE"""),"015175385568")</f>
        <v>015175385568</v>
      </c>
      <c r="D2147" s="15" t="str">
        <f ca="1">IFERROR(__xludf.DUMMYFUNCTION("""COMPUTED_VALUE"""),"Германия")</f>
        <v>Германия</v>
      </c>
      <c r="E2147" s="14"/>
      <c r="F2147" s="8" t="str">
        <f ca="1">IFERROR(__xludf.DUMMYFUNCTION("""COMPUTED_VALUE"""),"- Retreat, 14-21 Januar 2022, Bad Meinberg (550€)")</f>
        <v>- Retreat, 14-21 Januar 2022, Bad Meinberg (550€)</v>
      </c>
      <c r="G2147" s="14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</row>
    <row r="2148" spans="1:26" ht="76.5">
      <c r="A2148" s="14" t="str">
        <f ca="1">IFERROR(__xludf.DUMMYFUNCTION("""COMPUTED_VALUE"""),"Вероника Ворожбит")</f>
        <v>Вероника Ворожбит</v>
      </c>
      <c r="B2148" s="14" t="str">
        <f ca="1">IFERROR(__xludf.DUMMYFUNCTION("""COMPUTED_VALUE"""),"Vvorozhbit@yahoo.com")</f>
        <v>Vvorozhbit@yahoo.com</v>
      </c>
      <c r="C2148" s="15" t="str">
        <f ca="1">IFERROR(__xludf.DUMMYFUNCTION("""COMPUTED_VALUE"""),"+380503829000")</f>
        <v>+380503829000</v>
      </c>
      <c r="D2148" s="15" t="str">
        <f ca="1">IFERROR(__xludf.DUMMYFUNCTION("""COMPUTED_VALUE"""),"Украина")</f>
        <v>Украина</v>
      </c>
      <c r="E2148" s="14" t="str">
        <f ca="1">IFERROR(__xludf.DUMMYFUNCTION("""COMPUTED_VALUE"""),"nika_vysh")</f>
        <v>nika_vysh</v>
      </c>
      <c r="F2148" s="8" t="str">
        <f ca="1">IFERROR(__xludf.DUMMYFUNCTION("""COMPUTED_VALUE"""),"- Международный ретрит 14-21.1.2022 Украина (6500 Гривен) (оплата до 29.12.2021)
- Ретрит ""Проектная деятельность"" для участников ретритов
- Интенсив онлайн 11-13.02.2022
- Клуб пробуждения Друзья (2 уровень) - 1 месяц
- Заявка на звонок для курса ""Пар"&amp;"адентальная медитация""")</f>
        <v>- Международный ретрит 14-21.1.2022 Украина (6500 Гривен) (оплата до 29.12.2021)
- Ретрит "Проектная деятельность" для участников ретритов
- Интенсив онлайн 11-13.02.2022
- Клуб пробуждения Друзья (2 уровень) - 1 месяц
- Заявка на звонок для курса "Парадентальная медитация"</v>
      </c>
      <c r="G2148" s="14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</row>
    <row r="2149" spans="1:26" ht="14.25">
      <c r="A2149" s="14" t="str">
        <f ca="1">IFERROR(__xludf.DUMMYFUNCTION("""COMPUTED_VALUE"""),"Walerij Walerij Poleonow")</f>
        <v>Walerij Walerij Poleonow</v>
      </c>
      <c r="B2149" s="14" t="str">
        <f ca="1">IFERROR(__xludf.DUMMYFUNCTION("""COMPUTED_VALUE"""),"wampol379@gmail.com")</f>
        <v>wampol379@gmail.com</v>
      </c>
      <c r="C2149" s="15" t="str">
        <f ca="1">IFERROR(__xludf.DUMMYFUNCTION("""COMPUTED_VALUE"""),"+70133556799")</f>
        <v>+70133556799</v>
      </c>
      <c r="D2149" s="15" t="str">
        <f ca="1">IFERROR(__xludf.DUMMYFUNCTION("""COMPUTED_VALUE"""),"Germany")</f>
        <v>Germany</v>
      </c>
      <c r="E2149" s="14" t="str">
        <f ca="1">IFERROR(__xludf.DUMMYFUNCTION("""COMPUTED_VALUE"""),"Pole")</f>
        <v>Pole</v>
      </c>
      <c r="F2149" s="8" t="str">
        <f ca="1">IFERROR(__xludf.DUMMYFUNCTION("""COMPUTED_VALUE"""),"- Заявка на звонок для курса ""Парадентальная медитация""")</f>
        <v>- Заявка на звонок для курса "Парадентальная медитация"</v>
      </c>
      <c r="G2149" s="14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</row>
    <row r="2150" spans="1:26" ht="14.25">
      <c r="A2150" s="14" t="str">
        <f ca="1">IFERROR(__xludf.DUMMYFUNCTION("""COMPUTED_VALUE"""),"Ирина Варвус")</f>
        <v>Ирина Варвус</v>
      </c>
      <c r="B2150" s="14" t="str">
        <f ca="1">IFERROR(__xludf.DUMMYFUNCTION("""COMPUTED_VALUE"""),"warwusirina@mail.ru")</f>
        <v>warwusirina@mail.ru</v>
      </c>
      <c r="C2150" s="15" t="str">
        <f ca="1">IFERROR(__xludf.DUMMYFUNCTION("""COMPUTED_VALUE"""),"+79602455610")</f>
        <v>+79602455610</v>
      </c>
      <c r="D2150" s="15" t="str">
        <f ca="1">IFERROR(__xludf.DUMMYFUNCTION("""COMPUTED_VALUE"""),"Россия")</f>
        <v>Россия</v>
      </c>
      <c r="E2150" s="14"/>
      <c r="F2150" s="8" t="str">
        <f ca="1">IFERROR(__xludf.DUMMYFUNCTION("""COMPUTED_VALUE"""),"- Тишина Челлендж (бесплатная часть)")</f>
        <v>- Тишина Челлендж (бесплатная часть)</v>
      </c>
      <c r="G2150" s="14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</row>
    <row r="2151" spans="1:26" ht="14.25">
      <c r="A2151" s="14" t="str">
        <f ca="1">IFERROR(__xludf.DUMMYFUNCTION("""COMPUTED_VALUE"""),"testtest testtestovich")</f>
        <v>testtest testtestovich</v>
      </c>
      <c r="B2151" s="14" t="str">
        <f ca="1">IFERROR(__xludf.DUMMYFUNCTION("""COMPUTED_VALUE"""),"wasd@yandex.ru")</f>
        <v>wasd@yandex.ru</v>
      </c>
      <c r="C2151" s="15" t="str">
        <f ca="1">IFERROR(__xludf.DUMMYFUNCTION("""COMPUTED_VALUE"""),", +79147292828")</f>
        <v>, +79147292828</v>
      </c>
      <c r="D2151" s="15"/>
      <c r="E2151" s="14"/>
      <c r="F2151" s="8" t="str">
        <f ca="1">IFERROR(__xludf.DUMMYFUNCTION("""COMPUTED_VALUE"""),"Мероприятий не обнаружено")</f>
        <v>Мероприятий не обнаружено</v>
      </c>
      <c r="G2151" s="14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</row>
    <row r="2152" spans="1:26" ht="14.25">
      <c r="A2152" s="14" t="str">
        <f ca="1">IFERROR(__xludf.DUMMYFUNCTION("""COMPUTED_VALUE"""),"André Röthlisberger")</f>
        <v>André Röthlisberger</v>
      </c>
      <c r="B2152" s="14" t="str">
        <f ca="1">IFERROR(__xludf.DUMMYFUNCTION("""COMPUTED_VALUE"""),"wataneosnirvana@gmail.com")</f>
        <v>wataneosnirvana@gmail.com</v>
      </c>
      <c r="C2152" s="15" t="str">
        <f ca="1">IFERROR(__xludf.DUMMYFUNCTION("""COMPUTED_VALUE"""),"+41775103654")</f>
        <v>+41775103654</v>
      </c>
      <c r="D2152" s="15" t="str">
        <f ca="1">IFERROR(__xludf.DUMMYFUNCTION("""COMPUTED_VALUE"""),"Швейцария")</f>
        <v>Швейцария</v>
      </c>
      <c r="E2152" s="14"/>
      <c r="F2152" s="8" t="str">
        <f ca="1">IFERROR(__xludf.DUMMYFUNCTION("""COMPUTED_VALUE"""),"- Ретрит в Латвии 19-27.03.2022 DEU")</f>
        <v>- Ретрит в Латвии 19-27.03.2022 DEU</v>
      </c>
      <c r="G2152" s="14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</row>
    <row r="2153" spans="1:26" ht="14.25">
      <c r="A2153" s="14" t="str">
        <f ca="1">IFERROR(__xludf.DUMMYFUNCTION("""COMPUTED_VALUE"""),"Артур Хабибуллин")</f>
        <v>Артур Хабибуллин</v>
      </c>
      <c r="B2153" s="14" t="str">
        <f ca="1">IFERROR(__xludf.DUMMYFUNCTION("""COMPUTED_VALUE"""),"web.job.kod@gmail.com")</f>
        <v>web.job.kod@gmail.com</v>
      </c>
      <c r="C2153" s="15" t="str">
        <f ca="1">IFERROR(__xludf.DUMMYFUNCTION("""COMPUTED_VALUE"""),"79874861557")</f>
        <v>79874861557</v>
      </c>
      <c r="D2153" s="15" t="str">
        <f ca="1">IFERROR(__xludf.DUMMYFUNCTION("""COMPUTED_VALUE"""),"Россия")</f>
        <v>Россия</v>
      </c>
      <c r="E2153" s="14"/>
      <c r="F2153" s="8" t="str">
        <f ca="1">IFERROR(__xludf.DUMMYFUNCTION("""COMPUTED_VALUE"""),"- Тишина Челлендж (бесплатная часть)")</f>
        <v>- Тишина Челлендж (бесплатная часть)</v>
      </c>
      <c r="G2153" s="14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</row>
    <row r="2154" spans="1:26" ht="25.5">
      <c r="A2154" s="14" t="str">
        <f ca="1">IFERROR(__xludf.DUMMYFUNCTION("""COMPUTED_VALUE"""),"Саодат Хусанова")</f>
        <v>Саодат Хусанова</v>
      </c>
      <c r="B2154" s="14" t="str">
        <f ca="1">IFERROR(__xludf.DUMMYFUNCTION("""COMPUTED_VALUE"""),"welichita.sao@gmail.com")</f>
        <v>welichita.sao@gmail.com</v>
      </c>
      <c r="C2154" s="15" t="str">
        <f ca="1">IFERROR(__xludf.DUMMYFUNCTION("""COMPUTED_VALUE"""),"+998883525552")</f>
        <v>+998883525552</v>
      </c>
      <c r="D2154" s="15"/>
      <c r="E2154" s="14"/>
      <c r="F215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154" s="14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</row>
    <row r="2155" spans="1:26" ht="14.25">
      <c r="A2155" s="14" t="str">
        <f ca="1">IFERROR(__xludf.DUMMYFUNCTION("""COMPUTED_VALUE"""),"Внук Деда Хуана")</f>
        <v>Внук Деда Хуана</v>
      </c>
      <c r="B2155" s="14" t="str">
        <f ca="1">IFERROR(__xludf.DUMMYFUNCTION("""COMPUTED_VALUE"""),"wellcat@mail.ru")</f>
        <v>wellcat@mail.ru</v>
      </c>
      <c r="C2155" s="15" t="str">
        <f ca="1">IFERROR(__xludf.DUMMYFUNCTION("""COMPUTED_VALUE"""),", 79081740416")</f>
        <v>, 79081740416</v>
      </c>
      <c r="D2155" s="15" t="str">
        <f ca="1">IFERROR(__xludf.DUMMYFUNCTION("""COMPUTED_VALUE"""),"Россия")</f>
        <v>Россия</v>
      </c>
      <c r="E2155" s="14"/>
      <c r="F2155" s="8" t="str">
        <f ca="1">IFERROR(__xludf.DUMMYFUNCTION("""COMPUTED_VALUE"""),"Мероприятий не обнаружено")</f>
        <v>Мероприятий не обнаружено</v>
      </c>
      <c r="G2155" s="14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</row>
    <row r="2156" spans="1:26" ht="14.25">
      <c r="A2156" s="14" t="str">
        <f ca="1">IFERROR(__xludf.DUMMYFUNCTION("""COMPUTED_VALUE"""),"НАТАЛИ САРТС")</f>
        <v>НАТАЛИ САРТС</v>
      </c>
      <c r="B2156" s="14" t="str">
        <f ca="1">IFERROR(__xludf.DUMMYFUNCTION("""COMPUTED_VALUE"""),"wendy99@inbox.lv")</f>
        <v>wendy99@inbox.lv</v>
      </c>
      <c r="C2156" s="15" t="str">
        <f ca="1">IFERROR(__xludf.DUMMYFUNCTION("""COMPUTED_VALUE"""),"+353863622432")</f>
        <v>+353863622432</v>
      </c>
      <c r="D2156" s="15" t="str">
        <f ca="1">IFERROR(__xludf.DUMMYFUNCTION("""COMPUTED_VALUE"""),"Ireland")</f>
        <v>Ireland</v>
      </c>
      <c r="E2156" s="14" t="str">
        <f ca="1">IFERROR(__xludf.DUMMYFUNCTION("""COMPUTED_VALUE"""),"@sartanata")</f>
        <v>@sartanata</v>
      </c>
      <c r="F2156" s="8" t="str">
        <f ca="1">IFERROR(__xludf.DUMMYFUNCTION("""COMPUTED_VALUE"""),"- Клуб пробуждения Друзья (2 уровень) - 1 месяц")</f>
        <v>- Клуб пробуждения Друзья (2 уровень) - 1 месяц</v>
      </c>
      <c r="G2156" s="14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</row>
    <row r="2157" spans="1:26" ht="25.5">
      <c r="A2157" s="14" t="str">
        <f ca="1">IFERROR(__xludf.DUMMYFUNCTION("""COMPUTED_VALUE"""),"Гоги Джи")</f>
        <v>Гоги Джи</v>
      </c>
      <c r="B2157" s="14" t="str">
        <f ca="1">IFERROR(__xludf.DUMMYFUNCTION("""COMPUTED_VALUE"""),"Westgoha1992@mail.ru")</f>
        <v>Westgoha1992@mail.ru</v>
      </c>
      <c r="C2157" s="15" t="str">
        <f ca="1">IFERROR(__xludf.DUMMYFUNCTION("""COMPUTED_VALUE"""),"+77013700250")</f>
        <v>+77013700250</v>
      </c>
      <c r="D2157" s="15"/>
      <c r="E2157" s="14"/>
      <c r="F215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157" s="14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</row>
    <row r="2158" spans="1:26" ht="14.25">
      <c r="A2158" s="14" t="str">
        <f ca="1">IFERROR(__xludf.DUMMYFUNCTION("""COMPUTED_VALUE"""),"Дмитрий Зерко")</f>
        <v>Дмитрий Зерко</v>
      </c>
      <c r="B2158" s="14" t="str">
        <f ca="1">IFERROR(__xludf.DUMMYFUNCTION("""COMPUTED_VALUE"""),"wingoals@mail.ru")</f>
        <v>wingoals@mail.ru</v>
      </c>
      <c r="C2158" s="15" t="str">
        <f ca="1">IFERROR(__xludf.DUMMYFUNCTION("""COMPUTED_VALUE"""),"+79996453795")</f>
        <v>+79996453795</v>
      </c>
      <c r="D2158" s="15" t="str">
        <f ca="1">IFERROR(__xludf.DUMMYFUNCTION("""COMPUTED_VALUE"""),"Россия")</f>
        <v>Россия</v>
      </c>
      <c r="E2158" s="14"/>
      <c r="F2158" s="8" t="str">
        <f ca="1">IFERROR(__xludf.DUMMYFUNCTION("""COMPUTED_VALUE"""),"- Городской ретрит Москва 18-20.02.2022")</f>
        <v>- Городской ретрит Москва 18-20.02.2022</v>
      </c>
      <c r="G2158" s="14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</row>
    <row r="2159" spans="1:26" ht="14.25">
      <c r="A2159" s="14" t="str">
        <f ca="1">IFERROR(__xludf.DUMMYFUNCTION("""COMPUTED_VALUE"""),"Андрей Мельниченко")</f>
        <v>Андрей Мельниченко</v>
      </c>
      <c r="B2159" s="14" t="str">
        <f ca="1">IFERROR(__xludf.DUMMYFUNCTION("""COMPUTED_VALUE"""),"winstonn@mail.ru")</f>
        <v>winstonn@mail.ru</v>
      </c>
      <c r="C2159" s="15" t="str">
        <f ca="1">IFERROR(__xludf.DUMMYFUNCTION("""COMPUTED_VALUE"""),"79633605903")</f>
        <v>79633605903</v>
      </c>
      <c r="D2159" s="15" t="str">
        <f ca="1">IFERROR(__xludf.DUMMYFUNCTION("""COMPUTED_VALUE"""),"Россия")</f>
        <v>Россия</v>
      </c>
      <c r="E2159" s="14"/>
      <c r="F2159" s="8" t="str">
        <f ca="1">IFERROR(__xludf.DUMMYFUNCTION("""COMPUTED_VALUE"""),"- Онлайн курс Шаг к Пробуждению №14 4.12 по 14.12")</f>
        <v>- Онлайн курс Шаг к Пробуждению №14 4.12 по 14.12</v>
      </c>
      <c r="G2159" s="14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</row>
    <row r="2160" spans="1:26" ht="14.25">
      <c r="A2160" s="14" t="str">
        <f ca="1">IFERROR(__xludf.DUMMYFUNCTION("""COMPUTED_VALUE"""),"Владислав Лысюк")</f>
        <v>Владислав Лысюк</v>
      </c>
      <c r="B2160" s="14" t="str">
        <f ca="1">IFERROR(__xludf.DUMMYFUNCTION("""COMPUTED_VALUE"""),"wladis201@gmail.com")</f>
        <v>wladis201@gmail.com</v>
      </c>
      <c r="C2160" s="15" t="str">
        <f ca="1">IFERROR(__xludf.DUMMYFUNCTION("""COMPUTED_VALUE"""),"+375295942893")</f>
        <v>+375295942893</v>
      </c>
      <c r="D2160" s="15" t="str">
        <f ca="1">IFERROR(__xludf.DUMMYFUNCTION("""COMPUTED_VALUE"""),"Беларусь")</f>
        <v>Беларусь</v>
      </c>
      <c r="E2160" s="14"/>
      <c r="F2160" s="8" t="str">
        <f ca="1">IFERROR(__xludf.DUMMYFUNCTION("""COMPUTED_VALUE"""),"- Чайная встреча Разговор по душам Минск 9.04.2022")</f>
        <v>- Чайная встреча Разговор по душам Минск 9.04.2022</v>
      </c>
      <c r="G2160" s="14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</row>
    <row r="2161" spans="1:26" ht="14.25">
      <c r="A2161" s="14" t="str">
        <f ca="1">IFERROR(__xludf.DUMMYFUNCTION("""COMPUTED_VALUE"""),"Галина Войткевич")</f>
        <v>Галина Войткевич</v>
      </c>
      <c r="B2161" s="14" t="str">
        <f ca="1">IFERROR(__xludf.DUMMYFUNCTION("""COMPUTED_VALUE"""),"woydi@list.ru")</f>
        <v>woydi@list.ru</v>
      </c>
      <c r="C2161" s="15" t="str">
        <f ca="1">IFERROR(__xludf.DUMMYFUNCTION("""COMPUTED_VALUE"""),"+79031170174")</f>
        <v>+79031170174</v>
      </c>
      <c r="D2161" s="15" t="str">
        <f ca="1">IFERROR(__xludf.DUMMYFUNCTION("""COMPUTED_VALUE"""),"Россия")</f>
        <v>Россия</v>
      </c>
      <c r="E2161" s="14"/>
      <c r="F2161" s="8" t="str">
        <f ca="1">IFERROR(__xludf.DUMMYFUNCTION("""COMPUTED_VALUE"""),"- Новогодний Интенсив Алматы-онлайн 17-19.12.2021")</f>
        <v>- Новогодний Интенсив Алматы-онлайн 17-19.12.2021</v>
      </c>
      <c r="G2161" s="14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</row>
    <row r="2162" spans="1:26" ht="25.5">
      <c r="A2162" s="14" t="str">
        <f ca="1">IFERROR(__xludf.DUMMYFUNCTION("""COMPUTED_VALUE"""),"нина Яковлева")</f>
        <v>нина Яковлева</v>
      </c>
      <c r="B2162" s="14" t="str">
        <f ca="1">IFERROR(__xludf.DUMMYFUNCTION("""COMPUTED_VALUE"""),"wryipadgjl2019@mail.ru")</f>
        <v>wryipadgjl2019@mail.ru</v>
      </c>
      <c r="C2162" s="15" t="str">
        <f ca="1">IFERROR(__xludf.DUMMYFUNCTION("""COMPUTED_VALUE"""),"79538969137")</f>
        <v>79538969137</v>
      </c>
      <c r="D2162" s="15" t="str">
        <f ca="1">IFERROR(__xludf.DUMMYFUNCTION("""COMPUTED_VALUE"""),"Россия")</f>
        <v>Россия</v>
      </c>
      <c r="E2162" s="14"/>
      <c r="F216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162" s="14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</row>
    <row r="2163" spans="1:26" ht="25.5">
      <c r="A2163" s="14" t="str">
        <f ca="1">IFERROR(__xludf.DUMMYFUNCTION("""COMPUTED_VALUE"""),"Малика Таджибаева")</f>
        <v>Малика Таджибаева</v>
      </c>
      <c r="B2163" s="14" t="str">
        <f ca="1">IFERROR(__xludf.DUMMYFUNCTION("""COMPUTED_VALUE"""),"www.malikatadjivbaeva@gmail.com")</f>
        <v>www.malikatadjivbaeva@gmail.com</v>
      </c>
      <c r="C2163" s="15" t="str">
        <f ca="1">IFERROR(__xludf.DUMMYFUNCTION("""COMPUTED_VALUE"""),"+998900341693")</f>
        <v>+998900341693</v>
      </c>
      <c r="D2163" s="15"/>
      <c r="E2163" s="14"/>
      <c r="F216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163" s="14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</row>
    <row r="2164" spans="1:26" ht="25.5">
      <c r="A2164" s="14" t="str">
        <f ca="1">IFERROR(__xludf.DUMMYFUNCTION("""COMPUTED_VALUE"""),"Феруза Кадирова")</f>
        <v>Феруза Кадирова</v>
      </c>
      <c r="B2164" s="14" t="str">
        <f ca="1">IFERROR(__xludf.DUMMYFUNCTION("""COMPUTED_VALUE"""),"www.master209@gmail.com")</f>
        <v>www.master209@gmail.com</v>
      </c>
      <c r="C2164" s="15" t="str">
        <f ca="1">IFERROR(__xludf.DUMMYFUNCTION("""COMPUTED_VALUE"""),"994899680")</f>
        <v>994899680</v>
      </c>
      <c r="D2164" s="15"/>
      <c r="E2164" s="14"/>
      <c r="F216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164" s="14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</row>
    <row r="2165" spans="1:26" ht="14.25">
      <c r="A2165" s="14" t="str">
        <f ca="1">IFERROR(__xludf.DUMMYFUNCTION("""COMPUTED_VALUE"""),"Антуан Дибан")</f>
        <v>Антуан Дибан</v>
      </c>
      <c r="B2165" s="14" t="str">
        <f ca="1">IFERROR(__xludf.DUMMYFUNCTION("""COMPUTED_VALUE"""),"wwwantuandiban@gmail.com")</f>
        <v>wwwantuandiban@gmail.com</v>
      </c>
      <c r="C2165" s="15" t="str">
        <f ca="1">IFERROR(__xludf.DUMMYFUNCTION("""COMPUTED_VALUE"""),"+79182718827")</f>
        <v>+79182718827</v>
      </c>
      <c r="D2165" s="15" t="str">
        <f ca="1">IFERROR(__xludf.DUMMYFUNCTION("""COMPUTED_VALUE"""),"Россия")</f>
        <v>Россия</v>
      </c>
      <c r="E2165" s="14" t="str">
        <f ca="1">IFERROR(__xludf.DUMMYFUNCTION("""COMPUTED_VALUE"""),"+79676577020")</f>
        <v>+79676577020</v>
      </c>
      <c r="F2165" s="8" t="str">
        <f ca="1">IFERROR(__xludf.DUMMYFUNCTION("""COMPUTED_VALUE"""),"- Практика тишины в Краснодаре 26.12.21")</f>
        <v>- Практика тишины в Краснодаре 26.12.21</v>
      </c>
      <c r="G2165" s="14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</row>
    <row r="2166" spans="1:26" ht="25.5">
      <c r="A2166" s="14" t="str">
        <f ca="1">IFERROR(__xludf.DUMMYFUNCTION("""COMPUTED_VALUE"""),"Ирина Герасименко")</f>
        <v>Ирина Герасименко</v>
      </c>
      <c r="B2166" s="14" t="str">
        <f ca="1">IFERROR(__xludf.DUMMYFUNCTION("""COMPUTED_VALUE"""),"x0982672268@gmail.com")</f>
        <v>x0982672268@gmail.com</v>
      </c>
      <c r="C2166" s="15" t="str">
        <f ca="1">IFERROR(__xludf.DUMMYFUNCTION("""COMPUTED_VALUE"""),"+380982672268")</f>
        <v>+380982672268</v>
      </c>
      <c r="D2166" s="15"/>
      <c r="E2166" s="14"/>
      <c r="F2166" s="8" t="str">
        <f ca="1">IFERROR(__xludf.DUMMYFUNCTION("""COMPUTED_VALUE"""),"- Онлайн курс Шаг к Пробуждению №17 2-19.4.22 Пакет стандартный")</f>
        <v>- Онлайн курс Шаг к Пробуждению №17 2-19.4.22 Пакет стандартный</v>
      </c>
      <c r="G2166" s="14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</row>
    <row r="2167" spans="1:26" ht="25.5">
      <c r="A2167" s="14" t="str">
        <f ca="1">IFERROR(__xludf.DUMMYFUNCTION("""COMPUTED_VALUE"""),"Халида Сатканова")</f>
        <v>Халида Сатканова</v>
      </c>
      <c r="B2167" s="14" t="str">
        <f ca="1">IFERROR(__xludf.DUMMYFUNCTION("""COMPUTED_VALUE"""),"Xalida.satkanova.85@mail.ru")</f>
        <v>Xalida.satkanova.85@mail.ru</v>
      </c>
      <c r="C2167" s="15" t="str">
        <f ca="1">IFERROR(__xludf.DUMMYFUNCTION("""COMPUTED_VALUE"""),"77475746433")</f>
        <v>77475746433</v>
      </c>
      <c r="D2167" s="15"/>
      <c r="E2167" s="14"/>
      <c r="F2167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167" s="14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</row>
    <row r="2168" spans="1:26" ht="14.25">
      <c r="A2168" s="14" t="str">
        <f ca="1">IFERROR(__xludf.DUMMYFUNCTION("""COMPUTED_VALUE"""),"Павел Стихин")</f>
        <v>Павел Стихин</v>
      </c>
      <c r="B2168" s="14" t="str">
        <f ca="1">IFERROR(__xludf.DUMMYFUNCTION("""COMPUTED_VALUE"""),"xaos.zmei@mail.ru")</f>
        <v>xaos.zmei@mail.ru</v>
      </c>
      <c r="C2168" s="15" t="str">
        <f ca="1">IFERROR(__xludf.DUMMYFUNCTION("""COMPUTED_VALUE"""),"79911131933")</f>
        <v>79911131933</v>
      </c>
      <c r="D2168" s="15" t="str">
        <f ca="1">IFERROR(__xludf.DUMMYFUNCTION("""COMPUTED_VALUE"""),"Россия")</f>
        <v>Россия</v>
      </c>
      <c r="E2168" s="14"/>
      <c r="F2168" s="8" t="str">
        <f ca="1">IFERROR(__xludf.DUMMYFUNCTION("""COMPUTED_VALUE"""),"- Тишина Челлендж (бесплатная часть)")</f>
        <v>- Тишина Челлендж (бесплатная часть)</v>
      </c>
      <c r="G2168" s="14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</row>
    <row r="2169" spans="1:26" ht="25.5">
      <c r="A2169" s="14" t="str">
        <f ca="1">IFERROR(__xludf.DUMMYFUNCTION("""COMPUTED_VALUE"""),"Марина Буянова")</f>
        <v>Марина Буянова</v>
      </c>
      <c r="B2169" s="14" t="str">
        <f ca="1">IFERROR(__xludf.DUMMYFUNCTION("""COMPUTED_VALUE"""),"xasanovamarina@gmail.com")</f>
        <v>xasanovamarina@gmail.com</v>
      </c>
      <c r="C2169" s="15" t="str">
        <f ca="1">IFERROR(__xludf.DUMMYFUNCTION("""COMPUTED_VALUE"""),"+998979241151")</f>
        <v>+998979241151</v>
      </c>
      <c r="D2169" s="15"/>
      <c r="E2169" s="14"/>
      <c r="F216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169" s="14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</row>
    <row r="2170" spans="1:26" ht="25.5">
      <c r="A2170" s="14" t="str">
        <f ca="1">IFERROR(__xludf.DUMMYFUNCTION("""COMPUTED_VALUE"""),"Даврон Хайруллаев")</f>
        <v>Даврон Хайруллаев</v>
      </c>
      <c r="B2170" s="14" t="str">
        <f ca="1">IFERROR(__xludf.DUMMYFUNCTION("""COMPUTED_VALUE"""),"xayrullayevd@yahoo.com")</f>
        <v>xayrullayevd@yahoo.com</v>
      </c>
      <c r="C2170" s="15" t="str">
        <f ca="1">IFERROR(__xludf.DUMMYFUNCTION("""COMPUTED_VALUE"""),"+998946485651")</f>
        <v>+998946485651</v>
      </c>
      <c r="D2170" s="15"/>
      <c r="E2170" s="14"/>
      <c r="F217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170" s="14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</row>
    <row r="2171" spans="1:26" ht="14.25">
      <c r="A2171" s="14" t="str">
        <f ca="1">IFERROR(__xludf.DUMMYFUNCTION("""COMPUTED_VALUE"""),"Xenia Alex")</f>
        <v>Xenia Alex</v>
      </c>
      <c r="B2171" s="14" t="str">
        <f ca="1">IFERROR(__xludf.DUMMYFUNCTION("""COMPUTED_VALUE"""),"xenia.alex@inbox.ru")</f>
        <v>xenia.alex@inbox.ru</v>
      </c>
      <c r="C2171" s="15"/>
      <c r="D2171" s="15" t="str">
        <f ca="1">IFERROR(__xludf.DUMMYFUNCTION("""COMPUTED_VALUE"""),"Швеция")</f>
        <v>Швеция</v>
      </c>
      <c r="E2171" s="14"/>
      <c r="F2171" s="8" t="str">
        <f ca="1">IFERROR(__xludf.DUMMYFUNCTION("""COMPUTED_VALUE"""),"- Тишина Челлендж (бесплатная часть)")</f>
        <v>- Тишина Челлендж (бесплатная часть)</v>
      </c>
      <c r="G2171" s="14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</row>
    <row r="2172" spans="1:26" ht="14.25">
      <c r="A2172" s="14" t="str">
        <f ca="1">IFERROR(__xludf.DUMMYFUNCTION("""COMPUTED_VALUE"""),"Ксения Гладких")</f>
        <v>Ксения Гладких</v>
      </c>
      <c r="B2172" s="14" t="str">
        <f ca="1">IFERROR(__xludf.DUMMYFUNCTION("""COMPUTED_VALUE"""),"Xenija243@ukr.net")</f>
        <v>Xenija243@ukr.net</v>
      </c>
      <c r="C2172" s="15" t="str">
        <f ca="1">IFERROR(__xludf.DUMMYFUNCTION("""COMPUTED_VALUE"""),"+491712833750")</f>
        <v>+491712833750</v>
      </c>
      <c r="D2172" s="15" t="str">
        <f ca="1">IFERROR(__xludf.DUMMYFUNCTION("""COMPUTED_VALUE"""),"Германия")</f>
        <v>Германия</v>
      </c>
      <c r="E2172" s="14"/>
      <c r="F2172" s="8" t="str">
        <f ca="1">IFERROR(__xludf.DUMMYFUNCTION("""COMPUTED_VALUE"""),"- Ретрит в Германии 30 апреля-7 мая 2022")</f>
        <v>- Ретрит в Германии 30 апреля-7 мая 2022</v>
      </c>
      <c r="G2172" s="14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</row>
    <row r="2173" spans="1:26" ht="38.25">
      <c r="A2173" s="14" t="str">
        <f ca="1">IFERROR(__xludf.DUMMYFUNCTION("""COMPUTED_VALUE"""),"Евгений Евгений")</f>
        <v>Евгений Евгений</v>
      </c>
      <c r="B2173" s="14" t="str">
        <f ca="1">IFERROR(__xludf.DUMMYFUNCTION("""COMPUTED_VALUE"""),"Xooponopono108@gmail.com")</f>
        <v>Xooponopono108@gmail.com</v>
      </c>
      <c r="C2173" s="15" t="str">
        <f ca="1">IFERROR(__xludf.DUMMYFUNCTION("""COMPUTED_VALUE"""),"+380670082774")</f>
        <v>+380670082774</v>
      </c>
      <c r="D2173" s="15"/>
      <c r="E2173" s="14"/>
      <c r="F2173" s="8" t="str">
        <f ca="1">IFERROR(__xludf.DUMMYFUNCTION("""COMPUTED_VALUE"""),"- Международный ретрит 14-21.1.2022 Украина (6500 Гривен) (оплата до 29.12.2021)
- Ретрит ""Проектная деятельность"" для участников ретритов")</f>
        <v>- Международный ретрит 14-21.1.2022 Украина (6500 Гривен) (оплата до 29.12.2021)
- Ретрит "Проектная деятельность" для участников ретритов</v>
      </c>
      <c r="G2173" s="14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</row>
    <row r="2174" spans="1:26" ht="25.5">
      <c r="A2174" s="14" t="str">
        <f ca="1">IFERROR(__xludf.DUMMYFUNCTION("""COMPUTED_VALUE"""),"Хусанбек Кучкаров")</f>
        <v>Хусанбек Кучкаров</v>
      </c>
      <c r="B2174" s="14" t="str">
        <f ca="1">IFERROR(__xludf.DUMMYFUNCTION("""COMPUTED_VALUE"""),"Xusanbekuchkarov1000@gmail.com")</f>
        <v>Xusanbekuchkarov1000@gmail.com</v>
      </c>
      <c r="C2174" s="15" t="str">
        <f ca="1">IFERROR(__xludf.DUMMYFUNCTION("""COMPUTED_VALUE"""),"+998970021000")</f>
        <v>+998970021000</v>
      </c>
      <c r="D2174" s="15"/>
      <c r="E2174" s="14"/>
      <c r="F217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174" s="14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</row>
    <row r="2175" spans="1:26" ht="25.5">
      <c r="A2175" s="14" t="str">
        <f ca="1">IFERROR(__xludf.DUMMYFUNCTION("""COMPUTED_VALUE"""),"алишер усманов")</f>
        <v>алишер усманов</v>
      </c>
      <c r="B2175" s="14" t="str">
        <f ca="1">IFERROR(__xludf.DUMMYFUNCTION("""COMPUTED_VALUE"""),"xusantoy2016@gmail.com")</f>
        <v>xusantoy2016@gmail.com</v>
      </c>
      <c r="C2175" s="15" t="str">
        <f ca="1">IFERROR(__xludf.DUMMYFUNCTION("""COMPUTED_VALUE"""),"+79205010302")</f>
        <v>+79205010302</v>
      </c>
      <c r="D2175" s="15"/>
      <c r="E2175" s="14"/>
      <c r="F217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175" s="14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</row>
    <row r="2176" spans="1:26" ht="14.25">
      <c r="A2176" s="14" t="str">
        <f ca="1">IFERROR(__xludf.DUMMYFUNCTION("""COMPUTED_VALUE"""),"Юлия Новожилова")</f>
        <v>Юлия Новожилова</v>
      </c>
      <c r="B2176" s="14" t="str">
        <f ca="1">IFERROR(__xludf.DUMMYFUNCTION("""COMPUTED_VALUE"""),"y_knopka22@list.ru")</f>
        <v>y_knopka22@list.ru</v>
      </c>
      <c r="C2176" s="15" t="str">
        <f ca="1">IFERROR(__xludf.DUMMYFUNCTION("""COMPUTED_VALUE"""),"79151666161")</f>
        <v>79151666161</v>
      </c>
      <c r="D2176" s="15" t="str">
        <f ca="1">IFERROR(__xludf.DUMMYFUNCTION("""COMPUTED_VALUE"""),"Россия")</f>
        <v>Россия</v>
      </c>
      <c r="E2176" s="14"/>
      <c r="F2176" s="8" t="str">
        <f ca="1">IFERROR(__xludf.DUMMYFUNCTION("""COMPUTED_VALUE"""),"- Погружение 2.0 ""Пакет Базовый"" 15.01 - 06.02.2022 (поток 3)")</f>
        <v>- Погружение 2.0 "Пакет Базовый" 15.01 - 06.02.2022 (поток 3)</v>
      </c>
      <c r="G2176" s="14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</row>
    <row r="2177" spans="1:26" ht="14.25">
      <c r="A2177" s="14" t="str">
        <f ca="1">IFERROR(__xludf.DUMMYFUNCTION("""COMPUTED_VALUE"""),"Юлия Тонева")</f>
        <v>Юлия Тонева</v>
      </c>
      <c r="B2177" s="14" t="str">
        <f ca="1">IFERROR(__xludf.DUMMYFUNCTION("""COMPUTED_VALUE"""),"y_toneva@mail.ru")</f>
        <v>y_toneva@mail.ru</v>
      </c>
      <c r="C2177" s="15" t="str">
        <f ca="1">IFERROR(__xludf.DUMMYFUNCTION("""COMPUTED_VALUE"""),"79613141930")</f>
        <v>79613141930</v>
      </c>
      <c r="D2177" s="15" t="str">
        <f ca="1">IFERROR(__xludf.DUMMYFUNCTION("""COMPUTED_VALUE"""),"Россия")</f>
        <v>Россия</v>
      </c>
      <c r="E2177" s="14"/>
      <c r="F2177" s="8" t="str">
        <f ca="1">IFERROR(__xludf.DUMMYFUNCTION("""COMPUTED_VALUE"""),"- Тишина Челлендж (бесплатная часть)")</f>
        <v>- Тишина Челлендж (бесплатная часть)</v>
      </c>
      <c r="G2177" s="14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</row>
    <row r="2178" spans="1:26" ht="14.25">
      <c r="A2178" s="14" t="str">
        <f ca="1">IFERROR(__xludf.DUMMYFUNCTION("""COMPUTED_VALUE"""),"Юлия Стрельникова")</f>
        <v>Юлия Стрельникова</v>
      </c>
      <c r="B2178" s="14" t="str">
        <f ca="1">IFERROR(__xludf.DUMMYFUNCTION("""COMPUTED_VALUE"""),"y.s.desing@mail.ru")</f>
        <v>y.s.desing@mail.ru</v>
      </c>
      <c r="C2178" s="15" t="str">
        <f ca="1">IFERROR(__xludf.DUMMYFUNCTION("""COMPUTED_VALUE"""),", +79181950098")</f>
        <v>, +79181950098</v>
      </c>
      <c r="D2178" s="15" t="str">
        <f ca="1">IFERROR(__xludf.DUMMYFUNCTION("""COMPUTED_VALUE"""),"Россия")</f>
        <v>Россия</v>
      </c>
      <c r="E2178" s="14" t="str">
        <f ca="1">IFERROR(__xludf.DUMMYFUNCTION("""COMPUTED_VALUE"""),"@strelnikova_yuliya")</f>
        <v>@strelnikova_yuliya</v>
      </c>
      <c r="F2178" s="8" t="str">
        <f ca="1">IFERROR(__xludf.DUMMYFUNCTION("""COMPUTED_VALUE"""),"Мероприятий не обнаружено")</f>
        <v>Мероприятий не обнаружено</v>
      </c>
      <c r="G2178" s="14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</row>
    <row r="2179" spans="1:26" ht="14.25">
      <c r="A2179" s="14" t="str">
        <f ca="1">IFERROR(__xludf.DUMMYFUNCTION("""COMPUTED_VALUE""")," ")</f>
        <v xml:space="preserve"> </v>
      </c>
      <c r="B2179" s="14" t="str">
        <f ca="1">IFERROR(__xludf.DUMMYFUNCTION("""COMPUTED_VALUE"""),"ya.pulkesha@yandex.ru")</f>
        <v>ya.pulkesha@yandex.ru</v>
      </c>
      <c r="C2179" s="15"/>
      <c r="D2179" s="15" t="str">
        <f ca="1">IFERROR(__xludf.DUMMYFUNCTION("""COMPUTED_VALUE"""),"Россия")</f>
        <v>Россия</v>
      </c>
      <c r="E2179" s="14"/>
      <c r="F2179" s="8" t="str">
        <f ca="1">IFERROR(__xludf.DUMMYFUNCTION("""COMPUTED_VALUE"""),"Мероприятий не обнаружено")</f>
        <v>Мероприятий не обнаружено</v>
      </c>
      <c r="G2179" s="14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</row>
    <row r="2180" spans="1:26" ht="25.5">
      <c r="A2180" s="14" t="str">
        <f ca="1">IFERROR(__xludf.DUMMYFUNCTION("""COMPUTED_VALUE"""),"Акмаль Хасанов")</f>
        <v>Акмаль Хасанов</v>
      </c>
      <c r="B2180" s="14" t="str">
        <f ca="1">IFERROR(__xludf.DUMMYFUNCTION("""COMPUTED_VALUE"""),"ya.waisbein@ya.ru")</f>
        <v>ya.waisbein@ya.ru</v>
      </c>
      <c r="C2180" s="15" t="str">
        <f ca="1">IFERROR(__xludf.DUMMYFUNCTION("""COMPUTED_VALUE"""),"+998901873213")</f>
        <v>+998901873213</v>
      </c>
      <c r="D2180" s="15"/>
      <c r="E2180" s="14"/>
      <c r="F218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180" s="14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</row>
    <row r="2181" spans="1:26" ht="25.5">
      <c r="A2181" s="14" t="str">
        <f ca="1">IFERROR(__xludf.DUMMYFUNCTION("""COMPUTED_VALUE"""),"Dildora Yahyoeva")</f>
        <v>Dildora Yahyoeva</v>
      </c>
      <c r="B2181" s="14" t="str">
        <f ca="1">IFERROR(__xludf.DUMMYFUNCTION("""COMPUTED_VALUE"""),"yahyodilya@gmail.com")</f>
        <v>yahyodilya@gmail.com</v>
      </c>
      <c r="C2181" s="15" t="str">
        <f ca="1">IFERROR(__xludf.DUMMYFUNCTION("""COMPUTED_VALUE"""),"909876654")</f>
        <v>909876654</v>
      </c>
      <c r="D2181" s="15"/>
      <c r="E2181" s="14"/>
      <c r="F218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181" s="14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</row>
    <row r="2182" spans="1:26" ht="14.25">
      <c r="A2182" s="14" t="str">
        <f ca="1">IFERROR(__xludf.DUMMYFUNCTION("""COMPUTED_VALUE"""),"yakimova_luda,  ")</f>
        <v xml:space="preserve">yakimova_luda,  </v>
      </c>
      <c r="B2182" s="14" t="str">
        <f ca="1">IFERROR(__xludf.DUMMYFUNCTION("""COMPUTED_VALUE"""),"yakimova_luda@yahoo.com")</f>
        <v>yakimova_luda@yahoo.com</v>
      </c>
      <c r="C2182" s="15"/>
      <c r="D2182" s="15"/>
      <c r="E2182" s="14"/>
      <c r="F2182" s="8" t="str">
        <f ca="1">IFERROR(__xludf.DUMMYFUNCTION("""COMPUTED_VALUE"""),"- USA Челлендж Тишина")</f>
        <v>- USA Челлендж Тишина</v>
      </c>
      <c r="G2182" s="14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</row>
    <row r="2183" spans="1:26" ht="14.25">
      <c r="A2183" s="14" t="str">
        <f ca="1">IFERROR(__xludf.DUMMYFUNCTION("""COMPUTED_VALUE"""),"Алекс Иванов")</f>
        <v>Алекс Иванов</v>
      </c>
      <c r="B2183" s="14" t="str">
        <f ca="1">IFERROR(__xludf.DUMMYFUNCTION("""COMPUTED_VALUE"""),"yakkima04@mail.ru")</f>
        <v>yakkima04@mail.ru</v>
      </c>
      <c r="C2183" s="15" t="str">
        <f ca="1">IFERROR(__xludf.DUMMYFUNCTION("""COMPUTED_VALUE"""),"+79654574957")</f>
        <v>+79654574957</v>
      </c>
      <c r="D2183" s="15" t="str">
        <f ca="1">IFERROR(__xludf.DUMMYFUNCTION("""COMPUTED_VALUE"""),"Россия")</f>
        <v>Россия</v>
      </c>
      <c r="E2183" s="14"/>
      <c r="F2183" s="8" t="str">
        <f ca="1">IFERROR(__xludf.DUMMYFUNCTION("""COMPUTED_VALUE"""),"- Тишина Челлендж (бесплатная часть)")</f>
        <v>- Тишина Челлендж (бесплатная часть)</v>
      </c>
      <c r="G2183" s="14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</row>
    <row r="2184" spans="1:26" ht="14.25">
      <c r="A2184" s="14" t="str">
        <f ca="1">IFERROR(__xludf.DUMMYFUNCTION("""COMPUTED_VALUE"""),"Яна Долгачёва")</f>
        <v>Яна Долгачёва</v>
      </c>
      <c r="B2184" s="14" t="str">
        <f ca="1">IFERROR(__xludf.DUMMYFUNCTION("""COMPUTED_VALUE"""),"yana1567dolgacheva@outlook.com")</f>
        <v>yana1567dolgacheva@outlook.com</v>
      </c>
      <c r="C2184" s="15" t="str">
        <f ca="1">IFERROR(__xludf.DUMMYFUNCTION("""COMPUTED_VALUE"""),", +375296674044")</f>
        <v>, +375296674044</v>
      </c>
      <c r="D2184" s="15" t="str">
        <f ca="1">IFERROR(__xludf.DUMMYFUNCTION("""COMPUTED_VALUE"""),"Беларусь")</f>
        <v>Беларусь</v>
      </c>
      <c r="E2184" s="14"/>
      <c r="F2184" s="8" t="str">
        <f ca="1">IFERROR(__xludf.DUMMYFUNCTION("""COMPUTED_VALUE"""),"Мероприятий не обнаружено")</f>
        <v>Мероприятий не обнаружено</v>
      </c>
      <c r="G2184" s="14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</row>
    <row r="2185" spans="1:26" ht="14.25">
      <c r="A2185" s="14" t="str">
        <f ca="1">IFERROR(__xludf.DUMMYFUNCTION("""COMPUTED_VALUE"""),"Ярослав Терехов")</f>
        <v>Ярослав Терехов</v>
      </c>
      <c r="B2185" s="14" t="str">
        <f ca="1">IFERROR(__xludf.DUMMYFUNCTION("""COMPUTED_VALUE"""),"yaroslav.terehov22.gmail.com@mail.ru")</f>
        <v>yaroslav.terehov22.gmail.com@mail.ru</v>
      </c>
      <c r="C2185" s="15"/>
      <c r="D2185" s="15" t="str">
        <f ca="1">IFERROR(__xludf.DUMMYFUNCTION("""COMPUTED_VALUE"""),"Россия")</f>
        <v>Россия</v>
      </c>
      <c r="E2185" s="14"/>
      <c r="F2185" s="8" t="str">
        <f ca="1">IFERROR(__xludf.DUMMYFUNCTION("""COMPUTED_VALUE"""),"- Базовая бесплатная часть")</f>
        <v>- Базовая бесплатная часть</v>
      </c>
      <c r="G2185" s="14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</row>
    <row r="2186" spans="1:26" ht="38.25">
      <c r="A2186" s="14" t="str">
        <f ca="1">IFERROR(__xludf.DUMMYFUNCTION("""COMPUTED_VALUE"""),"ЕЛЕНА ПЕРМИНОВА")</f>
        <v>ЕЛЕНА ПЕРМИНОВА</v>
      </c>
      <c r="B2186" s="14" t="str">
        <f ca="1">IFERROR(__xludf.DUMMYFUNCTION("""COMPUTED_VALUE"""),"ye.bogdanova@gmail.com")</f>
        <v>ye.bogdanova@gmail.com</v>
      </c>
      <c r="C2186" s="15" t="str">
        <f ca="1">IFERROR(__xludf.DUMMYFUNCTION("""COMPUTED_VALUE"""),"79673098277")</f>
        <v>79673098277</v>
      </c>
      <c r="D2186" s="15" t="str">
        <f ca="1">IFERROR(__xludf.DUMMYFUNCTION("""COMPUTED_VALUE"""),"Япония")</f>
        <v>Япония</v>
      </c>
      <c r="E2186" s="14" t="str">
        <f ca="1">IFERROR(__xludf.DUMMYFUNCTION("""COMPUTED_VALUE"""),"@YlenaPerminova")</f>
        <v>@YlenaPerminova</v>
      </c>
      <c r="F2186" s="8" t="str">
        <f ca="1">IFERROR(__xludf.DUMMYFUNCTION("""COMPUTED_VALUE"""),"- Клуб пробуждения Друзья (Региональный)
- Интенсив 15-17 апреля Москва
- Однодневный онлайн ретрит (в зале) 14 мая 2022")</f>
        <v>- Клуб пробуждения Друзья (Региональный)
- Интенсив 15-17 апреля Москва
- Однодневный онлайн ретрит (в зале) 14 мая 2022</v>
      </c>
      <c r="G2186" s="14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</row>
    <row r="2187" spans="1:26" ht="14.25">
      <c r="A2187" s="14" t="str">
        <f ca="1">IFERROR(__xludf.DUMMYFUNCTION("""COMPUTED_VALUE"""),"Елена Мангушева")</f>
        <v>Елена Мангушева</v>
      </c>
      <c r="B2187" s="14" t="str">
        <f ca="1">IFERROR(__xludf.DUMMYFUNCTION("""COMPUTED_VALUE"""),"yelena.mangusheva.86@ibox.ru")</f>
        <v>yelena.mangusheva.86@ibox.ru</v>
      </c>
      <c r="C2187" s="15" t="str">
        <f ca="1">IFERROR(__xludf.DUMMYFUNCTION("""COMPUTED_VALUE"""),", 79123297660")</f>
        <v>, 79123297660</v>
      </c>
      <c r="D2187" s="15"/>
      <c r="E2187" s="14"/>
      <c r="F2187" s="8" t="str">
        <f ca="1">IFERROR(__xludf.DUMMYFUNCTION("""COMPUTED_VALUE"""),"Мероприятий не обнаружено")</f>
        <v>Мероприятий не обнаружено</v>
      </c>
      <c r="G2187" s="14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</row>
    <row r="2188" spans="1:26" ht="14.25">
      <c r="A2188" s="14" t="str">
        <f ca="1">IFERROR(__xludf.DUMMYFUNCTION("""COMPUTED_VALUE"""),"Елена Егорова")</f>
        <v>Елена Егорова</v>
      </c>
      <c r="B2188" s="14" t="str">
        <f ca="1">IFERROR(__xludf.DUMMYFUNCTION("""COMPUTED_VALUE"""),"yelena16yegorova@gmail.com")</f>
        <v>yelena16yegorova@gmail.com</v>
      </c>
      <c r="C2188" s="15" t="str">
        <f ca="1">IFERROR(__xludf.DUMMYFUNCTION("""COMPUTED_VALUE"""),"+15127123001")</f>
        <v>+15127123001</v>
      </c>
      <c r="D2188" s="15" t="str">
        <f ca="1">IFERROR(__xludf.DUMMYFUNCTION("""COMPUTED_VALUE"""),"США")</f>
        <v>США</v>
      </c>
      <c r="E2188" s="14"/>
      <c r="F2188" s="8" t="str">
        <f ca="1">IFERROR(__xludf.DUMMYFUNCTION("""COMPUTED_VALUE"""),"- Вводный вебинар 3.5.22 на Шаг к Пробуждению")</f>
        <v>- Вводный вебинар 3.5.22 на Шаг к Пробуждению</v>
      </c>
      <c r="G2188" s="14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</row>
    <row r="2189" spans="1:26" ht="25.5">
      <c r="A2189" s="14" t="str">
        <f ca="1">IFERROR(__xludf.DUMMYFUNCTION("""COMPUTED_VALUE"""),"Ена Ли")</f>
        <v>Ена Ли</v>
      </c>
      <c r="B2189" s="14" t="str">
        <f ca="1">IFERROR(__xludf.DUMMYFUNCTION("""COMPUTED_VALUE"""),"yenachoowing@gmail.com")</f>
        <v>yenachoowing@gmail.com</v>
      </c>
      <c r="C2189" s="15" t="str">
        <f ca="1">IFERROR(__xludf.DUMMYFUNCTION("""COMPUTED_VALUE"""),"+821056597451")</f>
        <v>+821056597451</v>
      </c>
      <c r="D2189" s="15"/>
      <c r="E2189" s="14"/>
      <c r="F218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189" s="14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</row>
    <row r="2190" spans="1:26" ht="25.5">
      <c r="A2190" s="14" t="str">
        <f ca="1">IFERROR(__xludf.DUMMYFUNCTION("""COMPUTED_VALUE"""),"Диана Ли")</f>
        <v>Диана Ли</v>
      </c>
      <c r="B2190" s="14" t="str">
        <f ca="1">IFERROR(__xludf.DUMMYFUNCTION("""COMPUTED_VALUE"""),"yessdamely@gmail.com")</f>
        <v>yessdamely@gmail.com</v>
      </c>
      <c r="C2190" s="15" t="str">
        <f ca="1">IFERROR(__xludf.DUMMYFUNCTION("""COMPUTED_VALUE"""),"87778112090")</f>
        <v>87778112090</v>
      </c>
      <c r="D2190" s="15"/>
      <c r="E2190" s="14"/>
      <c r="F219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190" s="14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</row>
    <row r="2191" spans="1:26" ht="14.25">
      <c r="A2191" s="14" t="str">
        <f ca="1">IFERROR(__xludf.DUMMYFUNCTION("""COMPUTED_VALUE"""),"Ярослава Казамурова")</f>
        <v>Ярослава Казамурова</v>
      </c>
      <c r="B2191" s="14" t="str">
        <f ca="1">IFERROR(__xludf.DUMMYFUNCTION("""COMPUTED_VALUE"""),"ykazamurova@gmail.com")</f>
        <v>ykazamurova@gmail.com</v>
      </c>
      <c r="C2191" s="15" t="str">
        <f ca="1">IFERROR(__xludf.DUMMYFUNCTION("""COMPUTED_VALUE"""),"79312331849")</f>
        <v>79312331849</v>
      </c>
      <c r="D2191" s="15"/>
      <c r="E2191" s="14"/>
      <c r="F2191" s="8" t="str">
        <f ca="1">IFERROR(__xludf.DUMMYFUNCTION("""COMPUTED_VALUE"""),"- Тишина Челлендж (бесплатная часть)")</f>
        <v>- Тишина Челлендж (бесплатная часть)</v>
      </c>
      <c r="G2191" s="14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</row>
    <row r="2192" spans="1:26" ht="14.25">
      <c r="A2192" s="14" t="str">
        <f ca="1">IFERROR(__xludf.DUMMYFUNCTION("""COMPUTED_VALUE"""),"Evgeny Kuznetsov")</f>
        <v>Evgeny Kuznetsov</v>
      </c>
      <c r="B2192" s="14" t="str">
        <f ca="1">IFERROR(__xludf.DUMMYFUNCTION("""COMPUTED_VALUE"""),"ykuznetsov1@gmail.com")</f>
        <v>ykuznetsov1@gmail.com</v>
      </c>
      <c r="C2192" s="15" t="str">
        <f ca="1">IFERROR(__xludf.DUMMYFUNCTION("""COMPUTED_VALUE"""),"79154962348")</f>
        <v>79154962348</v>
      </c>
      <c r="D2192" s="15" t="str">
        <f ca="1">IFERROR(__xludf.DUMMYFUNCTION("""COMPUTED_VALUE"""),"Россия")</f>
        <v>Россия</v>
      </c>
      <c r="E2192" s="14"/>
      <c r="F2192" s="8" t="str">
        <f ca="1">IFERROR(__xludf.DUMMYFUNCTION("""COMPUTED_VALUE"""),"- Ретрит в РЦ Сочи 19-27 марта 2022 (Оплата до 6 марта)")</f>
        <v>- Ретрит в РЦ Сочи 19-27 марта 2022 (Оплата до 6 марта)</v>
      </c>
      <c r="G2192" s="14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</row>
    <row r="2193" spans="1:26" ht="14.25">
      <c r="A2193" s="14" t="str">
        <f ca="1">IFERROR(__xludf.DUMMYFUNCTION("""COMPUTED_VALUE"""),"ыаыв ываыв")</f>
        <v>ыаыв ываыв</v>
      </c>
      <c r="B2193" s="14" t="str">
        <f ca="1">IFERROR(__xludf.DUMMYFUNCTION("""COMPUTED_VALUE"""),"yo_xf@sdad.rt")</f>
        <v>yo_xf@sdad.rt</v>
      </c>
      <c r="C2193" s="15" t="str">
        <f ca="1">IFERROR(__xludf.DUMMYFUNCTION("""COMPUTED_VALUE"""),", 32423423")</f>
        <v>, 32423423</v>
      </c>
      <c r="D2193" s="15" t="str">
        <f ca="1">IFERROR(__xludf.DUMMYFUNCTION("""COMPUTED_VALUE"""),"Россия")</f>
        <v>Россия</v>
      </c>
      <c r="E2193" s="14"/>
      <c r="F2193" s="8" t="str">
        <f ca="1">IFERROR(__xludf.DUMMYFUNCTION("""COMPUTED_VALUE"""),"Мероприятий не обнаружено")</f>
        <v>Мероприятий не обнаружено</v>
      </c>
      <c r="G2193" s="14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</row>
    <row r="2194" spans="1:26" ht="14.25">
      <c r="A2194" s="14" t="str">
        <f ca="1">IFERROR(__xludf.DUMMYFUNCTION("""COMPUTED_VALUE"""),"Ольга Фролова")</f>
        <v>Ольга Фролова</v>
      </c>
      <c r="B2194" s="14" t="str">
        <f ca="1">IFERROR(__xludf.DUMMYFUNCTION("""COMPUTED_VALUE"""),"yokoono-1@mail.ru")</f>
        <v>yokoono-1@mail.ru</v>
      </c>
      <c r="C2194" s="15" t="str">
        <f ca="1">IFERROR(__xludf.DUMMYFUNCTION("""COMPUTED_VALUE"""),"+375333072121")</f>
        <v>+375333072121</v>
      </c>
      <c r="D2194" s="15"/>
      <c r="E2194" s="14"/>
      <c r="F2194" s="8" t="str">
        <f ca="1">IFERROR(__xludf.DUMMYFUNCTION("""COMPUTED_VALUE"""),"- Тишина Челлендж (бесплатная часть)")</f>
        <v>- Тишина Челлендж (бесплатная часть)</v>
      </c>
      <c r="G2194" s="14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</row>
    <row r="2195" spans="1:26" ht="14.25">
      <c r="A2195" s="14" t="str">
        <f ca="1">IFERROR(__xludf.DUMMYFUNCTION("""COMPUTED_VALUE"""),"Юлия Тес")</f>
        <v>Юлия Тес</v>
      </c>
      <c r="B2195" s="14" t="str">
        <f ca="1">IFERROR(__xludf.DUMMYFUNCTION("""COMPUTED_VALUE"""),"Youliates@gmail.com")</f>
        <v>Youliates@gmail.com</v>
      </c>
      <c r="C2195" s="15" t="str">
        <f ca="1">IFERROR(__xludf.DUMMYFUNCTION("""COMPUTED_VALUE"""),"+38067345754")</f>
        <v>+38067345754</v>
      </c>
      <c r="D2195" s="15" t="str">
        <f ca="1">IFERROR(__xludf.DUMMYFUNCTION("""COMPUTED_VALUE"""),"Украина")</f>
        <v>Украина</v>
      </c>
      <c r="E2195" s="14"/>
      <c r="F2195" s="8" t="str">
        <f ca="1">IFERROR(__xludf.DUMMYFUNCTION("""COMPUTED_VALUE"""),"-  Живая ""Практика Тишины"" Киев (регулярные занятия)")</f>
        <v>-  Живая "Практика Тишины" Киев (регулярные занятия)</v>
      </c>
      <c r="G2195" s="14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</row>
    <row r="2196" spans="1:26" ht="14.25">
      <c r="A2196" s="14" t="str">
        <f ca="1">IFERROR(__xludf.DUMMYFUNCTION("""COMPUTED_VALUE"""),"Юлия Т")</f>
        <v>Юлия Т</v>
      </c>
      <c r="B2196" s="14" t="str">
        <f ca="1">IFERROR(__xludf.DUMMYFUNCTION("""COMPUTED_VALUE"""),"Youliatos@gmail.com")</f>
        <v>Youliatos@gmail.com</v>
      </c>
      <c r="C2196" s="15" t="str">
        <f ca="1">IFERROR(__xludf.DUMMYFUNCTION("""COMPUTED_VALUE"""),", +380673457542")</f>
        <v>, +380673457542</v>
      </c>
      <c r="D2196" s="15"/>
      <c r="E2196" s="14"/>
      <c r="F2196" s="8" t="str">
        <f ca="1">IFERROR(__xludf.DUMMYFUNCTION("""COMPUTED_VALUE"""),"Мероприятий не обнаружено")</f>
        <v>Мероприятий не обнаружено</v>
      </c>
      <c r="G2196" s="14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</row>
    <row r="2197" spans="1:26" ht="14.25">
      <c r="A2197" s="14" t="str">
        <f ca="1">IFERROR(__xludf.DUMMYFUNCTION("""COMPUTED_VALUE"""),"Настя Грекова")</f>
        <v>Настя Грекова</v>
      </c>
      <c r="B2197" s="14" t="str">
        <f ca="1">IFERROR(__xludf.DUMMYFUNCTION("""COMPUTED_VALUE"""),"yournassstya@icloud.com")</f>
        <v>yournassstya@icloud.com</v>
      </c>
      <c r="C2197" s="15" t="str">
        <f ca="1">IFERROR(__xludf.DUMMYFUNCTION("""COMPUTED_VALUE"""),", +375445178071")</f>
        <v>, +375445178071</v>
      </c>
      <c r="D2197" s="15" t="str">
        <f ca="1">IFERROR(__xludf.DUMMYFUNCTION("""COMPUTED_VALUE"""),"Беларусь")</f>
        <v>Беларусь</v>
      </c>
      <c r="E2197" s="14"/>
      <c r="F2197" s="8" t="str">
        <f ca="1">IFERROR(__xludf.DUMMYFUNCTION("""COMPUTED_VALUE"""),"Мероприятий не обнаружено")</f>
        <v>Мероприятий не обнаружено</v>
      </c>
      <c r="G2197" s="14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</row>
    <row r="2198" spans="1:26" ht="14.25">
      <c r="A2198" s="14" t="str">
        <f ca="1">IFERROR(__xludf.DUMMYFUNCTION("""COMPUTED_VALUE"""),"Александр Морозов, ")</f>
        <v xml:space="preserve">Александр Морозов, </v>
      </c>
      <c r="B2198" s="14" t="str">
        <f ca="1">IFERROR(__xludf.DUMMYFUNCTION("""COMPUTED_VALUE"""),"yozoff1985@gmail.com")</f>
        <v>yozoff1985@gmail.com</v>
      </c>
      <c r="C2198" s="15" t="str">
        <f ca="1">IFERROR(__xludf.DUMMYFUNCTION("""COMPUTED_VALUE"""),"+79109648891, ")</f>
        <v xml:space="preserve">+79109648891, </v>
      </c>
      <c r="D2198" s="15"/>
      <c r="E2198" s="14"/>
      <c r="F2198" s="8" t="str">
        <f ca="1">IFERROR(__xludf.DUMMYFUNCTION("""COMPUTED_VALUE"""),"- Заявка на звонок для курса ""Парадентальная медитация""")</f>
        <v>- Заявка на звонок для курса "Парадентальная медитация"</v>
      </c>
      <c r="G2198" s="14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</row>
    <row r="2199" spans="1:26" ht="51">
      <c r="A2199" s="14" t="str">
        <f ca="1">IFERROR(__xludf.DUMMYFUNCTION("""COMPUTED_VALUE"""),"Юлия Скорочкина")</f>
        <v>Юлия Скорочкина</v>
      </c>
      <c r="B2199" s="14" t="str">
        <f ca="1">IFERROR(__xludf.DUMMYFUNCTION("""COMPUTED_VALUE"""),"yula41280@yandex.ru")</f>
        <v>yula41280@yandex.ru</v>
      </c>
      <c r="C2199" s="15" t="str">
        <f ca="1">IFERROR(__xludf.DUMMYFUNCTION("""COMPUTED_VALUE"""),"79204844321")</f>
        <v>79204844321</v>
      </c>
      <c r="D2199" s="15" t="str">
        <f ca="1">IFERROR(__xludf.DUMMYFUNCTION("""COMPUTED_VALUE"""),"Россия")</f>
        <v>Россия</v>
      </c>
      <c r="E2199" s="14"/>
      <c r="F2199" s="8" t="str">
        <f ca="1">IFERROR(__xludf.DUMMYFUNCTION("""COMPUTED_VALUE"""),"- Онлайн курс Шаг к Пробуждению №17 2-19.4.22 Пакет стандартный
- Тишина Челлендж (бесплатная часть)
- Однодневный онлайн ретрит Россия 14 мая 2022")</f>
        <v>- Онлайн курс Шаг к Пробуждению №17 2-19.4.22 Пакет стандартный
- Тишина Челлендж (бесплатная часть)
- Однодневный онлайн ретрит Россия 14 мая 2022</v>
      </c>
      <c r="G2199" s="14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</row>
    <row r="2200" spans="1:26" ht="25.5">
      <c r="A2200" s="14" t="str">
        <f ca="1">IFERROR(__xludf.DUMMYFUNCTION("""COMPUTED_VALUE"""),"Юлдуз Саттарова")</f>
        <v>Юлдуз Саттарова</v>
      </c>
      <c r="B2200" s="14" t="str">
        <f ca="1">IFERROR(__xludf.DUMMYFUNCTION("""COMPUTED_VALUE"""),"Yulduzzzkaaa@mail.ru")</f>
        <v>Yulduzzzkaaa@mail.ru</v>
      </c>
      <c r="C2200" s="15" t="str">
        <f ca="1">IFERROR(__xludf.DUMMYFUNCTION("""COMPUTED_VALUE"""),"+998994876899")</f>
        <v>+998994876899</v>
      </c>
      <c r="D2200" s="15"/>
      <c r="E2200" s="14"/>
      <c r="F220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200" s="14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</row>
    <row r="2201" spans="1:26" ht="14.25">
      <c r="A2201" s="14" t="str">
        <f ca="1">IFERROR(__xludf.DUMMYFUNCTION("""COMPUTED_VALUE"""),"Юлия Лепихина")</f>
        <v>Юлия Лепихина</v>
      </c>
      <c r="B2201" s="14" t="str">
        <f ca="1">IFERROR(__xludf.DUMMYFUNCTION("""COMPUTED_VALUE"""),"yulia-lepihina@mail.ru")</f>
        <v>yulia-lepihina@mail.ru</v>
      </c>
      <c r="C2201" s="15" t="str">
        <f ca="1">IFERROR(__xludf.DUMMYFUNCTION("""COMPUTED_VALUE"""),", +79027371450")</f>
        <v>, +79027371450</v>
      </c>
      <c r="D2201" s="15" t="str">
        <f ca="1">IFERROR(__xludf.DUMMYFUNCTION("""COMPUTED_VALUE"""),"Россмя")</f>
        <v>Россмя</v>
      </c>
      <c r="E2201" s="14"/>
      <c r="F2201" s="8" t="str">
        <f ca="1">IFERROR(__xludf.DUMMYFUNCTION("""COMPUTED_VALUE"""),"Мероприятий не обнаружено")</f>
        <v>Мероприятий не обнаружено</v>
      </c>
      <c r="G2201" s="14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</row>
    <row r="2202" spans="1:26" ht="14.25">
      <c r="A2202" s="14" t="str">
        <f ca="1">IFERROR(__xludf.DUMMYFUNCTION("""COMPUTED_VALUE"""),"Юлия Гоз, ")</f>
        <v xml:space="preserve">Юлия Гоз, </v>
      </c>
      <c r="B2202" s="14" t="str">
        <f ca="1">IFERROR(__xludf.DUMMYFUNCTION("""COMPUTED_VALUE"""),"yulia.goz@gmail.com")</f>
        <v>yulia.goz@gmail.com</v>
      </c>
      <c r="C2202" s="15" t="str">
        <f ca="1">IFERROR(__xludf.DUMMYFUNCTION("""COMPUTED_VALUE"""),"+972545681656, ")</f>
        <v xml:space="preserve">+972545681656, </v>
      </c>
      <c r="D2202" s="15"/>
      <c r="E2202" s="14"/>
      <c r="F2202" s="8" t="str">
        <f ca="1">IFERROR(__xludf.DUMMYFUNCTION("""COMPUTED_VALUE"""),"- Заявка на звонок для курса ""Парадентальная медитация""")</f>
        <v>- Заявка на звонок для курса "Парадентальная медитация"</v>
      </c>
      <c r="G2202" s="14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</row>
    <row r="2203" spans="1:26" ht="14.25">
      <c r="A2203" s="14" t="str">
        <f ca="1">IFERROR(__xludf.DUMMYFUNCTION("""COMPUTED_VALUE"""),"Юлианна Кучай")</f>
        <v>Юлианна Кучай</v>
      </c>
      <c r="B2203" s="14" t="str">
        <f ca="1">IFERROR(__xludf.DUMMYFUNCTION("""COMPUTED_VALUE"""),"yulianna.kuchai@gmail.com")</f>
        <v>yulianna.kuchai@gmail.com</v>
      </c>
      <c r="C2203" s="15" t="str">
        <f ca="1">IFERROR(__xludf.DUMMYFUNCTION("""COMPUTED_VALUE"""),"+34677657468")</f>
        <v>+34677657468</v>
      </c>
      <c r="D2203" s="15" t="str">
        <f ca="1">IFERROR(__xludf.DUMMYFUNCTION("""COMPUTED_VALUE"""),"Испания")</f>
        <v>Испания</v>
      </c>
      <c r="E2203" s="14"/>
      <c r="F2203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2203" s="14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</row>
    <row r="2204" spans="1:26" ht="14.25">
      <c r="A2204" s="14" t="str">
        <f ca="1">IFERROR(__xludf.DUMMYFUNCTION("""COMPUTED_VALUE"""),"Юлия Чеснокова")</f>
        <v>Юлия Чеснокова</v>
      </c>
      <c r="B2204" s="14" t="str">
        <f ca="1">IFERROR(__xludf.DUMMYFUNCTION("""COMPUTED_VALUE"""),"yuliansk@icloud.com")</f>
        <v>yuliansk@icloud.com</v>
      </c>
      <c r="C2204" s="15"/>
      <c r="D2204" s="15" t="str">
        <f ca="1">IFERROR(__xludf.DUMMYFUNCTION("""COMPUTED_VALUE"""),"США")</f>
        <v>США</v>
      </c>
      <c r="E2204" s="14"/>
      <c r="F2204" s="8" t="str">
        <f ca="1">IFERROR(__xludf.DUMMYFUNCTION("""COMPUTED_VALUE"""),"- Тишина Челлендж (бесплатная часть)")</f>
        <v>- Тишина Челлендж (бесплатная часть)</v>
      </c>
      <c r="G2204" s="14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</row>
    <row r="2205" spans="1:26" ht="14.25">
      <c r="A2205" s="14" t="str">
        <f ca="1">IFERROR(__xludf.DUMMYFUNCTION("""COMPUTED_VALUE"""),"Yulii Glow")</f>
        <v>Yulii Glow</v>
      </c>
      <c r="B2205" s="14" t="str">
        <f ca="1">IFERROR(__xludf.DUMMYFUNCTION("""COMPUTED_VALUE"""),"yuliiwhite2@gmail.com")</f>
        <v>yuliiwhite2@gmail.com</v>
      </c>
      <c r="C2205" s="15" t="str">
        <f ca="1">IFERROR(__xludf.DUMMYFUNCTION("""COMPUTED_VALUE"""),"+375293148258")</f>
        <v>+375293148258</v>
      </c>
      <c r="D2205" s="15" t="str">
        <f ca="1">IFERROR(__xludf.DUMMYFUNCTION("""COMPUTED_VALUE"""),"Беларусь")</f>
        <v>Беларусь</v>
      </c>
      <c r="E2205" s="14"/>
      <c r="F2205" s="8" t="str">
        <f ca="1">IFERROR(__xludf.DUMMYFUNCTION("""COMPUTED_VALUE"""),"- Чайная встреча Разговор по душам Минск 11.12.2021")</f>
        <v>- Чайная встреча Разговор по душам Минск 11.12.2021</v>
      </c>
      <c r="G2205" s="14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</row>
    <row r="2206" spans="1:26" ht="14.25">
      <c r="A2206" s="14" t="str">
        <f ca="1">IFERROR(__xludf.DUMMYFUNCTION("""COMPUTED_VALUE"""),"Юлия Matys")</f>
        <v>Юлия Matys</v>
      </c>
      <c r="B2206" s="14" t="str">
        <f ca="1">IFERROR(__xludf.DUMMYFUNCTION("""COMPUTED_VALUE"""),"Yuliya.matys@mail.ru")</f>
        <v>Yuliya.matys@mail.ru</v>
      </c>
      <c r="C2206" s="15" t="str">
        <f ca="1">IFERROR(__xludf.DUMMYFUNCTION("""COMPUTED_VALUE"""),"3805458")</f>
        <v>3805458</v>
      </c>
      <c r="D2206" s="15"/>
      <c r="E2206" s="14"/>
      <c r="F2206" s="8" t="str">
        <f ca="1">IFERROR(__xludf.DUMMYFUNCTION("""COMPUTED_VALUE"""),"- Тишина Челлендж (бесплатная часть)")</f>
        <v>- Тишина Челлендж (бесплатная часть)</v>
      </c>
      <c r="G2206" s="14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</row>
    <row r="2207" spans="1:26" ht="14.25">
      <c r="A2207" s="14" t="str">
        <f ca="1">IFERROR(__xludf.DUMMYFUNCTION("""COMPUTED_VALUE"""),"Юлия Бапабаш")</f>
        <v>Юлия Бапабаш</v>
      </c>
      <c r="B2207" s="14" t="str">
        <f ca="1">IFERROR(__xludf.DUMMYFUNCTION("""COMPUTED_VALUE"""),"yuliya.v.barabash@gmail.com")</f>
        <v>yuliya.v.barabash@gmail.com</v>
      </c>
      <c r="C2207" s="15"/>
      <c r="D2207" s="15" t="str">
        <f ca="1">IFERROR(__xludf.DUMMYFUNCTION("""COMPUTED_VALUE"""),"Россия")</f>
        <v>Россия</v>
      </c>
      <c r="E2207" s="14"/>
      <c r="F2207" s="8" t="str">
        <f ca="1">IFERROR(__xludf.DUMMYFUNCTION("""COMPUTED_VALUE"""),"- Тишина Челлендж (бесплатная часть)")</f>
        <v>- Тишина Челлендж (бесплатная часть)</v>
      </c>
      <c r="G2207" s="14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</row>
    <row r="2208" spans="1:26" ht="14.25">
      <c r="A2208" s="14" t="str">
        <f ca="1">IFERROR(__xludf.DUMMYFUNCTION("""COMPUTED_VALUE"""),"Юлия Климова")</f>
        <v>Юлия Климова</v>
      </c>
      <c r="B2208" s="14" t="str">
        <f ca="1">IFERROR(__xludf.DUMMYFUNCTION("""COMPUTED_VALUE"""),"yuliya1605@yandex.ru")</f>
        <v>yuliya1605@yandex.ru</v>
      </c>
      <c r="C2208" s="15" t="str">
        <f ca="1">IFERROR(__xludf.DUMMYFUNCTION("""COMPUTED_VALUE"""),"79006054545")</f>
        <v>79006054545</v>
      </c>
      <c r="D2208" s="15" t="str">
        <f ca="1">IFERROR(__xludf.DUMMYFUNCTION("""COMPUTED_VALUE"""),"Россия")</f>
        <v>Россия</v>
      </c>
      <c r="E2208" s="14"/>
      <c r="F2208" s="8" t="str">
        <f ca="1">IFERROR(__xludf.DUMMYFUNCTION("""COMPUTED_VALUE"""),"- Медитация без стереотипов")</f>
        <v>- Медитация без стереотипов</v>
      </c>
      <c r="G2208" s="14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</row>
    <row r="2209" spans="1:26" ht="14.25">
      <c r="A2209" s="14" t="str">
        <f ca="1">IFERROR(__xludf.DUMMYFUNCTION("""COMPUTED_VALUE"""),"Юлия Ларикова")</f>
        <v>Юлия Ларикова</v>
      </c>
      <c r="B2209" s="14" t="str">
        <f ca="1">IFERROR(__xludf.DUMMYFUNCTION("""COMPUTED_VALUE"""),"yuliyalarikova@gmail.com")</f>
        <v>yuliyalarikova@gmail.com</v>
      </c>
      <c r="C2209" s="15" t="str">
        <f ca="1">IFERROR(__xludf.DUMMYFUNCTION("""COMPUTED_VALUE"""),"79852097040")</f>
        <v>79852097040</v>
      </c>
      <c r="D2209" s="15" t="str">
        <f ca="1">IFERROR(__xludf.DUMMYFUNCTION("""COMPUTED_VALUE"""),"Россия")</f>
        <v>Россия</v>
      </c>
      <c r="E2209" s="14"/>
      <c r="F2209" s="8" t="str">
        <f ca="1">IFERROR(__xludf.DUMMYFUNCTION("""COMPUTED_VALUE"""),"- Регулярная практика тишины в Москве ")</f>
        <v xml:space="preserve">- Регулярная практика тишины в Москве </v>
      </c>
      <c r="G2209" s="14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</row>
    <row r="2210" spans="1:26" ht="14.25">
      <c r="A2210" s="14" t="str">
        <f ca="1">IFERROR(__xludf.DUMMYFUNCTION("""COMPUTED_VALUE"""),"Юлия Денисова")</f>
        <v>Юлия Денисова</v>
      </c>
      <c r="B2210" s="14" t="str">
        <f ca="1">IFERROR(__xludf.DUMMYFUNCTION("""COMPUTED_VALUE"""),"Yulya-denisova-1994@bk.ru")</f>
        <v>Yulya-denisova-1994@bk.ru</v>
      </c>
      <c r="C2210" s="15" t="str">
        <f ca="1">IFERROR(__xludf.DUMMYFUNCTION("""COMPUTED_VALUE"""),"79320172184")</f>
        <v>79320172184</v>
      </c>
      <c r="D2210" s="15" t="str">
        <f ca="1">IFERROR(__xludf.DUMMYFUNCTION("""COMPUTED_VALUE"""),"Россия")</f>
        <v>Россия</v>
      </c>
      <c r="E2210" s="14"/>
      <c r="F2210" s="8" t="str">
        <f ca="1">IFERROR(__xludf.DUMMYFUNCTION("""COMPUTED_VALUE"""),"- Практика тишины Магнитогорск 19.02.2022")</f>
        <v>- Практика тишины Магнитогорск 19.02.2022</v>
      </c>
      <c r="G2210" s="14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</row>
    <row r="2211" spans="1:26" ht="14.25">
      <c r="A2211" s="14" t="str">
        <f ca="1">IFERROR(__xludf.DUMMYFUNCTION("""COMPUTED_VALUE"""),"Юлия Юмачикова")</f>
        <v>Юлия Юмачикова</v>
      </c>
      <c r="B2211" s="14" t="str">
        <f ca="1">IFERROR(__xludf.DUMMYFUNCTION("""COMPUTED_VALUE"""),"Yumachikova00@bk.ru")</f>
        <v>Yumachikova00@bk.ru</v>
      </c>
      <c r="C2211" s="15" t="str">
        <f ca="1">IFERROR(__xludf.DUMMYFUNCTION("""COMPUTED_VALUE"""),"79526785903")</f>
        <v>79526785903</v>
      </c>
      <c r="D2211" s="15" t="str">
        <f ca="1">IFERROR(__xludf.DUMMYFUNCTION("""COMPUTED_VALUE"""),"Россия")</f>
        <v>Россия</v>
      </c>
      <c r="E2211" s="14"/>
      <c r="F2211" s="8" t="str">
        <f ca="1">IFERROR(__xludf.DUMMYFUNCTION("""COMPUTED_VALUE"""),"- Ретрит в РЦ Сочи май 2022 (Оплата до 17 апреля)")</f>
        <v>- Ретрит в РЦ Сочи май 2022 (Оплата до 17 апреля)</v>
      </c>
      <c r="G2211" s="14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</row>
    <row r="2212" spans="1:26" ht="25.5">
      <c r="A2212" s="14" t="str">
        <f ca="1">IFERROR(__xludf.DUMMYFUNCTION("""COMPUTED_VALUE"""),"Ольга Юнусова")</f>
        <v>Ольга Юнусова</v>
      </c>
      <c r="B2212" s="14" t="str">
        <f ca="1">IFERROR(__xludf.DUMMYFUNCTION("""COMPUTED_VALUE"""),"Yunusova77@bk.ru")</f>
        <v>Yunusova77@bk.ru</v>
      </c>
      <c r="C2212" s="15" t="str">
        <f ca="1">IFERROR(__xludf.DUMMYFUNCTION("""COMPUTED_VALUE"""),"87074303782")</f>
        <v>87074303782</v>
      </c>
      <c r="D2212" s="15"/>
      <c r="E2212" s="14"/>
      <c r="F221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212" s="14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</row>
    <row r="2213" spans="1:26" ht="14.25">
      <c r="A2213" s="14" t="str">
        <f ca="1">IFERROR(__xludf.DUMMYFUNCTION("""COMPUTED_VALUE"""),"Юрий Харчистов")</f>
        <v>Юрий Харчистов</v>
      </c>
      <c r="B2213" s="14" t="str">
        <f ca="1">IFERROR(__xludf.DUMMYFUNCTION("""COMPUTED_VALUE"""),"yurakhar1608@gmail.com")</f>
        <v>yurakhar1608@gmail.com</v>
      </c>
      <c r="C2213" s="15" t="str">
        <f ca="1">IFERROR(__xludf.DUMMYFUNCTION("""COMPUTED_VALUE"""),"+79211280303")</f>
        <v>+79211280303</v>
      </c>
      <c r="D2213" s="15" t="str">
        <f ca="1">IFERROR(__xludf.DUMMYFUNCTION("""COMPUTED_VALUE"""),"Россия")</f>
        <v>Россия</v>
      </c>
      <c r="E2213" s="14"/>
      <c r="F2213" s="8" t="str">
        <f ca="1">IFERROR(__xludf.DUMMYFUNCTION("""COMPUTED_VALUE"""),"- Тишина Челлендж (бесплатная часть)")</f>
        <v>- Тишина Челлендж (бесплатная часть)</v>
      </c>
      <c r="G2213" s="14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</row>
    <row r="2214" spans="1:26" ht="14.25">
      <c r="A2214" s="14" t="str">
        <f ca="1">IFERROR(__xludf.DUMMYFUNCTION("""COMPUTED_VALUE"""),"Татьяна Юрина")</f>
        <v>Татьяна Юрина</v>
      </c>
      <c r="B2214" s="14" t="str">
        <f ca="1">IFERROR(__xludf.DUMMYFUNCTION("""COMPUTED_VALUE"""),"Yurina.t.s@mail.ru")</f>
        <v>Yurina.t.s@mail.ru</v>
      </c>
      <c r="C2214" s="15" t="str">
        <f ca="1">IFERROR(__xludf.DUMMYFUNCTION("""COMPUTED_VALUE"""),"79538084881")</f>
        <v>79538084881</v>
      </c>
      <c r="D2214" s="15"/>
      <c r="E2214" s="14"/>
      <c r="F2214" s="8" t="str">
        <f ca="1">IFERROR(__xludf.DUMMYFUNCTION("""COMPUTED_VALUE"""),"- Тишина Челлендж (бесплатная часть)")</f>
        <v>- Тишина Челлендж (бесплатная часть)</v>
      </c>
      <c r="G2214" s="14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</row>
    <row r="2215" spans="1:26" ht="14.25">
      <c r="A2215" s="14" t="str">
        <f ca="1">IFERROR(__xludf.DUMMYFUNCTION("""COMPUTED_VALUE"""),"Алексей Иванов")</f>
        <v>Алексей Иванов</v>
      </c>
      <c r="B2215" s="14" t="str">
        <f ca="1">IFERROR(__xludf.DUMMYFUNCTION("""COMPUTED_VALUE"""),"Z.e.r.o0607@rambler.ru")</f>
        <v>Z.e.r.o0607@rambler.ru</v>
      </c>
      <c r="C2215" s="15" t="str">
        <f ca="1">IFERROR(__xludf.DUMMYFUNCTION("""COMPUTED_VALUE"""),"+79965345484")</f>
        <v>+79965345484</v>
      </c>
      <c r="D2215" s="15" t="str">
        <f ca="1">IFERROR(__xludf.DUMMYFUNCTION("""COMPUTED_VALUE"""),"Россия")</f>
        <v>Россия</v>
      </c>
      <c r="E2215" s="14"/>
      <c r="F2215" s="8" t="str">
        <f ca="1">IFERROR(__xludf.DUMMYFUNCTION("""COMPUTED_VALUE"""),"-  встреча Космос внутри Сочи 5.3.2022")</f>
        <v>-  встреча Космос внутри Сочи 5.3.2022</v>
      </c>
      <c r="G2215" s="14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</row>
    <row r="2216" spans="1:26" ht="14.25">
      <c r="A2216" s="14" t="str">
        <f ca="1">IFERROR(__xludf.DUMMYFUNCTION("""COMPUTED_VALUE"""),"Жанара Баймуканова")</f>
        <v>Жанара Баймуканова</v>
      </c>
      <c r="B2216" s="14" t="str">
        <f ca="1">IFERROR(__xludf.DUMMYFUNCTION("""COMPUTED_VALUE"""),"Z777mmm@bk.ru")</f>
        <v>Z777mmm@bk.ru</v>
      </c>
      <c r="C2216" s="15"/>
      <c r="D2216" s="15" t="str">
        <f ca="1">IFERROR(__xludf.DUMMYFUNCTION("""COMPUTED_VALUE"""),"Франция")</f>
        <v>Франция</v>
      </c>
      <c r="E2216" s="14"/>
      <c r="F2216" s="8" t="str">
        <f ca="1">IFERROR(__xludf.DUMMYFUNCTION("""COMPUTED_VALUE"""),"- Тишина Челлендж (бесплатная часть)")</f>
        <v>- Тишина Челлендж (бесплатная часть)</v>
      </c>
      <c r="G2216" s="14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</row>
    <row r="2217" spans="1:26" ht="14.25">
      <c r="A2217" s="14" t="str">
        <f ca="1">IFERROR(__xludf.DUMMYFUNCTION("""COMPUTED_VALUE"""),"Наталья Стряпан")</f>
        <v>Наталья Стряпан</v>
      </c>
      <c r="B2217" s="14" t="str">
        <f ca="1">IFERROR(__xludf.DUMMYFUNCTION("""COMPUTED_VALUE"""),"zagvid@ukr.net")</f>
        <v>zagvid@ukr.net</v>
      </c>
      <c r="C2217" s="15" t="str">
        <f ca="1">IFERROR(__xludf.DUMMYFUNCTION("""COMPUTED_VALUE"""),"+380994670657")</f>
        <v>+380994670657</v>
      </c>
      <c r="D2217" s="15" t="str">
        <f ca="1">IFERROR(__xludf.DUMMYFUNCTION("""COMPUTED_VALUE"""),"Франция")</f>
        <v>Франция</v>
      </c>
      <c r="E2217" s="14"/>
      <c r="F2217" s="8" t="str">
        <f ca="1">IFERROR(__xludf.DUMMYFUNCTION("""COMPUTED_VALUE"""),"- Тишина Челлендж (бесплатная часть)")</f>
        <v>- Тишина Челлендж (бесплатная часть)</v>
      </c>
      <c r="G2217" s="14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</row>
    <row r="2218" spans="1:26" ht="14.25">
      <c r="A2218" s="14" t="str">
        <f ca="1">IFERROR(__xludf.DUMMYFUNCTION("""COMPUTED_VALUE"""),"Владимир Захаров")</f>
        <v>Владимир Захаров</v>
      </c>
      <c r="B2218" s="14" t="str">
        <f ca="1">IFERROR(__xludf.DUMMYFUNCTION("""COMPUTED_VALUE"""),"zaharov@givinschool.org")</f>
        <v>zaharov@givinschool.org</v>
      </c>
      <c r="C2218" s="15" t="str">
        <f ca="1">IFERROR(__xludf.DUMMYFUNCTION("""COMPUTED_VALUE"""),", 89237402671")</f>
        <v>, 89237402671</v>
      </c>
      <c r="D2218" s="15" t="str">
        <f ca="1">IFERROR(__xludf.DUMMYFUNCTION("""COMPUTED_VALUE"""),"Россия")</f>
        <v>Россия</v>
      </c>
      <c r="E2218" s="14" t="str">
        <f ca="1">IFERROR(__xludf.DUMMYFUNCTION("""COMPUTED_VALUE"""),"@Zakharov_Vladimir94")</f>
        <v>@Zakharov_Vladimir94</v>
      </c>
      <c r="F2218" s="8" t="str">
        <f ca="1">IFERROR(__xludf.DUMMYFUNCTION("""COMPUTED_VALUE"""),"Мероприятий не обнаружено")</f>
        <v>Мероприятий не обнаружено</v>
      </c>
      <c r="G2218" s="14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</row>
    <row r="2219" spans="1:26" ht="38.25">
      <c r="A2219" s="14" t="str">
        <f ca="1">IFERROR(__xludf.DUMMYFUNCTION("""COMPUTED_VALUE"""),"Юлия Светличная")</f>
        <v>Юлия Светличная</v>
      </c>
      <c r="B2219" s="14" t="str">
        <f ca="1">IFERROR(__xludf.DUMMYFUNCTION("""COMPUTED_VALUE"""),"zaharova_1988@mail.ru")</f>
        <v>zaharova_1988@mail.ru</v>
      </c>
      <c r="C2219" s="15" t="str">
        <f ca="1">IFERROR(__xludf.DUMMYFUNCTION("""COMPUTED_VALUE"""),"+79855823011")</f>
        <v>+79855823011</v>
      </c>
      <c r="D2219" s="15" t="str">
        <f ca="1">IFERROR(__xludf.DUMMYFUNCTION("""COMPUTED_VALUE"""),"Германия")</f>
        <v>Германия</v>
      </c>
      <c r="E2219" s="14"/>
      <c r="F2219" s="8" t="str">
        <f ca="1">IFERROR(__xludf.DUMMYFUNCTION("""COMPUTED_VALUE"""),"- Новогодний вечер в Givin School Москва 30.12.2021
- Вебинар с Никитой Бородулиным 11.02.2022 часть1
- Однодневный ретрит Россия 14 мая 2022")</f>
        <v>- Новогодний вечер в Givin School Москва 30.12.2021
- Вебинар с Никитой Бородулиным 11.02.2022 часть1
- Однодневный ретрит Россия 14 мая 2022</v>
      </c>
      <c r="G2219" s="14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</row>
    <row r="2220" spans="1:26" ht="14.25">
      <c r="A2220" s="14" t="str">
        <f ca="1">IFERROR(__xludf.DUMMYFUNCTION("""COMPUTED_VALUE"""),"Olesia Salnikova")</f>
        <v>Olesia Salnikova</v>
      </c>
      <c r="B2220" s="14" t="str">
        <f ca="1">IFERROR(__xludf.DUMMYFUNCTION("""COMPUTED_VALUE"""),"Zajchonok@inbox.ru")</f>
        <v>Zajchonok@inbox.ru</v>
      </c>
      <c r="C2220" s="15"/>
      <c r="D2220" s="15" t="str">
        <f ca="1">IFERROR(__xludf.DUMMYFUNCTION("""COMPUTED_VALUE"""),"США")</f>
        <v>США</v>
      </c>
      <c r="E2220" s="14"/>
      <c r="F2220" s="8" t="str">
        <f ca="1">IFERROR(__xludf.DUMMYFUNCTION("""COMPUTED_VALUE"""),"- Тишина Челлендж (бесплатная часть)")</f>
        <v>- Тишина Челлендж (бесплатная часть)</v>
      </c>
      <c r="G2220" s="14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</row>
    <row r="2221" spans="1:26" ht="14.25">
      <c r="A2221" s="14" t="str">
        <f ca="1">IFERROR(__xludf.DUMMYFUNCTION("""COMPUTED_VALUE"""),"Владимир Захаров")</f>
        <v>Владимир Захаров</v>
      </c>
      <c r="B2221" s="14" t="str">
        <f ca="1">IFERROR(__xludf.DUMMYFUNCTION("""COMPUTED_VALUE"""),"zakhar-54@mail.ru")</f>
        <v>zakhar-54@mail.ru</v>
      </c>
      <c r="C2221" s="15" t="str">
        <f ca="1">IFERROR(__xludf.DUMMYFUNCTION("""COMPUTED_VALUE"""),"+79237402671")</f>
        <v>+79237402671</v>
      </c>
      <c r="D2221" s="15" t="str">
        <f ca="1">IFERROR(__xludf.DUMMYFUNCTION("""COMPUTED_VALUE"""),"Россия")</f>
        <v>Россия</v>
      </c>
      <c r="E2221" s="14" t="str">
        <f ca="1">IFERROR(__xludf.DUMMYFUNCTION("""COMPUTED_VALUE"""),"89237402671")</f>
        <v>89237402671</v>
      </c>
      <c r="F2221" s="8" t="str">
        <f ca="1">IFERROR(__xludf.DUMMYFUNCTION("""COMPUTED_VALUE"""),"- Клуб пробуждения Друзья (2 уровень) - 1 месяц")</f>
        <v>- Клуб пробуждения Друзья (2 уровень) - 1 месяц</v>
      </c>
      <c r="G2221" s="14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</row>
    <row r="2222" spans="1:26" ht="14.25">
      <c r="A2222" s="14" t="str">
        <f ca="1">IFERROR(__xludf.DUMMYFUNCTION("""COMPUTED_VALUE"""),"Zaneta Petrova")</f>
        <v>Zaneta Petrova</v>
      </c>
      <c r="B2222" s="14" t="str">
        <f ca="1">IFERROR(__xludf.DUMMYFUNCTION("""COMPUTED_VALUE"""),"Zaneta.zetga@gmail.com")</f>
        <v>Zaneta.zetga@gmail.com</v>
      </c>
      <c r="C2222" s="15" t="str">
        <f ca="1">IFERROR(__xludf.DUMMYFUNCTION("""COMPUTED_VALUE"""),"+4525596644")</f>
        <v>+4525596644</v>
      </c>
      <c r="D2222" s="15" t="str">
        <f ca="1">IFERROR(__xludf.DUMMYFUNCTION("""COMPUTED_VALUE"""),"Дания")</f>
        <v>Дания</v>
      </c>
      <c r="E2222" s="14"/>
      <c r="F2222" s="8" t="str">
        <f ca="1">IFERROR(__xludf.DUMMYFUNCTION("""COMPUTED_VALUE"""),"- Вебинар с Никитой Бородулиным 11.02.2022 часть1")</f>
        <v>- Вебинар с Никитой Бородулиным 11.02.2022 часть1</v>
      </c>
      <c r="G2222" s="14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</row>
    <row r="2223" spans="1:26" ht="25.5">
      <c r="A2223" s="14" t="str">
        <f ca="1">IFERROR(__xludf.DUMMYFUNCTION("""COMPUTED_VALUE"""),"Любовь Занова")</f>
        <v>Любовь Занова</v>
      </c>
      <c r="B2223" s="14" t="str">
        <f ca="1">IFERROR(__xludf.DUMMYFUNCTION("""COMPUTED_VALUE"""),"zanovalubov@gmail.com")</f>
        <v>zanovalubov@gmail.com</v>
      </c>
      <c r="C2223" s="15" t="str">
        <f ca="1">IFERROR(__xludf.DUMMYFUNCTION("""COMPUTED_VALUE"""),"+998971407397")</f>
        <v>+998971407397</v>
      </c>
      <c r="D2223" s="15" t="str">
        <f ca="1">IFERROR(__xludf.DUMMYFUNCTION("""COMPUTED_VALUE"""),"Узбекистан")</f>
        <v>Узбекистан</v>
      </c>
      <c r="E2223" s="14"/>
      <c r="F2223" s="8" t="str">
        <f ca="1">IFERROR(__xludf.DUMMYFUNCTION("""COMPUTED_VALUE"""),"- Вебинар все о ретрите 12.2.2022
- Вебинар с Никитой Бородулиным 11.02.2022 часть1")</f>
        <v>- Вебинар все о ретрите 12.2.2022
- Вебинар с Никитой Бородулиным 11.02.2022 часть1</v>
      </c>
      <c r="G2223" s="14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</row>
    <row r="2224" spans="1:26" ht="25.5">
      <c r="A2224" s="14" t="str">
        <f ca="1">IFERROR(__xludf.DUMMYFUNCTION("""COMPUTED_VALUE"""),"Елена Зарубина")</f>
        <v>Елена Зарубина</v>
      </c>
      <c r="B2224" s="14" t="str">
        <f ca="1">IFERROR(__xludf.DUMMYFUNCTION("""COMPUTED_VALUE"""),"zarubinaaliona@yandex.ru")</f>
        <v>zarubinaaliona@yandex.ru</v>
      </c>
      <c r="C2224" s="15" t="str">
        <f ca="1">IFERROR(__xludf.DUMMYFUNCTION("""COMPUTED_VALUE"""),"+79823069197")</f>
        <v>+79823069197</v>
      </c>
      <c r="D2224" s="15" t="str">
        <f ca="1">IFERROR(__xludf.DUMMYFUNCTION("""COMPUTED_VALUE"""),"Россия")</f>
        <v>Россия</v>
      </c>
      <c r="E2224" s="14"/>
      <c r="F2224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224" s="14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</row>
    <row r="2225" spans="1:26" ht="14.25">
      <c r="A2225" s="14" t="str">
        <f ca="1">IFERROR(__xludf.DUMMYFUNCTION("""COMPUTED_VALUE"""),"Лад Заря")</f>
        <v>Лад Заря</v>
      </c>
      <c r="B2225" s="14" t="str">
        <f ca="1">IFERROR(__xludf.DUMMYFUNCTION("""COMPUTED_VALUE"""),"Zaryape@gmail.com")</f>
        <v>Zaryape@gmail.com</v>
      </c>
      <c r="C2225" s="15" t="str">
        <f ca="1">IFERROR(__xludf.DUMMYFUNCTION("""COMPUTED_VALUE"""),"79094567800")</f>
        <v>79094567800</v>
      </c>
      <c r="D2225" s="15" t="str">
        <f ca="1">IFERROR(__xludf.DUMMYFUNCTION("""COMPUTED_VALUE"""),"Россия")</f>
        <v>Россия</v>
      </c>
      <c r="E2225" s="14"/>
      <c r="F2225" s="8" t="str">
        <f ca="1">IFERROR(__xludf.DUMMYFUNCTION("""COMPUTED_VALUE"""),"- Мастер-класс ""Скульптура и Керамика""")</f>
        <v>- Мастер-класс "Скульптура и Керамика"</v>
      </c>
      <c r="G2225" s="14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</row>
    <row r="2226" spans="1:26" ht="25.5">
      <c r="A2226" s="14" t="str">
        <f ca="1">IFERROR(__xludf.DUMMYFUNCTION("""COMPUTED_VALUE"""),"Зауреш Хамит")</f>
        <v>Зауреш Хамит</v>
      </c>
      <c r="B2226" s="14" t="str">
        <f ca="1">IFERROR(__xludf.DUMMYFUNCTION("""COMPUTED_VALUE"""),"zaureshhamit1716@gmail.com")</f>
        <v>zaureshhamit1716@gmail.com</v>
      </c>
      <c r="C2226" s="15" t="str">
        <f ca="1">IFERROR(__xludf.DUMMYFUNCTION("""COMPUTED_VALUE"""),"87011366119")</f>
        <v>87011366119</v>
      </c>
      <c r="D2226" s="15"/>
      <c r="E2226" s="14"/>
      <c r="F222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226" s="14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</row>
    <row r="2227" spans="1:26" ht="14.25">
      <c r="A2227" s="14" t="str">
        <f ca="1">IFERROR(__xludf.DUMMYFUNCTION("""COMPUTED_VALUE"""),"zavodova.94,  ")</f>
        <v xml:space="preserve">zavodova.94,  </v>
      </c>
      <c r="B2227" s="14" t="str">
        <f ca="1">IFERROR(__xludf.DUMMYFUNCTION("""COMPUTED_VALUE"""),"zavodova.94@mail.ru")</f>
        <v>zavodova.94@mail.ru</v>
      </c>
      <c r="C2227" s="15"/>
      <c r="D2227" s="15"/>
      <c r="E2227" s="14"/>
      <c r="F2227" s="8" t="str">
        <f ca="1">IFERROR(__xludf.DUMMYFUNCTION("""COMPUTED_VALUE"""),"- USA Челлендж Тишина")</f>
        <v>- USA Челлендж Тишина</v>
      </c>
      <c r="G2227" s="14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</row>
    <row r="2228" spans="1:26" ht="14.25">
      <c r="A2228" s="14" t="str">
        <f ca="1">IFERROR(__xludf.DUMMYFUNCTION("""COMPUTED_VALUE"""),"Наталья Прокопьева")</f>
        <v>Наталья Прокопьева</v>
      </c>
      <c r="B2228" s="14" t="str">
        <f ca="1">IFERROR(__xludf.DUMMYFUNCTION("""COMPUTED_VALUE"""),"Zaychina@yandex.ru")</f>
        <v>Zaychina@yandex.ru</v>
      </c>
      <c r="C2228" s="15" t="str">
        <f ca="1">IFERROR(__xludf.DUMMYFUNCTION("""COMPUTED_VALUE"""),"+79138205209")</f>
        <v>+79138205209</v>
      </c>
      <c r="D2228" s="15" t="str">
        <f ca="1">IFERROR(__xludf.DUMMYFUNCTION("""COMPUTED_VALUE"""),"Россия")</f>
        <v>Россия</v>
      </c>
      <c r="E2228" s="14"/>
      <c r="F2228" s="8" t="str">
        <f ca="1">IFERROR(__xludf.DUMMYFUNCTION("""COMPUTED_VALUE"""),"- Ретрит в РЦ Сочи 19-27 марта 2022 (Оплата до 6 марта)")</f>
        <v>- Ретрит в РЦ Сочи 19-27 марта 2022 (Оплата до 6 марта)</v>
      </c>
      <c r="G2228" s="14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</row>
    <row r="2229" spans="1:26" ht="14.25">
      <c r="A2229" s="14" t="str">
        <f ca="1">IFERROR(__xludf.DUMMYFUNCTION("""COMPUTED_VALUE"""),"zaynab.67,  ")</f>
        <v xml:space="preserve">zaynab.67,  </v>
      </c>
      <c r="B2229" s="14" t="str">
        <f ca="1">IFERROR(__xludf.DUMMYFUNCTION("""COMPUTED_VALUE"""),"zaynab.67@icloud.com")</f>
        <v>zaynab.67@icloud.com</v>
      </c>
      <c r="C2229" s="15"/>
      <c r="D2229" s="15"/>
      <c r="E2229" s="14"/>
      <c r="F2229" s="8" t="str">
        <f ca="1">IFERROR(__xludf.DUMMYFUNCTION("""COMPUTED_VALUE"""),"- USA Челлендж Тишина")</f>
        <v>- USA Челлендж Тишина</v>
      </c>
      <c r="G2229" s="14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</row>
    <row r="2230" spans="1:26" ht="14.25">
      <c r="A2230" s="14" t="str">
        <f ca="1">IFERROR(__xludf.DUMMYFUNCTION("""COMPUTED_VALUE"""),"Ilia  Zhdanov, Ilia Zhdanov")</f>
        <v>Ilia  Zhdanov, Ilia Zhdanov</v>
      </c>
      <c r="B2230" s="14" t="str">
        <f ca="1">IFERROR(__xludf.DUMMYFUNCTION("""COMPUTED_VALUE"""),"zchdanov@gmail.com")</f>
        <v>zchdanov@gmail.com</v>
      </c>
      <c r="C2230" s="15" t="str">
        <f ca="1">IFERROR(__xludf.DUMMYFUNCTION("""COMPUTED_VALUE"""),"14246534044")</f>
        <v>14246534044</v>
      </c>
      <c r="D2230" s="15" t="str">
        <f ca="1">IFERROR(__xludf.DUMMYFUNCTION("""COMPUTED_VALUE"""),"Use ")</f>
        <v xml:space="preserve">Use </v>
      </c>
      <c r="E2230" s="14"/>
      <c r="F2230" s="8" t="str">
        <f ca="1">IFERROR(__xludf.DUMMYFUNCTION("""COMPUTED_VALUE"""),"- USA Челлендж Тишина")</f>
        <v>- USA Челлендж Тишина</v>
      </c>
      <c r="G2230" s="14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</row>
    <row r="2231" spans="1:26" ht="14.25">
      <c r="A2231" s="14" t="str">
        <f ca="1">IFERROR(__xludf.DUMMYFUNCTION("""COMPUTED_VALUE"""),"Ольга Елизарова")</f>
        <v>Ольга Елизарова</v>
      </c>
      <c r="B2231" s="14" t="str">
        <f ca="1">IFERROR(__xludf.DUMMYFUNCTION("""COMPUTED_VALUE"""),"ze22bo@yandex.ru")</f>
        <v>ze22bo@yandex.ru</v>
      </c>
      <c r="C2231" s="15" t="str">
        <f ca="1">IFERROR(__xludf.DUMMYFUNCTION("""COMPUTED_VALUE"""),"+79779649951")</f>
        <v>+79779649951</v>
      </c>
      <c r="D2231" s="15" t="str">
        <f ca="1">IFERROR(__xludf.DUMMYFUNCTION("""COMPUTED_VALUE"""),"Россия")</f>
        <v>Россия</v>
      </c>
      <c r="E2231" s="14"/>
      <c r="F2231" s="8" t="str">
        <f ca="1">IFERROR(__xludf.DUMMYFUNCTION("""COMPUTED_VALUE"""),"- Партнерская программа")</f>
        <v>- Партнерская программа</v>
      </c>
      <c r="G2231" s="14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</row>
    <row r="2232" spans="1:26" ht="25.5">
      <c r="A2232" s="14" t="str">
        <f ca="1">IFERROR(__xludf.DUMMYFUNCTION("""COMPUTED_VALUE"""),"ZAXROXON RUSTAMOVA")</f>
        <v>ZAXROXON RUSTAMOVA</v>
      </c>
      <c r="B2232" s="14" t="str">
        <f ca="1">IFERROR(__xludf.DUMMYFUNCTION("""COMPUTED_VALUE"""),"zehraummu487@gmail.com")</f>
        <v>zehraummu487@gmail.com</v>
      </c>
      <c r="C2232" s="15" t="str">
        <f ca="1">IFERROR(__xludf.DUMMYFUNCTION("""COMPUTED_VALUE"""),"+998996569369")</f>
        <v>+998996569369</v>
      </c>
      <c r="D2232" s="15"/>
      <c r="E2232" s="14"/>
      <c r="F2232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232" s="14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</row>
    <row r="2233" spans="1:26" ht="14.25">
      <c r="A2233" s="14" t="str">
        <f ca="1">IFERROR(__xludf.DUMMYFUNCTION("""COMPUTED_VALUE"""),"Шевчик Михаил")</f>
        <v>Шевчик Михаил</v>
      </c>
      <c r="B2233" s="14" t="str">
        <f ca="1">IFERROR(__xludf.DUMMYFUNCTION("""COMPUTED_VALUE"""),"zertergormer@gmail.com")</f>
        <v>zertergormer@gmail.com</v>
      </c>
      <c r="C2233" s="15" t="str">
        <f ca="1">IFERROR(__xludf.DUMMYFUNCTION("""COMPUTED_VALUE"""),"+375292382972")</f>
        <v>+375292382972</v>
      </c>
      <c r="D2233" s="15" t="str">
        <f ca="1">IFERROR(__xludf.DUMMYFUNCTION("""COMPUTED_VALUE"""),"Беларусь")</f>
        <v>Беларусь</v>
      </c>
      <c r="E2233" s="14"/>
      <c r="F2233" s="8" t="str">
        <f ca="1">IFERROR(__xludf.DUMMYFUNCTION("""COMPUTED_VALUE"""),"- Чайная встреча Разговор по душам Минск 12.03.2022")</f>
        <v>- Чайная встреча Разговор по душам Минск 12.03.2022</v>
      </c>
      <c r="G2233" s="14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</row>
    <row r="2234" spans="1:26" ht="14.25">
      <c r="A2234" s="14" t="str">
        <f ca="1">IFERROR(__xludf.DUMMYFUNCTION("""COMPUTED_VALUE"""),"Елена Решетникова")</f>
        <v>Елена Решетникова</v>
      </c>
      <c r="B2234" s="14" t="str">
        <f ca="1">IFERROR(__xludf.DUMMYFUNCTION("""COMPUTED_VALUE"""),"zest061277@yandex.ru")</f>
        <v>zest061277@yandex.ru</v>
      </c>
      <c r="C2234" s="15" t="str">
        <f ca="1">IFERROR(__xludf.DUMMYFUNCTION("""COMPUTED_VALUE"""),"79271322355")</f>
        <v>79271322355</v>
      </c>
      <c r="D2234" s="15" t="str">
        <f ca="1">IFERROR(__xludf.DUMMYFUNCTION("""COMPUTED_VALUE"""),"Россия")</f>
        <v>Россия</v>
      </c>
      <c r="E2234" s="14"/>
      <c r="F2234" s="8" t="str">
        <f ca="1">IFERROR(__xludf.DUMMYFUNCTION("""COMPUTED_VALUE"""),"- Тишина Челлендж (бесплатная часть)")</f>
        <v>- Тишина Челлендж (бесплатная часть)</v>
      </c>
      <c r="G2234" s="14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</row>
    <row r="2235" spans="1:26" ht="25.5">
      <c r="A2235" s="14" t="str">
        <f ca="1">IFERROR(__xludf.DUMMYFUNCTION("""COMPUTED_VALUE"""),"Жанель Жанель")</f>
        <v>Жанель Жанель</v>
      </c>
      <c r="B2235" s="14" t="str">
        <f ca="1">IFERROR(__xludf.DUMMYFUNCTION("""COMPUTED_VALUE"""),"Zh_abdykarimova@mail.ru")</f>
        <v>Zh_abdykarimova@mail.ru</v>
      </c>
      <c r="C2235" s="15" t="str">
        <f ca="1">IFERROR(__xludf.DUMMYFUNCTION("""COMPUTED_VALUE"""),"87082982034")</f>
        <v>87082982034</v>
      </c>
      <c r="D2235" s="15"/>
      <c r="E2235" s="14"/>
      <c r="F223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235" s="14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</row>
    <row r="2236" spans="1:26" ht="25.5">
      <c r="A2236" s="14" t="str">
        <f ca="1">IFERROR(__xludf.DUMMYFUNCTION("""COMPUTED_VALUE"""),"Жания Сатыбалдиева")</f>
        <v>Жания Сатыбалдиева</v>
      </c>
      <c r="B2236" s="14" t="str">
        <f ca="1">IFERROR(__xludf.DUMMYFUNCTION("""COMPUTED_VALUE"""),"zhakusya11@gmail.com")</f>
        <v>zhakusya11@gmail.com</v>
      </c>
      <c r="C2236" s="15" t="str">
        <f ca="1">IFERROR(__xludf.DUMMYFUNCTION("""COMPUTED_VALUE"""),"87009157963")</f>
        <v>87009157963</v>
      </c>
      <c r="D2236" s="15"/>
      <c r="E2236" s="14"/>
      <c r="F223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236" s="14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</row>
    <row r="2237" spans="1:26" ht="14.25">
      <c r="A2237" s="14" t="str">
        <f ca="1">IFERROR(__xludf.DUMMYFUNCTION("""COMPUTED_VALUE"""),"zhanar.kh,  ")</f>
        <v xml:space="preserve">zhanar.kh,  </v>
      </c>
      <c r="B2237" s="14" t="str">
        <f ca="1">IFERROR(__xludf.DUMMYFUNCTION("""COMPUTED_VALUE"""),"zhanar.kh@gmail.com")</f>
        <v>zhanar.kh@gmail.com</v>
      </c>
      <c r="C2237" s="15"/>
      <c r="D2237" s="15" t="str">
        <f ca="1">IFERROR(__xludf.DUMMYFUNCTION("""COMPUTED_VALUE"""),"США")</f>
        <v>США</v>
      </c>
      <c r="E2237" s="14"/>
      <c r="F2237" s="8" t="str">
        <f ca="1">IFERROR(__xludf.DUMMYFUNCTION("""COMPUTED_VALUE"""),"- USA Челлендж Тишина")</f>
        <v>- USA Челлендж Тишина</v>
      </c>
      <c r="G2237" s="14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</row>
    <row r="2238" spans="1:26" ht="25.5">
      <c r="A2238" s="14" t="str">
        <f ca="1">IFERROR(__xludf.DUMMYFUNCTION("""COMPUTED_VALUE"""),"Жанар Кистауова")</f>
        <v>Жанар Кистауова</v>
      </c>
      <c r="B2238" s="14" t="str">
        <f ca="1">IFERROR(__xludf.DUMMYFUNCTION("""COMPUTED_VALUE"""),"zhanar.kistauova@mail.ru")</f>
        <v>zhanar.kistauova@mail.ru</v>
      </c>
      <c r="C2238" s="15" t="str">
        <f ca="1">IFERROR(__xludf.DUMMYFUNCTION("""COMPUTED_VALUE"""),"+77019405655")</f>
        <v>+77019405655</v>
      </c>
      <c r="D2238" s="15"/>
      <c r="E2238" s="14"/>
      <c r="F223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238" s="14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</row>
    <row r="2239" spans="1:26" ht="25.5">
      <c r="A2239" s="14" t="str">
        <f ca="1">IFERROR(__xludf.DUMMYFUNCTION("""COMPUTED_VALUE"""),"Жанат Нургалиева")</f>
        <v>Жанат Нургалиева</v>
      </c>
      <c r="B2239" s="14" t="str">
        <f ca="1">IFERROR(__xludf.DUMMYFUNCTION("""COMPUTED_VALUE"""),"Zhanat2552@mail.ru")</f>
        <v>Zhanat2552@mail.ru</v>
      </c>
      <c r="C2239" s="15" t="str">
        <f ca="1">IFERROR(__xludf.DUMMYFUNCTION("""COMPUTED_VALUE"""),"87767229725")</f>
        <v>87767229725</v>
      </c>
      <c r="D2239" s="15"/>
      <c r="E2239" s="14"/>
      <c r="F223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239" s="14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</row>
    <row r="2240" spans="1:26" ht="25.5">
      <c r="A2240" s="14" t="str">
        <f ca="1">IFERROR(__xludf.DUMMYFUNCTION("""COMPUTED_VALUE"""),"Динара Жан")</f>
        <v>Динара Жан</v>
      </c>
      <c r="B2240" s="14" t="str">
        <f ca="1">IFERROR(__xludf.DUMMYFUNCTION("""COMPUTED_VALUE"""),"zhandiko87@mail.ru")</f>
        <v>zhandiko87@mail.ru</v>
      </c>
      <c r="C2240" s="15" t="str">
        <f ca="1">IFERROR(__xludf.DUMMYFUNCTION("""COMPUTED_VALUE"""),"87470322087")</f>
        <v>87470322087</v>
      </c>
      <c r="D2240" s="15"/>
      <c r="E2240" s="14"/>
      <c r="F224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240" s="14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</row>
    <row r="2241" spans="1:26" ht="25.5">
      <c r="A2241" s="14" t="str">
        <f ca="1">IFERROR(__xludf.DUMMYFUNCTION("""COMPUTED_VALUE"""),"Жанна Елеуова")</f>
        <v>Жанна Елеуова</v>
      </c>
      <c r="B2241" s="14" t="str">
        <f ca="1">IFERROR(__xludf.DUMMYFUNCTION("""COMPUTED_VALUE"""),"Zhanna_ea@mail.ru")</f>
        <v>Zhanna_ea@mail.ru</v>
      </c>
      <c r="C2241" s="15" t="str">
        <f ca="1">IFERROR(__xludf.DUMMYFUNCTION("""COMPUTED_VALUE"""),"87025288614")</f>
        <v>87025288614</v>
      </c>
      <c r="D2241" s="15"/>
      <c r="E2241" s="14"/>
      <c r="F2241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241" s="14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</row>
    <row r="2242" spans="1:26" ht="14.25">
      <c r="A2242" s="14" t="str">
        <f ca="1">IFERROR(__xludf.DUMMYFUNCTION("""COMPUTED_VALUE"""),"zhanna2419,  ")</f>
        <v xml:space="preserve">zhanna2419,  </v>
      </c>
      <c r="B2242" s="14" t="str">
        <f ca="1">IFERROR(__xludf.DUMMYFUNCTION("""COMPUTED_VALUE"""),"zhanna2419@mail.ru")</f>
        <v>zhanna2419@mail.ru</v>
      </c>
      <c r="C2242" s="15"/>
      <c r="D2242" s="15"/>
      <c r="E2242" s="14"/>
      <c r="F2242" s="8" t="str">
        <f ca="1">IFERROR(__xludf.DUMMYFUNCTION("""COMPUTED_VALUE"""),"- USA Челлендж Тишина")</f>
        <v>- USA Челлендж Тишина</v>
      </c>
      <c r="G2242" s="14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</row>
    <row r="2243" spans="1:26" ht="14.25">
      <c r="A2243" s="14" t="str">
        <f ca="1">IFERROR(__xludf.DUMMYFUNCTION("""COMPUTED_VALUE"""),"Жансая Тлеубергенова")</f>
        <v>Жансая Тлеубергенова</v>
      </c>
      <c r="B2243" s="14" t="str">
        <f ca="1">IFERROR(__xludf.DUMMYFUNCTION("""COMPUTED_VALUE"""),"Zhansaya-96.12@mail.ru")</f>
        <v>Zhansaya-96.12@mail.ru</v>
      </c>
      <c r="C2243" s="15"/>
      <c r="D2243" s="15" t="str">
        <f ca="1">IFERROR(__xludf.DUMMYFUNCTION("""COMPUTED_VALUE"""),"Россия")</f>
        <v>Россия</v>
      </c>
      <c r="E2243" s="14"/>
      <c r="F2243" s="8" t="str">
        <f ca="1">IFERROR(__xludf.DUMMYFUNCTION("""COMPUTED_VALUE"""),"- Тишина Челлендж (бесплатная часть)")</f>
        <v>- Тишина Челлендж (бесплатная часть)</v>
      </c>
      <c r="G2243" s="14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</row>
    <row r="2244" spans="1:26" ht="14.25">
      <c r="A2244" s="14" t="str">
        <f ca="1">IFERROR(__xludf.DUMMYFUNCTION("""COMPUTED_VALUE"""),"Кристина Жидкова")</f>
        <v>Кристина Жидкова</v>
      </c>
      <c r="B2244" s="14" t="str">
        <f ca="1">IFERROR(__xludf.DUMMYFUNCTION("""COMPUTED_VALUE"""),"zhidkova.kristina96@mail.ru")</f>
        <v>zhidkova.kristina96@mail.ru</v>
      </c>
      <c r="C2244" s="15"/>
      <c r="D2244" s="15" t="str">
        <f ca="1">IFERROR(__xludf.DUMMYFUNCTION("""COMPUTED_VALUE"""),"Россия")</f>
        <v>Россия</v>
      </c>
      <c r="E2244" s="14"/>
      <c r="F2244" s="8" t="str">
        <f ca="1">IFERROR(__xludf.DUMMYFUNCTION("""COMPUTED_VALUE"""),"- Тишина Челлендж (бесплатная часть)")</f>
        <v>- Тишина Челлендж (бесплатная часть)</v>
      </c>
      <c r="G2244" s="14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</row>
    <row r="2245" spans="1:26" ht="14.25">
      <c r="A2245" s="14" t="str">
        <f ca="1">IFERROR(__xludf.DUMMYFUNCTION("""COMPUTED_VALUE"""),"zhm33009,  ")</f>
        <v xml:space="preserve">zhm33009,  </v>
      </c>
      <c r="B2245" s="14" t="str">
        <f ca="1">IFERROR(__xludf.DUMMYFUNCTION("""COMPUTED_VALUE"""),"zhm33009@gmail.com")</f>
        <v>zhm33009@gmail.com</v>
      </c>
      <c r="C2245" s="15"/>
      <c r="D2245" s="15"/>
      <c r="E2245" s="14"/>
      <c r="F2245" s="8" t="str">
        <f ca="1">IFERROR(__xludf.DUMMYFUNCTION("""COMPUTED_VALUE"""),"- USA Челлендж Тишина")</f>
        <v>- USA Челлендж Тишина</v>
      </c>
      <c r="G2245" s="14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</row>
    <row r="2246" spans="1:26" ht="25.5">
      <c r="A2246" s="14" t="str">
        <f ca="1">IFERROR(__xludf.DUMMYFUNCTION("""COMPUTED_VALUE"""),"Азиз Аб")</f>
        <v>Азиз Аб</v>
      </c>
      <c r="B2246" s="14" t="str">
        <f ca="1">IFERROR(__xludf.DUMMYFUNCTION("""COMPUTED_VALUE"""),"ziiz.3094@gmail.com")</f>
        <v>ziiz.3094@gmail.com</v>
      </c>
      <c r="C2246" s="15" t="str">
        <f ca="1">IFERROR(__xludf.DUMMYFUNCTION("""COMPUTED_VALUE"""),"+998881251250")</f>
        <v>+998881251250</v>
      </c>
      <c r="D2246" s="15"/>
      <c r="E2246" s="14"/>
      <c r="F224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246" s="14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</row>
    <row r="2247" spans="1:26" ht="14.25">
      <c r="A2247" s="14" t="str">
        <f ca="1">IFERROR(__xludf.DUMMYFUNCTION("""COMPUTED_VALUE"""),"Зиля Югорина")</f>
        <v>Зиля Югорина</v>
      </c>
      <c r="B2247" s="14" t="str">
        <f ca="1">IFERROR(__xludf.DUMMYFUNCTION("""COMPUTED_VALUE"""),"zilyush@vk.com")</f>
        <v>zilyush@vk.com</v>
      </c>
      <c r="C2247" s="15" t="str">
        <f ca="1">IFERROR(__xludf.DUMMYFUNCTION("""COMPUTED_VALUE"""),"79821398992")</f>
        <v>79821398992</v>
      </c>
      <c r="D2247" s="15" t="str">
        <f ca="1">IFERROR(__xludf.DUMMYFUNCTION("""COMPUTED_VALUE"""),"Россия")</f>
        <v>Россия</v>
      </c>
      <c r="E2247" s="14"/>
      <c r="F2247" s="8" t="str">
        <f ca="1">IFERROR(__xludf.DUMMYFUNCTION("""COMPUTED_VALUE"""),"- Тишина Челлендж (бесплатная часть)")</f>
        <v>- Тишина Челлендж (бесплатная часть)</v>
      </c>
      <c r="G2247" s="14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</row>
    <row r="2248" spans="1:26" ht="25.5">
      <c r="A2248" s="14" t="str">
        <f ca="1">IFERROR(__xludf.DUMMYFUNCTION("""COMPUTED_VALUE"""),"Зийуар Толегенова")</f>
        <v>Зийуар Толегенова</v>
      </c>
      <c r="B2248" s="14" t="str">
        <f ca="1">IFERROR(__xludf.DUMMYFUNCTION("""COMPUTED_VALUE"""),"ziywar20987@gmail.com")</f>
        <v>ziywar20987@gmail.com</v>
      </c>
      <c r="C2248" s="15" t="str">
        <f ca="1">IFERROR(__xludf.DUMMYFUNCTION("""COMPUTED_VALUE"""),"998913038700")</f>
        <v>998913038700</v>
      </c>
      <c r="D2248" s="15"/>
      <c r="E2248" s="14"/>
      <c r="F2248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248" s="14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</row>
    <row r="2249" spans="1:26" ht="25.5">
      <c r="A2249" s="14" t="str">
        <f ca="1">IFERROR(__xludf.DUMMYFUNCTION("""COMPUTED_VALUE"""),"Жибек Қайнарбай")</f>
        <v>Жибек Қайнарбай</v>
      </c>
      <c r="B2249" s="14" t="str">
        <f ca="1">IFERROR(__xludf.DUMMYFUNCTION("""COMPUTED_VALUE"""),"Zkajnarbaj@mail.ru")</f>
        <v>Zkajnarbaj@mail.ru</v>
      </c>
      <c r="C2249" s="15" t="str">
        <f ca="1">IFERROR(__xludf.DUMMYFUNCTION("""COMPUTED_VALUE"""),"87753542479")</f>
        <v>87753542479</v>
      </c>
      <c r="D2249" s="15"/>
      <c r="E2249" s="14"/>
      <c r="F224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249" s="14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</row>
    <row r="2250" spans="1:26" ht="14.25">
      <c r="A2250" s="14" t="str">
        <f ca="1">IFERROR(__xludf.DUMMYFUNCTION("""COMPUTED_VALUE"""),"Ника Пекарская")</f>
        <v>Ника Пекарская</v>
      </c>
      <c r="B2250" s="14" t="str">
        <f ca="1">IFERROR(__xludf.DUMMYFUNCTION("""COMPUTED_VALUE"""),"Zlaya.Kotka@mail.ru")</f>
        <v>Zlaya.Kotka@mail.ru</v>
      </c>
      <c r="C2250" s="15" t="str">
        <f ca="1">IFERROR(__xludf.DUMMYFUNCTION("""COMPUTED_VALUE"""),"+375255241338")</f>
        <v>+375255241338</v>
      </c>
      <c r="D2250" s="15" t="str">
        <f ca="1">IFERROR(__xludf.DUMMYFUNCTION("""COMPUTED_VALUE"""),"Беларусь")</f>
        <v>Беларусь</v>
      </c>
      <c r="E2250" s="14"/>
      <c r="F2250" s="8" t="str">
        <f ca="1">IFERROR(__xludf.DUMMYFUNCTION("""COMPUTED_VALUE"""),"- Чайная встреча Разговор по душам Минск 11.12.2021")</f>
        <v>- Чайная встреча Разговор по душам Минск 11.12.2021</v>
      </c>
      <c r="G2250" s="14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</row>
    <row r="2251" spans="1:26" ht="14.25">
      <c r="A2251" s="14" t="str">
        <f ca="1">IFERROR(__xludf.DUMMYFUNCTION("""COMPUTED_VALUE"""),"zm100500,  ")</f>
        <v xml:space="preserve">zm100500,  </v>
      </c>
      <c r="B2251" s="14" t="str">
        <f ca="1">IFERROR(__xludf.DUMMYFUNCTION("""COMPUTED_VALUE"""),"zm100500@gmail.com")</f>
        <v>zm100500@gmail.com</v>
      </c>
      <c r="C2251" s="15"/>
      <c r="D2251" s="15"/>
      <c r="E2251" s="14"/>
      <c r="F2251" s="8" t="str">
        <f ca="1">IFERROR(__xludf.DUMMYFUNCTION("""COMPUTED_VALUE"""),"- USA Челлендж Тишина")</f>
        <v>- USA Челлендж Тишина</v>
      </c>
      <c r="G2251" s="14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</row>
    <row r="2252" spans="1:26" ht="14.25">
      <c r="A2252" s="14" t="str">
        <f ca="1">IFERROR(__xludf.DUMMYFUNCTION("""COMPUTED_VALUE"""),"Сергей Долина")</f>
        <v>Сергей Долина</v>
      </c>
      <c r="B2252" s="14" t="str">
        <f ca="1">IFERROR(__xludf.DUMMYFUNCTION("""COMPUTED_VALUE"""),"zmey31icq@yandex.ru")</f>
        <v>zmey31icq@yandex.ru</v>
      </c>
      <c r="C2252" s="15" t="str">
        <f ca="1">IFERROR(__xludf.DUMMYFUNCTION("""COMPUTED_VALUE"""),"+79282670980")</f>
        <v>+79282670980</v>
      </c>
      <c r="D2252" s="15" t="str">
        <f ca="1">IFERROR(__xludf.DUMMYFUNCTION("""COMPUTED_VALUE"""),"Россия")</f>
        <v>Россия</v>
      </c>
      <c r="E2252" s="14"/>
      <c r="F2252" s="8" t="str">
        <f ca="1">IFERROR(__xludf.DUMMYFUNCTION("""COMPUTED_VALUE"""),"- Заявка на СЪЕЗД+ФЕСТИВАЛЬ ""Мы вместе"" 3-8.01.22")</f>
        <v>- Заявка на СЪЕЗД+ФЕСТИВАЛЬ "Мы вместе" 3-8.01.22</v>
      </c>
      <c r="G2252" s="14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</row>
    <row r="2253" spans="1:26" ht="25.5">
      <c r="A2253" s="14" t="str">
        <f ca="1">IFERROR(__xludf.DUMMYFUNCTION("""COMPUTED_VALUE"""),"Жанар Калымова")</f>
        <v>Жанар Калымова</v>
      </c>
      <c r="B2253" s="14" t="str">
        <f ca="1">IFERROR(__xludf.DUMMYFUNCTION("""COMPUTED_VALUE"""),"Znurznur@mail.ru")</f>
        <v>Znurznur@mail.ru</v>
      </c>
      <c r="C2253" s="15" t="str">
        <f ca="1">IFERROR(__xludf.DUMMYFUNCTION("""COMPUTED_VALUE"""),"+77779915520")</f>
        <v>+77779915520</v>
      </c>
      <c r="D2253" s="15"/>
      <c r="E2253" s="14"/>
      <c r="F2253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253" s="14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</row>
    <row r="2254" spans="1:26" ht="14.25">
      <c r="A2254" s="14" t="str">
        <f ca="1">IFERROR(__xludf.DUMMYFUNCTION("""COMPUTED_VALUE"""),"Софья Позолотина")</f>
        <v>Софья Позолотина</v>
      </c>
      <c r="B2254" s="14" t="str">
        <f ca="1">IFERROR(__xludf.DUMMYFUNCTION("""COMPUTED_VALUE"""),"zolotoso@mail.ru")</f>
        <v>zolotoso@mail.ru</v>
      </c>
      <c r="C2254" s="15" t="str">
        <f ca="1">IFERROR(__xludf.DUMMYFUNCTION("""COMPUTED_VALUE"""),"79028760578")</f>
        <v>79028760578</v>
      </c>
      <c r="D2254" s="15" t="str">
        <f ca="1">IFERROR(__xludf.DUMMYFUNCTION("""COMPUTED_VALUE"""),"Россия")</f>
        <v>Россия</v>
      </c>
      <c r="E2254" s="14"/>
      <c r="F2254" s="8" t="str">
        <f ca="1">IFERROR(__xludf.DUMMYFUNCTION("""COMPUTED_VALUE"""),"- Тишина Челлендж (бесплатная часть)")</f>
        <v>- Тишина Челлендж (бесплатная часть)</v>
      </c>
      <c r="G2254" s="14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</row>
    <row r="2255" spans="1:26" ht="14.25">
      <c r="A2255" s="14" t="str">
        <f ca="1">IFERROR(__xludf.DUMMYFUNCTION("""COMPUTED_VALUE"""),"Наталья Зорихина")</f>
        <v>Наталья Зорихина</v>
      </c>
      <c r="B2255" s="14" t="str">
        <f ca="1">IFERROR(__xludf.DUMMYFUNCTION("""COMPUTED_VALUE"""),"zorihina79@mail.ru")</f>
        <v>zorihina79@mail.ru</v>
      </c>
      <c r="C2255" s="15" t="str">
        <f ca="1">IFERROR(__xludf.DUMMYFUNCTION("""COMPUTED_VALUE"""),", +79143819230")</f>
        <v>, +79143819230</v>
      </c>
      <c r="D2255" s="15" t="str">
        <f ca="1">IFERROR(__xludf.DUMMYFUNCTION("""COMPUTED_VALUE"""),"Россия")</f>
        <v>Россия</v>
      </c>
      <c r="E2255" s="14"/>
      <c r="F2255" s="8" t="str">
        <f ca="1">IFERROR(__xludf.DUMMYFUNCTION("""COMPUTED_VALUE"""),"Мероприятий не обнаружено")</f>
        <v>Мероприятий не обнаружено</v>
      </c>
      <c r="G2255" s="14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</row>
    <row r="2256" spans="1:26" ht="25.5">
      <c r="A2256" s="14" t="str">
        <f ca="1">IFERROR(__xludf.DUMMYFUNCTION("""COMPUTED_VALUE"""),"Зуля Таирова")</f>
        <v>Зуля Таирова</v>
      </c>
      <c r="B2256" s="14" t="str">
        <f ca="1">IFERROR(__xludf.DUMMYFUNCTION("""COMPUTED_VALUE"""),"Ztairova@yandex.ru")</f>
        <v>Ztairova@yandex.ru</v>
      </c>
      <c r="C2256" s="15" t="str">
        <f ca="1">IFERROR(__xludf.DUMMYFUNCTION("""COMPUTED_VALUE"""),"+998933832015")</f>
        <v>+998933832015</v>
      </c>
      <c r="D2256" s="15"/>
      <c r="E2256" s="14"/>
      <c r="F2256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256" s="14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</row>
    <row r="2257" spans="1:26" ht="14.25">
      <c r="A2257" s="14" t="str">
        <f ca="1">IFERROR(__xludf.DUMMYFUNCTION("""COMPUTED_VALUE"""),"Ирина зубова Зубова")</f>
        <v>Ирина зубова Зубова</v>
      </c>
      <c r="B2257" s="14" t="str">
        <f ca="1">IFERROR(__xludf.DUMMYFUNCTION("""COMPUTED_VALUE"""),"Zubovakst1@gmail.com")</f>
        <v>Zubovakst1@gmail.com</v>
      </c>
      <c r="C2257" s="15" t="str">
        <f ca="1">IFERROR(__xludf.DUMMYFUNCTION("""COMPUTED_VALUE"""),"79502400277")</f>
        <v>79502400277</v>
      </c>
      <c r="D2257" s="15" t="str">
        <f ca="1">IFERROR(__xludf.DUMMYFUNCTION("""COMPUTED_VALUE"""),"Россия")</f>
        <v>Россия</v>
      </c>
      <c r="E2257" s="14"/>
      <c r="F2257" s="8" t="str">
        <f ca="1">IFERROR(__xludf.DUMMYFUNCTION("""COMPUTED_VALUE"""),"- Тишина Челлендж (бесплатная часть)")</f>
        <v>- Тишина Челлендж (бесплатная часть)</v>
      </c>
      <c r="G2257" s="14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</row>
    <row r="2258" spans="1:26" ht="25.5">
      <c r="A2258" s="14" t="str">
        <f ca="1">IFERROR(__xludf.DUMMYFUNCTION("""COMPUTED_VALUE"""),"Александр Кучинский")</f>
        <v>Александр Кучинский</v>
      </c>
      <c r="B2258" s="14" t="str">
        <f ca="1">IFERROR(__xludf.DUMMYFUNCTION("""COMPUTED_VALUE"""),"zubrania@gmail.com")</f>
        <v>zubrania@gmail.com</v>
      </c>
      <c r="C2258" s="15" t="str">
        <f ca="1">IFERROR(__xludf.DUMMYFUNCTION("""COMPUTED_VALUE"""),"+7 (918) 996-76-93")</f>
        <v>+7 (918) 996-76-93</v>
      </c>
      <c r="D2258" s="15" t="str">
        <f ca="1">IFERROR(__xludf.DUMMYFUNCTION("""COMPUTED_VALUE"""),"Беларусь")</f>
        <v>Беларусь</v>
      </c>
      <c r="E2258" s="14" t="str">
        <f ca="1">IFERROR(__xludf.DUMMYFUNCTION("""COMPUTED_VALUE"""),"@zubrania")</f>
        <v>@zubrania</v>
      </c>
      <c r="F2258" s="8" t="str">
        <f ca="1">IFERROR(__xludf.DUMMYFUNCTION("""COMPUTED_VALUE"""),"- Онлайн курс Шаг к Пробуждению №15 29.1-8.02.22 Пакет стандартный")</f>
        <v>- Онлайн курс Шаг к Пробуждению №15 29.1-8.02.22 Пакет стандартный</v>
      </c>
      <c r="G2258" s="14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</row>
    <row r="2259" spans="1:26" ht="25.5">
      <c r="A2259" s="14" t="str">
        <f ca="1">IFERROR(__xludf.DUMMYFUNCTION("""COMPUTED_VALUE"""),"Жулдыз Нургидрова")</f>
        <v>Жулдыз Нургидрова</v>
      </c>
      <c r="B2259" s="14" t="str">
        <f ca="1">IFERROR(__xludf.DUMMYFUNCTION("""COMPUTED_VALUE"""),"zuldyznurkydyrova@gmail.com")</f>
        <v>zuldyznurkydyrova@gmail.com</v>
      </c>
      <c r="C2259" s="15" t="str">
        <f ca="1">IFERROR(__xludf.DUMMYFUNCTION("""COMPUTED_VALUE"""),"87076452817")</f>
        <v>87076452817</v>
      </c>
      <c r="D2259" s="15"/>
      <c r="E2259" s="14"/>
      <c r="F2259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259" s="14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</row>
    <row r="2260" spans="1:26" ht="25.5">
      <c r="A2260" s="14" t="str">
        <f ca="1">IFERROR(__xludf.DUMMYFUNCTION("""COMPUTED_VALUE"""),"Зульфия М")</f>
        <v>Зульфия М</v>
      </c>
      <c r="B2260" s="14" t="str">
        <f ca="1">IFERROR(__xludf.DUMMYFUNCTION("""COMPUTED_VALUE"""),"zulfiya.murzasheva@mail.ru")</f>
        <v>zulfiya.murzasheva@mail.ru</v>
      </c>
      <c r="C2260" s="15" t="str">
        <f ca="1">IFERROR(__xludf.DUMMYFUNCTION("""COMPUTED_VALUE"""),"87773500708")</f>
        <v>87773500708</v>
      </c>
      <c r="D2260" s="15"/>
      <c r="E2260" s="14"/>
      <c r="F2260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260" s="14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</row>
    <row r="2261" spans="1:26" ht="14.25">
      <c r="A2261" s="14" t="str">
        <f ca="1">IFERROR(__xludf.DUMMYFUNCTION("""COMPUTED_VALUE"""),"Зулия Азат")</f>
        <v>Зулия Азат</v>
      </c>
      <c r="B2261" s="14" t="str">
        <f ca="1">IFERROR(__xludf.DUMMYFUNCTION("""COMPUTED_VALUE"""),"zulyacipa@gmail.com")</f>
        <v>zulyacipa@gmail.com</v>
      </c>
      <c r="C2261" s="15"/>
      <c r="D2261" s="15" t="str">
        <f ca="1">IFERROR(__xludf.DUMMYFUNCTION("""COMPUTED_VALUE"""),"Швеция")</f>
        <v>Швеция</v>
      </c>
      <c r="E2261" s="14"/>
      <c r="F2261" s="8" t="str">
        <f ca="1">IFERROR(__xludf.DUMMYFUNCTION("""COMPUTED_VALUE"""),"- Тишина Челлендж (бесплатная часть)")</f>
        <v>- Тишина Челлендж (бесплатная часть)</v>
      </c>
      <c r="G2261" s="14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</row>
    <row r="2262" spans="1:26" ht="14.25">
      <c r="A2262" s="14" t="str">
        <f ca="1">IFERROR(__xludf.DUMMYFUNCTION("""COMPUTED_VALUE"""),"Надия Жумабай")</f>
        <v>Надия Жумабай</v>
      </c>
      <c r="B2262" s="14" t="str">
        <f ca="1">IFERROR(__xludf.DUMMYFUNCTION("""COMPUTED_VALUE"""),"zumabajnadia@gmail.com")</f>
        <v>zumabajnadia@gmail.com</v>
      </c>
      <c r="C2262" s="15"/>
      <c r="D2262" s="15" t="str">
        <f ca="1">IFERROR(__xludf.DUMMYFUNCTION("""COMPUTED_VALUE"""),"Швеция")</f>
        <v>Швеция</v>
      </c>
      <c r="E2262" s="14"/>
      <c r="F2262" s="8" t="str">
        <f ca="1">IFERROR(__xludf.DUMMYFUNCTION("""COMPUTED_VALUE"""),"- Тишина Челлендж (бесплатная часть)")</f>
        <v>- Тишина Челлендж (бесплатная часть)</v>
      </c>
      <c r="G2262" s="14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</row>
    <row r="2263" spans="1:26" ht="63.75">
      <c r="A2263" s="14" t="str">
        <f ca="1">IFERROR(__xludf.DUMMYFUNCTION("""COMPUTED_VALUE"""),"Людмила Медведева")</f>
        <v>Людмила Медведева</v>
      </c>
      <c r="B2263" s="14" t="str">
        <f ca="1">IFERROR(__xludf.DUMMYFUNCTION("""COMPUTED_VALUE"""),"zvezdalyuda2020@yandex.ru")</f>
        <v>zvezdalyuda2020@yandex.ru</v>
      </c>
      <c r="C2263" s="15" t="str">
        <f ca="1">IFERROR(__xludf.DUMMYFUNCTION("""COMPUTED_VALUE"""),"79823581182")</f>
        <v>79823581182</v>
      </c>
      <c r="D2263" s="15" t="str">
        <f ca="1">IFERROR(__xludf.DUMMYFUNCTION("""COMPUTED_VALUE"""),"Россия")</f>
        <v>Россия</v>
      </c>
      <c r="E2263" s="14"/>
      <c r="F2263" s="8" t="str">
        <f ca="1">IFERROR(__xludf.DUMMYFUNCTION("""COMPUTED_VALUE"""),"- Челлендж Тишины
- Онлайн курс Шаг к Пробуждению №16 26.2-5.3.22 Пакет стандартный
- Друзья. Базовый уровень (ежемесячная платная подписка) 
- Ретрит в РЦ Сочи май 2022 (Оплата до 17 апреля)")</f>
        <v>- Челлендж Тишины
- Онлайн курс Шаг к Пробуждению №16 26.2-5.3.22 Пакет стандартный
- Друзья. Базовый уровень (ежемесячная платная подписка) 
- Ретрит в РЦ Сочи май 2022 (Оплата до 17 апреля)</v>
      </c>
      <c r="G2263" s="14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</row>
    <row r="2264" spans="1:26" ht="25.5">
      <c r="A2264" s="14" t="str">
        <f ca="1">IFERROR(__xludf.DUMMYFUNCTION("""COMPUTED_VALUE"""),"Николай Череасов")</f>
        <v>Николай Череасов</v>
      </c>
      <c r="B2264" s="14" t="str">
        <f ca="1">IFERROR(__xludf.DUMMYFUNCTION("""COMPUTED_VALUE"""),"zvezdolet0@mail.ru")</f>
        <v>zvezdolet0@mail.ru</v>
      </c>
      <c r="C2264" s="15" t="str">
        <f ca="1">IFERROR(__xludf.DUMMYFUNCTION("""COMPUTED_VALUE"""),"79194425862")</f>
        <v>79194425862</v>
      </c>
      <c r="D2264" s="15" t="str">
        <f ca="1">IFERROR(__xludf.DUMMYFUNCTION("""COMPUTED_VALUE"""),"россия")</f>
        <v>россия</v>
      </c>
      <c r="E2264" s="14"/>
      <c r="F2264" s="8" t="str">
        <f ca="1">IFERROR(__xludf.DUMMYFUNCTION("""COMPUTED_VALUE"""),"- Вебинар с Никитой Бородулиным 11.02.2022 часть1
- Вводный вебинар 3.5.22 на Шаг к Пробуждению")</f>
        <v>- Вебинар с Никитой Бородулиным 11.02.2022 часть1
- Вводный вебинар 3.5.22 на Шаг к Пробуждению</v>
      </c>
      <c r="G2264" s="14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</row>
    <row r="2265" spans="1:26" ht="25.5">
      <c r="A2265" s="14" t="str">
        <f ca="1">IFERROR(__xludf.DUMMYFUNCTION("""COMPUTED_VALUE"""),"Мария Сивакова")</f>
        <v>Мария Сивакова</v>
      </c>
      <c r="B2265" s="14" t="str">
        <f ca="1">IFERROR(__xludf.DUMMYFUNCTION("""COMPUTED_VALUE"""),"Zyak@mail.ru")</f>
        <v>Zyak@mail.ru</v>
      </c>
      <c r="C2265" s="15" t="str">
        <f ca="1">IFERROR(__xludf.DUMMYFUNCTION("""COMPUTED_VALUE"""),"+77078098827")</f>
        <v>+77078098827</v>
      </c>
      <c r="D2265" s="15" t="str">
        <f ca="1">IFERROR(__xludf.DUMMYFUNCTION("""COMPUTED_VALUE"""),"Казахстан ")</f>
        <v xml:space="preserve">Казахстан </v>
      </c>
      <c r="E2265" s="14"/>
      <c r="F2265" s="8" t="str">
        <f ca="1">IFERROR(__xludf.DUMMYFUNCTION("""COMPUTED_VALUE"""),"- Марафон Тишины - Тишина челлендж: Урал, Казахстан, Узбекистан 25-29.04.2022")</f>
        <v>- Марафон Тишины - Тишина челлендж: Урал, Казахстан, Узбекистан 25-29.04.2022</v>
      </c>
      <c r="G2265" s="14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</row>
    <row r="2266" spans="1:26" ht="14.25">
      <c r="A2266" s="14" t="str">
        <f ca="1">IFERROR(__xludf.DUMMYFUNCTION("""COMPUTED_VALUE"""),"Юлия Зыкова")</f>
        <v>Юлия Зыкова</v>
      </c>
      <c r="B2266" s="14" t="str">
        <f ca="1">IFERROR(__xludf.DUMMYFUNCTION("""COMPUTED_VALUE"""),"zykovazj@gmail.com")</f>
        <v>zykovazj@gmail.com</v>
      </c>
      <c r="C2266" s="15" t="str">
        <f ca="1">IFERROR(__xludf.DUMMYFUNCTION("""COMPUTED_VALUE"""),"79852614977")</f>
        <v>79852614977</v>
      </c>
      <c r="D2266" s="15" t="str">
        <f ca="1">IFERROR(__xludf.DUMMYFUNCTION("""COMPUTED_VALUE"""),"Швейцария")</f>
        <v>Швейцария</v>
      </c>
      <c r="E2266" s="14"/>
      <c r="F2266" s="8" t="str">
        <f ca="1">IFERROR(__xludf.DUMMYFUNCTION("""COMPUTED_VALUE"""),"- Вводный вебинар 3.5.22 на Шаг к Пробуждению")</f>
        <v>- Вводный вебинар 3.5.22 на Шаг к Пробуждению</v>
      </c>
      <c r="G2266" s="14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</row>
    <row r="2267" spans="1:26" ht="14.25">
      <c r="A2267" s="14" t="str">
        <f ca="1">IFERROR(__xludf.DUMMYFUNCTION("""COMPUTED_VALUE"""),"Зилола Алиева")</f>
        <v>Зилола Алиева</v>
      </c>
      <c r="B2267" s="14" t="str">
        <f ca="1">IFERROR(__xludf.DUMMYFUNCTION("""COMPUTED_VALUE"""),"Zzilolaliyeva@internet.ruilola")</f>
        <v>Zzilolaliyeva@internet.ruilola</v>
      </c>
      <c r="C2267" s="15" t="str">
        <f ca="1">IFERROR(__xludf.DUMMYFUNCTION("""COMPUTED_VALUE"""),", +998933153500")</f>
        <v>, +998933153500</v>
      </c>
      <c r="D2267" s="15"/>
      <c r="E2267" s="14"/>
      <c r="F2267" s="8" t="str">
        <f ca="1">IFERROR(__xludf.DUMMYFUNCTION("""COMPUTED_VALUE"""),"Мероприятий не обнаружено")</f>
        <v>Мероприятий не обнаружено</v>
      </c>
      <c r="G2267" s="14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</row>
    <row r="2268" spans="1:26" ht="14.25">
      <c r="A2268" s="14" t="str">
        <f ca="1">IFERROR(__xludf.DUMMYFUNCTION("""COMPUTED_VALUE"""),"Aliaksandr Kuchynski")</f>
        <v>Aliaksandr Kuchynski</v>
      </c>
      <c r="B2268" s="14" t="str">
        <f ca="1">IFERROR(__xludf.DUMMYFUNCTION("""COMPUTED_VALUE"""),"zzz1945@mail.ru")</f>
        <v>zzz1945@mail.ru</v>
      </c>
      <c r="C2268" s="15" t="str">
        <f ca="1">IFERROR(__xludf.DUMMYFUNCTION("""COMPUTED_VALUE"""),"+375296771761")</f>
        <v>+375296771761</v>
      </c>
      <c r="D2268" s="15"/>
      <c r="E2268" s="14"/>
      <c r="F2268" s="8" t="str">
        <f ca="1">IFERROR(__xludf.DUMMYFUNCTION("""COMPUTED_VALUE"""),"- Партнерская программа")</f>
        <v>- Партнерская программа</v>
      </c>
      <c r="G2268" s="14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</row>
    <row r="2269" spans="1:26" ht="14.25">
      <c r="A2269" s="14"/>
      <c r="B2269" s="14"/>
      <c r="C2269" s="15"/>
      <c r="D2269" s="15"/>
      <c r="E2269" s="14"/>
      <c r="F2269" s="8" t="str">
        <f ca="1">IFERROR(__xludf.DUMMYFUNCTION("""COMPUTED_VALUE"""),"- ")</f>
        <v xml:space="preserve">- </v>
      </c>
      <c r="G2269" s="14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</row>
    <row r="2270" spans="1:26" ht="14.25">
      <c r="A2270" s="14"/>
      <c r="B2270" s="14"/>
      <c r="C2270" s="15"/>
      <c r="D2270" s="15"/>
      <c r="E2270" s="14"/>
      <c r="F2270" s="8"/>
      <c r="G2270" s="14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</row>
    <row r="2271" spans="1:26" ht="14.25">
      <c r="A2271" s="14"/>
      <c r="B2271" s="14"/>
      <c r="C2271" s="15"/>
      <c r="D2271" s="15"/>
      <c r="E2271" s="14"/>
      <c r="F2271" s="8"/>
      <c r="G2271" s="14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</row>
    <row r="2272" spans="1:26" ht="14.25">
      <c r="A2272" s="14"/>
      <c r="B2272" s="14"/>
      <c r="C2272" s="15"/>
      <c r="D2272" s="15"/>
      <c r="E2272" s="14"/>
      <c r="F2272" s="8"/>
      <c r="G2272" s="14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</row>
  </sheetData>
  <hyperlinks>
    <hyperlink ref="E442" r:id="rId1" display="https://t.me/Anna_Sizova_Photo"/>
    <hyperlink ref="E972" r:id="rId2" display="https://t.me/karina_motion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6"/>
  <sheetViews>
    <sheetView tabSelected="1" topLeftCell="A1380" workbookViewId="0">
      <selection activeCell="B1225" sqref="B1225"/>
    </sheetView>
  </sheetViews>
  <sheetFormatPr defaultRowHeight="14.25"/>
  <cols>
    <col min="1" max="1" width="18" style="19" customWidth="1"/>
    <col min="3" max="4" width="11.875" bestFit="1" customWidth="1"/>
  </cols>
  <sheetData>
    <row r="1" spans="1:2">
      <c r="A1" s="19">
        <v>89670630970</v>
      </c>
      <c r="B1" s="25" t="s">
        <v>12462</v>
      </c>
    </row>
    <row r="2" spans="1:2">
      <c r="A2" s="19">
        <v>79025861314</v>
      </c>
      <c r="B2" s="18"/>
    </row>
    <row r="3" spans="1:2">
      <c r="A3" s="19">
        <v>79026241147</v>
      </c>
      <c r="B3" s="18"/>
    </row>
    <row r="4" spans="1:2">
      <c r="A4" s="19">
        <v>79026801588</v>
      </c>
      <c r="B4" s="18"/>
    </row>
    <row r="5" spans="1:2">
      <c r="A5" s="19">
        <v>79027371450</v>
      </c>
      <c r="B5" s="18"/>
    </row>
    <row r="6" spans="1:2">
      <c r="A6" s="19">
        <v>79029241902</v>
      </c>
      <c r="B6" s="18"/>
    </row>
    <row r="7" spans="1:2">
      <c r="A7" s="19">
        <v>79030077773</v>
      </c>
      <c r="B7" s="18"/>
    </row>
    <row r="8" spans="1:2">
      <c r="A8" s="19">
        <v>79030442012</v>
      </c>
      <c r="B8" s="18"/>
    </row>
    <row r="9" spans="1:2">
      <c r="A9" s="19">
        <v>79031060720</v>
      </c>
      <c r="B9" s="18"/>
    </row>
    <row r="10" spans="1:2">
      <c r="A10" s="19">
        <v>79031150003</v>
      </c>
      <c r="B10" s="18"/>
    </row>
    <row r="11" spans="1:2">
      <c r="A11" s="19">
        <v>79031170174</v>
      </c>
      <c r="B11" s="18"/>
    </row>
    <row r="12" spans="1:2">
      <c r="A12" s="19">
        <v>79031497021</v>
      </c>
      <c r="B12" s="18"/>
    </row>
    <row r="13" spans="1:2">
      <c r="A13" s="19">
        <v>79031930091</v>
      </c>
      <c r="B13" s="18"/>
    </row>
    <row r="14" spans="1:2">
      <c r="A14" s="19">
        <v>79032100229</v>
      </c>
      <c r="B14" s="18"/>
    </row>
    <row r="15" spans="1:2">
      <c r="A15" s="19">
        <v>79032269378</v>
      </c>
      <c r="B15" s="18"/>
    </row>
    <row r="16" spans="1:2">
      <c r="A16" s="19">
        <v>79034165115</v>
      </c>
      <c r="B16" s="18"/>
    </row>
    <row r="17" spans="1:2">
      <c r="A17" s="19">
        <v>79034717672</v>
      </c>
      <c r="B17" s="18"/>
    </row>
    <row r="18" spans="1:2">
      <c r="A18" s="19">
        <v>79035135578</v>
      </c>
      <c r="B18" s="18"/>
    </row>
    <row r="19" spans="1:2">
      <c r="A19" s="19">
        <v>79036320466</v>
      </c>
      <c r="B19" s="18"/>
    </row>
    <row r="20" spans="1:2">
      <c r="A20" s="19">
        <v>79036454306</v>
      </c>
      <c r="B20" s="18"/>
    </row>
    <row r="21" spans="1:2">
      <c r="A21" s="19">
        <v>79036745017</v>
      </c>
      <c r="B21" s="18"/>
    </row>
    <row r="22" spans="1:2">
      <c r="A22" s="19">
        <v>79037260485</v>
      </c>
      <c r="B22" s="18"/>
    </row>
    <row r="23" spans="1:2">
      <c r="A23" s="19">
        <v>79037434338</v>
      </c>
      <c r="B23" s="18"/>
    </row>
    <row r="24" spans="1:2">
      <c r="A24" s="19">
        <v>79040306687</v>
      </c>
      <c r="B24" s="18"/>
    </row>
    <row r="25" spans="1:2">
      <c r="A25" s="19">
        <v>79041648182</v>
      </c>
      <c r="B25" s="18"/>
    </row>
    <row r="26" spans="1:2">
      <c r="A26" s="19">
        <v>79041907007</v>
      </c>
      <c r="B26" s="18"/>
    </row>
    <row r="27" spans="1:2">
      <c r="A27" s="19">
        <v>79042129666</v>
      </c>
      <c r="B27" s="18"/>
    </row>
    <row r="28" spans="1:2">
      <c r="A28" s="19">
        <v>79042703173</v>
      </c>
      <c r="B28" s="18"/>
    </row>
    <row r="29" spans="1:2">
      <c r="A29" s="19">
        <v>79042945702</v>
      </c>
      <c r="B29" s="18"/>
    </row>
    <row r="30" spans="1:2">
      <c r="A30" s="19">
        <v>79043302468</v>
      </c>
      <c r="B30" s="18"/>
    </row>
    <row r="31" spans="1:2">
      <c r="A31" s="19">
        <v>79043959542</v>
      </c>
      <c r="B31" s="18"/>
    </row>
    <row r="32" spans="1:2">
      <c r="A32" s="19">
        <v>79045470011</v>
      </c>
      <c r="B32" s="18"/>
    </row>
    <row r="33" spans="1:2">
      <c r="A33" s="19">
        <v>79046816472</v>
      </c>
      <c r="B33" s="18"/>
    </row>
    <row r="34" spans="1:2">
      <c r="A34" s="19">
        <v>79046833844</v>
      </c>
      <c r="B34" s="18"/>
    </row>
    <row r="35" spans="1:2">
      <c r="A35" s="19">
        <v>79046899319</v>
      </c>
      <c r="B35" s="18"/>
    </row>
    <row r="36" spans="1:2">
      <c r="A36" s="19">
        <v>79047841197</v>
      </c>
      <c r="B36" s="18"/>
    </row>
    <row r="37" spans="1:2">
      <c r="A37" s="19">
        <v>79048090777</v>
      </c>
      <c r="B37" s="18"/>
    </row>
    <row r="38" spans="1:2">
      <c r="A38" s="19">
        <v>79049562845</v>
      </c>
      <c r="B38" s="18"/>
    </row>
    <row r="39" spans="1:2">
      <c r="A39" s="19">
        <v>79049860544</v>
      </c>
      <c r="B39" s="18"/>
    </row>
    <row r="40" spans="1:2">
      <c r="A40" s="19">
        <v>79051735687</v>
      </c>
      <c r="B40" s="18"/>
    </row>
    <row r="41" spans="1:2">
      <c r="A41" s="19">
        <v>79052642924</v>
      </c>
      <c r="B41" s="18"/>
    </row>
    <row r="42" spans="1:2">
      <c r="A42" s="19">
        <v>79052746913</v>
      </c>
      <c r="B42" s="18"/>
    </row>
    <row r="43" spans="1:2">
      <c r="A43" s="19">
        <v>79052975793</v>
      </c>
      <c r="B43" s="18"/>
    </row>
    <row r="44" spans="1:2">
      <c r="A44" s="19">
        <v>79053712018</v>
      </c>
      <c r="B44" s="18"/>
    </row>
    <row r="45" spans="1:2">
      <c r="A45" s="19">
        <v>79054529388</v>
      </c>
      <c r="B45" s="18"/>
    </row>
    <row r="46" spans="1:2">
      <c r="A46" s="19">
        <v>79054563468</v>
      </c>
      <c r="B46" s="18"/>
    </row>
    <row r="47" spans="1:2">
      <c r="A47" s="19">
        <v>79057189345</v>
      </c>
      <c r="B47" s="18"/>
    </row>
    <row r="48" spans="1:2">
      <c r="A48" s="19">
        <v>79057457775</v>
      </c>
      <c r="B48" s="18"/>
    </row>
    <row r="49" spans="1:2">
      <c r="A49" s="19">
        <v>79057695720</v>
      </c>
      <c r="B49" s="18"/>
    </row>
    <row r="50" spans="1:2">
      <c r="A50" s="19">
        <v>79058983366</v>
      </c>
      <c r="B50" s="18"/>
    </row>
    <row r="51" spans="1:2">
      <c r="A51" s="19">
        <v>79060250309</v>
      </c>
      <c r="B51" s="18"/>
    </row>
    <row r="52" spans="1:2">
      <c r="A52" s="19">
        <v>79064061670</v>
      </c>
      <c r="B52" s="18"/>
    </row>
    <row r="53" spans="1:2">
      <c r="A53" s="19">
        <v>79064636325</v>
      </c>
      <c r="B53" s="18"/>
    </row>
    <row r="54" spans="1:2">
      <c r="A54" s="19">
        <v>79080635229</v>
      </c>
      <c r="B54" s="18"/>
    </row>
    <row r="55" spans="1:2">
      <c r="A55" s="19">
        <v>79080685678</v>
      </c>
      <c r="B55" s="18"/>
    </row>
    <row r="56" spans="1:2">
      <c r="A56" s="19">
        <v>79080896951</v>
      </c>
      <c r="B56" s="18"/>
    </row>
    <row r="57" spans="1:2">
      <c r="A57" s="19">
        <v>79081449122</v>
      </c>
      <c r="B57" s="18"/>
    </row>
    <row r="58" spans="1:2">
      <c r="A58" s="19">
        <v>79081740416</v>
      </c>
      <c r="B58" s="18"/>
    </row>
    <row r="59" spans="1:2">
      <c r="A59" s="19">
        <v>79084454392</v>
      </c>
      <c r="B59" s="18"/>
    </row>
    <row r="60" spans="1:2">
      <c r="A60" s="19">
        <v>79084494194</v>
      </c>
      <c r="B60" s="18"/>
    </row>
    <row r="61" spans="1:2">
      <c r="A61" s="19">
        <v>79085805263</v>
      </c>
      <c r="B61" s="18"/>
    </row>
    <row r="62" spans="1:2">
      <c r="A62" s="19">
        <v>79085863177</v>
      </c>
      <c r="B62" s="18"/>
    </row>
    <row r="63" spans="1:2">
      <c r="A63" s="19">
        <v>79086311436</v>
      </c>
      <c r="B63" s="18"/>
    </row>
    <row r="64" spans="1:2">
      <c r="A64" s="19">
        <v>79089028744</v>
      </c>
      <c r="B64" s="18"/>
    </row>
    <row r="65" spans="1:2">
      <c r="A65" s="19">
        <v>79089356501</v>
      </c>
      <c r="B65" s="18"/>
    </row>
    <row r="66" spans="1:2">
      <c r="A66" s="19">
        <v>79090060846</v>
      </c>
      <c r="B66" s="18"/>
    </row>
    <row r="67" spans="1:2">
      <c r="A67" s="19">
        <v>79090900008</v>
      </c>
      <c r="B67" s="18"/>
    </row>
    <row r="68" spans="1:2">
      <c r="A68" s="19">
        <v>79090901008</v>
      </c>
      <c r="B68" s="18"/>
    </row>
    <row r="69" spans="1:2">
      <c r="A69" s="19">
        <v>79091156643</v>
      </c>
      <c r="B69" s="18"/>
    </row>
    <row r="70" spans="1:2">
      <c r="A70" s="19">
        <v>79093360020</v>
      </c>
      <c r="B70" s="18"/>
    </row>
    <row r="71" spans="1:2">
      <c r="A71" s="19">
        <v>79095237799</v>
      </c>
      <c r="B71" s="18"/>
    </row>
    <row r="72" spans="1:2">
      <c r="A72" s="19">
        <v>79095810073</v>
      </c>
      <c r="B72" s="18"/>
    </row>
    <row r="73" spans="1:2">
      <c r="A73" s="20">
        <v>79097770030</v>
      </c>
      <c r="B73" s="18"/>
    </row>
    <row r="74" spans="1:2">
      <c r="A74" s="19">
        <v>79097794943</v>
      </c>
      <c r="B74" s="18"/>
    </row>
    <row r="75" spans="1:2">
      <c r="A75" s="19">
        <v>79097862900</v>
      </c>
      <c r="B75" s="18"/>
    </row>
    <row r="76" spans="1:2">
      <c r="A76" s="19">
        <v>79097979378</v>
      </c>
      <c r="B76" s="18"/>
    </row>
    <row r="77" spans="1:2">
      <c r="A77" s="19">
        <v>79101125283</v>
      </c>
      <c r="B77" s="18"/>
    </row>
    <row r="78" spans="1:2">
      <c r="A78" s="19">
        <v>79103478087</v>
      </c>
      <c r="B78" s="18"/>
    </row>
    <row r="79" spans="1:2">
      <c r="A79" s="19">
        <v>79104408845</v>
      </c>
      <c r="B79" s="18"/>
    </row>
    <row r="80" spans="1:2">
      <c r="A80" s="19">
        <v>79104642417</v>
      </c>
      <c r="B80" s="18"/>
    </row>
    <row r="81" spans="1:2">
      <c r="A81" s="19">
        <v>79106788777</v>
      </c>
      <c r="B81" s="18"/>
    </row>
    <row r="82" spans="1:2">
      <c r="A82" s="19">
        <v>79106820656</v>
      </c>
      <c r="B82" s="18"/>
    </row>
    <row r="83" spans="1:2">
      <c r="A83" s="19">
        <v>79109161919</v>
      </c>
      <c r="B83" s="18"/>
    </row>
    <row r="84" spans="1:2">
      <c r="A84" s="19">
        <v>79109648891</v>
      </c>
      <c r="B84" s="18"/>
    </row>
    <row r="85" spans="1:2">
      <c r="A85" s="19">
        <v>79109710867</v>
      </c>
      <c r="B85" s="18"/>
    </row>
    <row r="86" spans="1:2">
      <c r="A86" s="19">
        <v>79109888865</v>
      </c>
      <c r="B86" s="18"/>
    </row>
    <row r="87" spans="1:2">
      <c r="A87" s="19">
        <v>79111032132</v>
      </c>
      <c r="B87" s="18"/>
    </row>
    <row r="88" spans="1:2">
      <c r="A88" s="19">
        <v>79111260887</v>
      </c>
      <c r="B88" s="18"/>
    </row>
    <row r="89" spans="1:2">
      <c r="A89" s="19">
        <v>79112333947</v>
      </c>
      <c r="B89" s="18"/>
    </row>
    <row r="90" spans="1:2">
      <c r="A90" s="19">
        <v>79112629700</v>
      </c>
      <c r="B90" s="18"/>
    </row>
    <row r="91" spans="1:2">
      <c r="A91" s="19">
        <v>79113072217</v>
      </c>
      <c r="B91" s="18"/>
    </row>
    <row r="92" spans="1:2">
      <c r="A92" s="19">
        <v>79113948002</v>
      </c>
      <c r="B92" s="18"/>
    </row>
    <row r="93" spans="1:2">
      <c r="A93" s="19">
        <v>79114231875</v>
      </c>
      <c r="B93" s="18"/>
    </row>
    <row r="94" spans="1:2">
      <c r="A94" s="19">
        <v>79115579043</v>
      </c>
      <c r="B94" s="18"/>
    </row>
    <row r="95" spans="1:2">
      <c r="A95" s="19">
        <v>79117707379</v>
      </c>
      <c r="B95" s="18"/>
    </row>
    <row r="96" spans="1:2">
      <c r="A96" s="19">
        <v>79117710812</v>
      </c>
      <c r="B96" s="18"/>
    </row>
    <row r="97" spans="1:2">
      <c r="A97" s="19">
        <v>79118381258</v>
      </c>
      <c r="B97" s="18"/>
    </row>
    <row r="98" spans="1:2">
      <c r="A98" s="19">
        <v>79119252888</v>
      </c>
      <c r="B98" s="18"/>
    </row>
    <row r="99" spans="1:2">
      <c r="A99" s="19">
        <v>79119258928</v>
      </c>
      <c r="B99" s="18"/>
    </row>
    <row r="100" spans="1:2">
      <c r="A100" s="19">
        <v>79119596505</v>
      </c>
      <c r="B100" s="18"/>
    </row>
    <row r="101" spans="1:2">
      <c r="A101" s="19">
        <v>79120457250</v>
      </c>
      <c r="B101" s="18"/>
    </row>
    <row r="102" spans="1:2">
      <c r="A102" s="19">
        <v>79121642582</v>
      </c>
      <c r="B102" s="18"/>
    </row>
    <row r="103" spans="1:2">
      <c r="A103" s="19">
        <v>79122533821</v>
      </c>
      <c r="B103" s="18"/>
    </row>
    <row r="104" spans="1:2">
      <c r="A104" s="19">
        <v>79123221626</v>
      </c>
      <c r="B104" s="18"/>
    </row>
    <row r="105" spans="1:2">
      <c r="A105" s="19">
        <v>79123297660</v>
      </c>
      <c r="B105" s="18"/>
    </row>
    <row r="106" spans="1:2">
      <c r="A106" s="19">
        <v>79126984943</v>
      </c>
      <c r="B106" s="18"/>
    </row>
    <row r="107" spans="1:2">
      <c r="A107" s="19">
        <v>79128180470</v>
      </c>
      <c r="B107" s="18"/>
    </row>
    <row r="108" spans="1:2">
      <c r="A108" s="19">
        <v>79133986053</v>
      </c>
      <c r="B108" s="18"/>
    </row>
    <row r="109" spans="1:2">
      <c r="A109" s="19">
        <v>79136495842</v>
      </c>
      <c r="B109" s="18"/>
    </row>
    <row r="110" spans="1:2">
      <c r="A110" s="19">
        <v>79136566518</v>
      </c>
      <c r="B110" s="18"/>
    </row>
    <row r="111" spans="1:2">
      <c r="A111" s="19">
        <v>79137302031</v>
      </c>
      <c r="B111" s="18"/>
    </row>
    <row r="112" spans="1:2">
      <c r="A112" s="19">
        <v>79137366176</v>
      </c>
      <c r="B112" s="18"/>
    </row>
    <row r="113" spans="1:2">
      <c r="A113" s="19">
        <v>79137406304</v>
      </c>
      <c r="B113" s="18"/>
    </row>
    <row r="114" spans="1:2">
      <c r="A114" s="19">
        <v>79137992747</v>
      </c>
      <c r="B114" s="18"/>
    </row>
    <row r="115" spans="1:2">
      <c r="A115" s="19">
        <v>79138049867</v>
      </c>
      <c r="B115" s="18"/>
    </row>
    <row r="116" spans="1:2">
      <c r="A116" s="19">
        <v>79138137334</v>
      </c>
      <c r="B116" s="18"/>
    </row>
    <row r="117" spans="1:2">
      <c r="A117" s="19">
        <v>79138205209</v>
      </c>
      <c r="B117" s="18"/>
    </row>
    <row r="118" spans="1:2">
      <c r="A118" s="19">
        <v>79139067789</v>
      </c>
      <c r="B118" s="18"/>
    </row>
    <row r="119" spans="1:2">
      <c r="A119" s="19">
        <v>79139142454</v>
      </c>
      <c r="B119" s="18"/>
    </row>
    <row r="120" spans="1:2">
      <c r="A120" s="19">
        <v>79141717062</v>
      </c>
      <c r="B120" s="18"/>
    </row>
    <row r="121" spans="1:2">
      <c r="A121" s="19">
        <v>79141751866</v>
      </c>
      <c r="B121" s="18"/>
    </row>
    <row r="122" spans="1:2">
      <c r="A122" s="19">
        <v>79142902225</v>
      </c>
      <c r="B122" s="18"/>
    </row>
    <row r="123" spans="1:2">
      <c r="A123" s="19">
        <v>79143819230</v>
      </c>
      <c r="B123" s="18"/>
    </row>
    <row r="124" spans="1:2">
      <c r="A124" s="19">
        <v>79144096186</v>
      </c>
      <c r="B124" s="18"/>
    </row>
    <row r="125" spans="1:2">
      <c r="A125" s="19">
        <v>79144741335</v>
      </c>
      <c r="B125" s="18"/>
    </row>
    <row r="126" spans="1:2">
      <c r="A126" s="19">
        <v>79145417458</v>
      </c>
      <c r="B126" s="18"/>
    </row>
    <row r="127" spans="1:2">
      <c r="A127" s="19">
        <v>79145419144</v>
      </c>
      <c r="B127" s="18"/>
    </row>
    <row r="128" spans="1:2">
      <c r="A128" s="19">
        <v>79145569087</v>
      </c>
      <c r="B128" s="18"/>
    </row>
    <row r="129" spans="1:2">
      <c r="A129" s="19">
        <v>79146607759</v>
      </c>
      <c r="B129" s="18"/>
    </row>
    <row r="130" spans="1:2">
      <c r="A130" s="19">
        <v>79146935232</v>
      </c>
      <c r="B130" s="18"/>
    </row>
    <row r="131" spans="1:2">
      <c r="A131" s="19">
        <v>79147072708</v>
      </c>
      <c r="B131" s="18"/>
    </row>
    <row r="132" spans="1:2">
      <c r="A132" s="19">
        <v>79147292828</v>
      </c>
      <c r="B132" s="18"/>
    </row>
    <row r="133" spans="1:2">
      <c r="A133" s="19">
        <v>79147760306</v>
      </c>
      <c r="B133" s="18"/>
    </row>
    <row r="134" spans="1:2">
      <c r="A134" s="19">
        <v>79150532984</v>
      </c>
      <c r="B134" s="18"/>
    </row>
    <row r="135" spans="1:2">
      <c r="A135" s="19">
        <v>79150542691</v>
      </c>
      <c r="B135" s="18"/>
    </row>
    <row r="136" spans="1:2">
      <c r="A136" s="19">
        <v>79151154097</v>
      </c>
      <c r="B136" s="18"/>
    </row>
    <row r="137" spans="1:2">
      <c r="A137" s="19">
        <v>79152127228</v>
      </c>
      <c r="B137" s="18"/>
    </row>
    <row r="138" spans="1:2">
      <c r="A138" s="19">
        <v>79153580960</v>
      </c>
      <c r="B138" s="18"/>
    </row>
    <row r="139" spans="1:2">
      <c r="A139" s="19">
        <v>79154714919</v>
      </c>
      <c r="B139" s="18"/>
    </row>
    <row r="140" spans="1:2">
      <c r="A140" s="19">
        <v>79156617903</v>
      </c>
      <c r="B140" s="18"/>
    </row>
    <row r="141" spans="1:2">
      <c r="A141" s="19">
        <v>79157483990</v>
      </c>
      <c r="B141" s="18"/>
    </row>
    <row r="142" spans="1:2">
      <c r="A142" s="19">
        <v>79159937905</v>
      </c>
      <c r="B142" s="18"/>
    </row>
    <row r="143" spans="1:2">
      <c r="A143" s="19">
        <v>79160536024</v>
      </c>
      <c r="B143" s="18"/>
    </row>
    <row r="144" spans="1:2">
      <c r="A144" s="19">
        <v>79161051333</v>
      </c>
      <c r="B144" s="18"/>
    </row>
    <row r="145" spans="1:2">
      <c r="A145" s="19">
        <v>79161150748</v>
      </c>
      <c r="B145" s="18"/>
    </row>
    <row r="146" spans="1:2">
      <c r="A146" s="19">
        <v>79161292920</v>
      </c>
      <c r="B146" s="18"/>
    </row>
    <row r="147" spans="1:2">
      <c r="A147" s="19">
        <v>79161469274</v>
      </c>
      <c r="B147" s="18"/>
    </row>
    <row r="148" spans="1:2">
      <c r="A148" s="19">
        <v>79161790603</v>
      </c>
      <c r="B148" s="18"/>
    </row>
    <row r="149" spans="1:2">
      <c r="A149" s="19">
        <v>79164470711</v>
      </c>
      <c r="B149" s="18"/>
    </row>
    <row r="150" spans="1:2">
      <c r="A150" s="19">
        <v>79164511964</v>
      </c>
      <c r="B150" s="18"/>
    </row>
    <row r="151" spans="1:2">
      <c r="A151" s="19">
        <v>79165003930</v>
      </c>
      <c r="B151" s="18"/>
    </row>
    <row r="152" spans="1:2">
      <c r="A152" s="19">
        <v>79165010138</v>
      </c>
      <c r="B152" s="18"/>
    </row>
    <row r="153" spans="1:2">
      <c r="A153" s="19">
        <v>79166077469</v>
      </c>
      <c r="B153" s="18"/>
    </row>
    <row r="154" spans="1:2">
      <c r="A154" s="19">
        <v>79166475291</v>
      </c>
      <c r="B154" s="18"/>
    </row>
    <row r="155" spans="1:2">
      <c r="A155" s="19">
        <v>79168346467</v>
      </c>
      <c r="B155" s="18"/>
    </row>
    <row r="156" spans="1:2">
      <c r="A156" s="19">
        <v>79171221772</v>
      </c>
      <c r="B156" s="18"/>
    </row>
    <row r="157" spans="1:2">
      <c r="A157" s="19">
        <v>79171829682</v>
      </c>
      <c r="B157" s="18"/>
    </row>
    <row r="158" spans="1:2">
      <c r="A158" s="19">
        <v>79172812746</v>
      </c>
      <c r="B158" s="18"/>
    </row>
    <row r="159" spans="1:2">
      <c r="A159" s="19">
        <v>79173388424</v>
      </c>
      <c r="B159" s="18"/>
    </row>
    <row r="160" spans="1:2">
      <c r="A160" s="19">
        <v>79179678818</v>
      </c>
      <c r="B160" s="18"/>
    </row>
    <row r="161" spans="1:2">
      <c r="A161" s="19">
        <v>79179959804</v>
      </c>
      <c r="B161" s="18"/>
    </row>
    <row r="162" spans="1:2">
      <c r="A162" s="19">
        <v>79181051592</v>
      </c>
      <c r="B162" s="18"/>
    </row>
    <row r="163" spans="1:2">
      <c r="A163" s="19">
        <v>79181253629</v>
      </c>
      <c r="B163" s="18"/>
    </row>
    <row r="164" spans="1:2">
      <c r="A164" s="19">
        <v>79181950098</v>
      </c>
      <c r="B164" s="18"/>
    </row>
    <row r="165" spans="1:2">
      <c r="A165" s="19">
        <v>79182445399</v>
      </c>
      <c r="B165" s="18"/>
    </row>
    <row r="166" spans="1:2">
      <c r="A166" s="19">
        <v>79182718827</v>
      </c>
      <c r="B166" s="18"/>
    </row>
    <row r="167" spans="1:2">
      <c r="A167" s="19">
        <v>79183072227</v>
      </c>
      <c r="B167" s="18"/>
    </row>
    <row r="168" spans="1:2">
      <c r="A168" s="19">
        <v>79183126427</v>
      </c>
      <c r="B168" s="18"/>
    </row>
    <row r="169" spans="1:2">
      <c r="A169" s="19">
        <v>79183380068</v>
      </c>
      <c r="B169" s="18"/>
    </row>
    <row r="170" spans="1:2">
      <c r="A170" s="19">
        <v>79183391031</v>
      </c>
      <c r="B170" s="18"/>
    </row>
    <row r="171" spans="1:2">
      <c r="A171" s="19">
        <v>79184513731</v>
      </c>
      <c r="B171" s="18"/>
    </row>
    <row r="172" spans="1:2">
      <c r="A172" s="19">
        <v>79184719535</v>
      </c>
      <c r="B172" s="18"/>
    </row>
    <row r="173" spans="1:2">
      <c r="A173" s="19">
        <v>79186675652</v>
      </c>
      <c r="B173" s="18"/>
    </row>
    <row r="174" spans="1:2">
      <c r="A174" s="19">
        <v>79190114349</v>
      </c>
      <c r="B174" s="18"/>
    </row>
    <row r="175" spans="1:2">
      <c r="A175" s="19">
        <v>79190234593</v>
      </c>
      <c r="B175" s="18"/>
    </row>
    <row r="176" spans="1:2">
      <c r="A176" s="19">
        <v>79191102020</v>
      </c>
      <c r="B176" s="18"/>
    </row>
    <row r="177" spans="1:2">
      <c r="A177" s="19">
        <v>79193859496</v>
      </c>
      <c r="B177" s="18"/>
    </row>
    <row r="178" spans="1:2">
      <c r="A178" s="19">
        <v>79194458435</v>
      </c>
      <c r="B178" s="18"/>
    </row>
    <row r="179" spans="1:2">
      <c r="A179" s="19">
        <v>79196362080</v>
      </c>
      <c r="B179" s="18"/>
    </row>
    <row r="180" spans="1:2">
      <c r="A180" s="19">
        <v>79196470203</v>
      </c>
      <c r="B180" s="18"/>
    </row>
    <row r="181" spans="1:2">
      <c r="A181" s="19">
        <v>79197662093</v>
      </c>
      <c r="B181" s="18"/>
    </row>
    <row r="182" spans="1:2">
      <c r="A182" s="19">
        <v>79198806679</v>
      </c>
      <c r="B182" s="18"/>
    </row>
    <row r="183" spans="1:2">
      <c r="A183" s="19">
        <v>79199252025</v>
      </c>
      <c r="B183" s="18"/>
    </row>
    <row r="184" spans="1:2">
      <c r="A184" s="19">
        <v>79199900106</v>
      </c>
      <c r="B184" s="18"/>
    </row>
    <row r="185" spans="1:2">
      <c r="A185" s="19">
        <v>79200100660</v>
      </c>
      <c r="B185" s="18"/>
    </row>
    <row r="186" spans="1:2">
      <c r="A186" s="19">
        <v>79205010302</v>
      </c>
      <c r="B186" s="18"/>
    </row>
    <row r="187" spans="1:2">
      <c r="A187" s="19">
        <v>79206603780</v>
      </c>
      <c r="B187" s="18"/>
    </row>
    <row r="188" spans="1:2">
      <c r="A188" s="19">
        <v>79210976718</v>
      </c>
      <c r="B188" s="18"/>
    </row>
    <row r="189" spans="1:2">
      <c r="A189" s="19">
        <v>79211280303</v>
      </c>
      <c r="B189" s="18"/>
    </row>
    <row r="190" spans="1:2">
      <c r="A190" s="19">
        <v>79212303946</v>
      </c>
      <c r="B190" s="18"/>
    </row>
    <row r="191" spans="1:2">
      <c r="A191" s="19">
        <v>79213177003</v>
      </c>
      <c r="B191" s="18"/>
    </row>
    <row r="192" spans="1:2">
      <c r="A192" s="19">
        <v>79213388408</v>
      </c>
      <c r="B192" s="18"/>
    </row>
    <row r="193" spans="1:2">
      <c r="A193" s="19">
        <v>79214363576</v>
      </c>
      <c r="B193" s="18"/>
    </row>
    <row r="194" spans="1:2">
      <c r="A194" s="19">
        <v>79214446597</v>
      </c>
      <c r="B194" s="18"/>
    </row>
    <row r="195" spans="1:2">
      <c r="A195" s="19">
        <v>79215276794</v>
      </c>
      <c r="B195" s="18"/>
    </row>
    <row r="196" spans="1:2">
      <c r="A196" s="19">
        <v>79217595028</v>
      </c>
      <c r="B196" s="18"/>
    </row>
    <row r="197" spans="1:2">
      <c r="A197" s="19">
        <v>79219324863</v>
      </c>
      <c r="B197" s="18"/>
    </row>
    <row r="198" spans="1:2">
      <c r="A198" s="19">
        <v>79219620732</v>
      </c>
      <c r="B198" s="18"/>
    </row>
    <row r="199" spans="1:2">
      <c r="A199" s="19">
        <v>79219669995</v>
      </c>
      <c r="B199" s="18"/>
    </row>
    <row r="200" spans="1:2">
      <c r="A200" s="19">
        <v>79219802039</v>
      </c>
      <c r="B200" s="18"/>
    </row>
    <row r="201" spans="1:2">
      <c r="A201" s="19">
        <v>79219870217</v>
      </c>
      <c r="B201" s="18"/>
    </row>
    <row r="202" spans="1:2">
      <c r="A202" s="19">
        <v>79221600505</v>
      </c>
      <c r="B202" s="18"/>
    </row>
    <row r="203" spans="1:2">
      <c r="A203" s="19">
        <v>79222242430</v>
      </c>
      <c r="B203" s="18"/>
    </row>
    <row r="204" spans="1:2">
      <c r="A204" s="19">
        <v>79222682728</v>
      </c>
      <c r="B204" s="18"/>
    </row>
    <row r="205" spans="1:2">
      <c r="A205" s="19">
        <v>79223045453</v>
      </c>
      <c r="B205" s="18"/>
    </row>
    <row r="206" spans="1:2">
      <c r="A206" s="19">
        <v>79224425545</v>
      </c>
      <c r="B206" s="18"/>
    </row>
    <row r="207" spans="1:2">
      <c r="A207" s="19">
        <v>79224740748</v>
      </c>
      <c r="B207" s="18"/>
    </row>
    <row r="208" spans="1:2">
      <c r="A208" s="19">
        <v>79226060370</v>
      </c>
      <c r="B208" s="18"/>
    </row>
    <row r="209" spans="1:2">
      <c r="A209" s="19">
        <v>79226490957</v>
      </c>
      <c r="B209" s="18"/>
    </row>
    <row r="210" spans="1:2">
      <c r="A210" s="19">
        <v>79227354898</v>
      </c>
      <c r="B210" s="18"/>
    </row>
    <row r="211" spans="1:2">
      <c r="A211" s="19">
        <v>79227860965</v>
      </c>
      <c r="B211" s="18"/>
    </row>
    <row r="212" spans="1:2">
      <c r="A212" s="19">
        <v>79228464263</v>
      </c>
      <c r="B212" s="18"/>
    </row>
    <row r="213" spans="1:2">
      <c r="A213" s="19">
        <v>79229255011</v>
      </c>
      <c r="B213" s="18"/>
    </row>
    <row r="214" spans="1:2">
      <c r="A214" s="19">
        <v>79231135170</v>
      </c>
      <c r="B214" s="18"/>
    </row>
    <row r="215" spans="1:2">
      <c r="A215" s="19">
        <v>79232770478</v>
      </c>
      <c r="B215" s="18"/>
    </row>
    <row r="216" spans="1:2">
      <c r="A216" s="19">
        <v>79232888787</v>
      </c>
      <c r="B216" s="18"/>
    </row>
    <row r="217" spans="1:2">
      <c r="A217" s="19">
        <v>79234534946</v>
      </c>
      <c r="B217" s="18"/>
    </row>
    <row r="218" spans="1:2">
      <c r="A218" s="19">
        <v>79237402671</v>
      </c>
      <c r="B218" s="18"/>
    </row>
    <row r="219" spans="1:2">
      <c r="A219" s="19">
        <v>79241197488</v>
      </c>
      <c r="B219" s="18"/>
    </row>
    <row r="220" spans="1:2">
      <c r="A220" s="19">
        <v>79242275941</v>
      </c>
      <c r="B220" s="18"/>
    </row>
    <row r="221" spans="1:2">
      <c r="A221" s="19">
        <v>79242286777</v>
      </c>
      <c r="B221" s="18"/>
    </row>
    <row r="222" spans="1:2">
      <c r="A222" s="19">
        <v>79242432112</v>
      </c>
      <c r="B222" s="18"/>
    </row>
    <row r="223" spans="1:2">
      <c r="A223" s="19">
        <v>79243006100</v>
      </c>
      <c r="B223" s="18"/>
    </row>
    <row r="224" spans="1:2">
      <c r="A224" s="19">
        <v>79243035277</v>
      </c>
      <c r="B224" s="18"/>
    </row>
    <row r="225" spans="1:2">
      <c r="A225" s="19">
        <v>79244101111</v>
      </c>
      <c r="B225" s="18"/>
    </row>
    <row r="226" spans="1:2">
      <c r="A226" s="19">
        <v>79250625565</v>
      </c>
      <c r="B226" s="18"/>
    </row>
    <row r="227" spans="1:2">
      <c r="A227" s="19">
        <v>79250682056</v>
      </c>
      <c r="B227" s="18"/>
    </row>
    <row r="228" spans="1:2">
      <c r="A228" s="19">
        <v>79251117035</v>
      </c>
      <c r="B228" s="18"/>
    </row>
    <row r="229" spans="1:2">
      <c r="A229" s="19">
        <v>79253451760</v>
      </c>
      <c r="B229" s="18"/>
    </row>
    <row r="230" spans="1:2">
      <c r="A230" s="19">
        <v>79255151769</v>
      </c>
      <c r="B230" s="18"/>
    </row>
    <row r="231" spans="1:2">
      <c r="A231" s="19">
        <v>79255427689</v>
      </c>
      <c r="B231" s="18"/>
    </row>
    <row r="232" spans="1:2">
      <c r="A232" s="19">
        <v>79256297551</v>
      </c>
      <c r="B232" s="18"/>
    </row>
    <row r="233" spans="1:2">
      <c r="A233" s="19">
        <v>79256576267</v>
      </c>
      <c r="B233" s="18"/>
    </row>
    <row r="234" spans="1:2">
      <c r="A234" s="19">
        <v>79258658692</v>
      </c>
      <c r="B234" s="18"/>
    </row>
    <row r="235" spans="1:2">
      <c r="A235" s="19">
        <v>79259142346</v>
      </c>
      <c r="B235" s="18"/>
    </row>
    <row r="236" spans="1:2">
      <c r="A236" s="19">
        <v>79259161402</v>
      </c>
      <c r="B236" s="18"/>
    </row>
    <row r="237" spans="1:2">
      <c r="A237" s="19">
        <v>79261128921</v>
      </c>
      <c r="B237" s="18"/>
    </row>
    <row r="238" spans="1:2">
      <c r="A238" s="19">
        <v>79261497103</v>
      </c>
      <c r="B238" s="18"/>
    </row>
    <row r="239" spans="1:2">
      <c r="A239" s="19">
        <v>79262036225</v>
      </c>
      <c r="B239" s="18"/>
    </row>
    <row r="240" spans="1:2">
      <c r="A240" s="19">
        <v>79262468977</v>
      </c>
      <c r="B240" s="18"/>
    </row>
    <row r="241" spans="1:2">
      <c r="A241" s="19">
        <v>79262680161</v>
      </c>
      <c r="B241" s="18"/>
    </row>
    <row r="242" spans="1:2">
      <c r="A242" s="19">
        <v>79262725749</v>
      </c>
      <c r="B242" s="18"/>
    </row>
    <row r="243" spans="1:2">
      <c r="A243" s="19">
        <v>79262880522</v>
      </c>
      <c r="B243" s="18"/>
    </row>
    <row r="244" spans="1:2">
      <c r="A244" s="19">
        <v>79170473552</v>
      </c>
      <c r="B244" s="18"/>
    </row>
    <row r="245" spans="1:2">
      <c r="A245" s="19">
        <v>79263382133</v>
      </c>
      <c r="B245" s="18"/>
    </row>
    <row r="246" spans="1:2">
      <c r="A246" s="19">
        <v>79263535558</v>
      </c>
      <c r="B246" s="18"/>
    </row>
    <row r="247" spans="1:2">
      <c r="A247" s="19">
        <v>79264399633</v>
      </c>
      <c r="B247" s="18"/>
    </row>
    <row r="248" spans="1:2">
      <c r="A248" s="19">
        <v>79265162766</v>
      </c>
      <c r="B248" s="18"/>
    </row>
    <row r="249" spans="1:2">
      <c r="A249" s="19">
        <v>79265205689</v>
      </c>
      <c r="B249" s="18"/>
    </row>
    <row r="250" spans="1:2">
      <c r="A250" s="19">
        <v>79265599910</v>
      </c>
      <c r="B250" s="18"/>
    </row>
    <row r="251" spans="1:2">
      <c r="A251" s="19">
        <v>79265715170</v>
      </c>
      <c r="B251" s="18"/>
    </row>
    <row r="252" spans="1:2">
      <c r="A252" s="19">
        <v>79266523155</v>
      </c>
      <c r="B252" s="18"/>
    </row>
    <row r="253" spans="1:2">
      <c r="A253" s="19">
        <v>79266924481</v>
      </c>
      <c r="B253" s="18"/>
    </row>
    <row r="254" spans="1:2">
      <c r="A254" s="19">
        <v>79267201832</v>
      </c>
      <c r="B254" s="18"/>
    </row>
    <row r="255" spans="1:2">
      <c r="A255" s="19">
        <v>79269991399</v>
      </c>
      <c r="B255" s="18"/>
    </row>
    <row r="256" spans="1:2">
      <c r="A256" s="19">
        <v>79270791378</v>
      </c>
      <c r="B256" s="18"/>
    </row>
    <row r="257" spans="1:2">
      <c r="A257" s="19">
        <v>79272861652</v>
      </c>
      <c r="B257" s="18"/>
    </row>
    <row r="258" spans="1:2">
      <c r="A258" s="19">
        <v>79274572163</v>
      </c>
      <c r="B258" s="18"/>
    </row>
    <row r="259" spans="1:2">
      <c r="A259" s="19">
        <v>79275681207</v>
      </c>
      <c r="B259" s="18"/>
    </row>
    <row r="260" spans="1:2">
      <c r="A260" s="19">
        <v>79275936028</v>
      </c>
      <c r="B260" s="18"/>
    </row>
    <row r="261" spans="1:2">
      <c r="A261" s="19">
        <v>79276671613</v>
      </c>
      <c r="B261" s="18"/>
    </row>
    <row r="262" spans="1:2">
      <c r="A262" s="19">
        <v>79277217568</v>
      </c>
      <c r="B262" s="18"/>
    </row>
    <row r="263" spans="1:2">
      <c r="A263" s="19">
        <v>79277249325</v>
      </c>
      <c r="B263" s="18"/>
    </row>
    <row r="264" spans="1:2">
      <c r="A264" s="19">
        <v>79281099820</v>
      </c>
      <c r="B264" s="18"/>
    </row>
    <row r="265" spans="1:2">
      <c r="A265" s="19">
        <v>79281322037</v>
      </c>
      <c r="B265" s="18"/>
    </row>
    <row r="266" spans="1:2">
      <c r="A266" s="19">
        <v>79281330789</v>
      </c>
      <c r="B266" s="18"/>
    </row>
    <row r="267" spans="1:2">
      <c r="A267" s="19">
        <v>79282032602</v>
      </c>
      <c r="B267" s="18"/>
    </row>
    <row r="268" spans="1:2">
      <c r="A268" s="19">
        <v>79282047193</v>
      </c>
      <c r="B268" s="18"/>
    </row>
    <row r="269" spans="1:2">
      <c r="A269" s="19">
        <v>79282458488</v>
      </c>
      <c r="B269" s="18"/>
    </row>
    <row r="270" spans="1:2">
      <c r="A270" s="19">
        <v>79282670980</v>
      </c>
      <c r="B270" s="18"/>
    </row>
    <row r="271" spans="1:2">
      <c r="A271" s="19">
        <v>79282704773</v>
      </c>
      <c r="B271" s="18"/>
    </row>
    <row r="272" spans="1:2">
      <c r="A272" s="19">
        <v>79283311682</v>
      </c>
      <c r="B272" s="18"/>
    </row>
    <row r="273" spans="1:2">
      <c r="A273" s="19">
        <v>79284174172</v>
      </c>
      <c r="B273" s="18"/>
    </row>
    <row r="274" spans="1:2">
      <c r="A274" s="19">
        <v>79284192686</v>
      </c>
      <c r="B274" s="18"/>
    </row>
    <row r="275" spans="1:2">
      <c r="A275" s="19">
        <v>79286651765</v>
      </c>
      <c r="B275" s="18"/>
    </row>
    <row r="276" spans="1:2">
      <c r="A276" s="19">
        <v>79287227997</v>
      </c>
      <c r="B276" s="18"/>
    </row>
    <row r="277" spans="1:2">
      <c r="A277" s="19">
        <v>79295801303</v>
      </c>
      <c r="B277" s="18"/>
    </row>
    <row r="278" spans="1:2">
      <c r="A278" s="19">
        <v>79295973668</v>
      </c>
      <c r="B278" s="18"/>
    </row>
    <row r="279" spans="1:2">
      <c r="A279" s="19">
        <v>79303573772</v>
      </c>
      <c r="B279" s="18"/>
    </row>
    <row r="280" spans="1:2">
      <c r="A280" s="19">
        <v>79313673625</v>
      </c>
      <c r="B280" s="18"/>
    </row>
    <row r="281" spans="1:2">
      <c r="A281" s="19">
        <v>79320944606</v>
      </c>
      <c r="B281" s="18"/>
    </row>
    <row r="282" spans="1:2">
      <c r="A282" s="19">
        <v>79323381438</v>
      </c>
      <c r="B282" s="18"/>
    </row>
    <row r="283" spans="1:2">
      <c r="A283" s="19">
        <v>79371301177</v>
      </c>
      <c r="B283" s="18"/>
    </row>
    <row r="284" spans="1:2">
      <c r="A284" s="19">
        <v>79373104305</v>
      </c>
      <c r="B284" s="18"/>
    </row>
    <row r="285" spans="1:2">
      <c r="A285" s="19">
        <v>79374267398</v>
      </c>
      <c r="B285" s="18"/>
    </row>
    <row r="286" spans="1:2">
      <c r="A286" s="19">
        <v>79374988858</v>
      </c>
      <c r="B286" s="18"/>
    </row>
    <row r="287" spans="1:2">
      <c r="A287" s="19">
        <v>79378424906</v>
      </c>
      <c r="B287" s="18"/>
    </row>
    <row r="288" spans="1:2">
      <c r="A288" s="19">
        <v>79384405253</v>
      </c>
      <c r="B288" s="18"/>
    </row>
    <row r="289" spans="1:2">
      <c r="A289" s="19">
        <v>79384515441</v>
      </c>
      <c r="B289" s="18"/>
    </row>
    <row r="290" spans="1:2">
      <c r="A290" s="19">
        <v>79384708054</v>
      </c>
      <c r="B290" s="18"/>
    </row>
    <row r="291" spans="1:2">
      <c r="A291" s="19">
        <v>79384883641</v>
      </c>
      <c r="B291" s="18"/>
    </row>
    <row r="292" spans="1:2">
      <c r="A292" s="19">
        <v>79384940883</v>
      </c>
      <c r="B292" s="18"/>
    </row>
    <row r="293" spans="1:2">
      <c r="A293" s="19">
        <v>79385107007</v>
      </c>
      <c r="B293" s="18"/>
    </row>
    <row r="294" spans="1:2">
      <c r="A294" s="19">
        <v>79500061919</v>
      </c>
      <c r="B294" s="18"/>
    </row>
    <row r="295" spans="1:2">
      <c r="A295" s="19">
        <v>79500093324</v>
      </c>
      <c r="B295" s="18"/>
    </row>
    <row r="296" spans="1:2">
      <c r="A296" s="19">
        <v>79500233955</v>
      </c>
      <c r="B296" s="18"/>
    </row>
    <row r="297" spans="1:2">
      <c r="A297" s="19">
        <v>79500439655</v>
      </c>
      <c r="B297" s="18"/>
    </row>
    <row r="298" spans="1:2">
      <c r="A298" s="19">
        <v>79501962256</v>
      </c>
      <c r="B298" s="18"/>
    </row>
    <row r="299" spans="1:2">
      <c r="A299" s="19">
        <v>79507299273</v>
      </c>
      <c r="B299" s="18"/>
    </row>
    <row r="300" spans="1:2">
      <c r="A300" s="19">
        <v>79507519242</v>
      </c>
      <c r="B300" s="18"/>
    </row>
    <row r="301" spans="1:2">
      <c r="A301" s="19">
        <v>79509796909</v>
      </c>
      <c r="B301" s="18"/>
    </row>
    <row r="302" spans="1:2">
      <c r="A302" s="19">
        <v>79513048171</v>
      </c>
      <c r="B302" s="18"/>
    </row>
    <row r="303" spans="1:2">
      <c r="A303" s="19">
        <v>79513462716</v>
      </c>
      <c r="B303" s="18"/>
    </row>
    <row r="304" spans="1:2">
      <c r="A304" s="19">
        <v>79514960519</v>
      </c>
      <c r="B304" s="18"/>
    </row>
    <row r="305" spans="1:2">
      <c r="A305" s="19">
        <v>79517978177</v>
      </c>
      <c r="B305" s="18"/>
    </row>
    <row r="306" spans="1:2">
      <c r="A306" s="19">
        <v>79520078309</v>
      </c>
      <c r="B306" s="18"/>
    </row>
    <row r="307" spans="1:2">
      <c r="A307" s="19">
        <v>79522012429</v>
      </c>
      <c r="B307" s="18"/>
    </row>
    <row r="308" spans="1:2">
      <c r="A308" s="19">
        <v>79522124634</v>
      </c>
      <c r="B308" s="18"/>
    </row>
    <row r="309" spans="1:2">
      <c r="A309" s="19">
        <v>79522150390</v>
      </c>
      <c r="B309" s="18"/>
    </row>
    <row r="310" spans="1:2">
      <c r="A310" s="19">
        <v>79522551977</v>
      </c>
      <c r="B310" s="18"/>
    </row>
    <row r="311" spans="1:2">
      <c r="A311" s="19">
        <v>79523322833</v>
      </c>
      <c r="B311" s="18"/>
    </row>
    <row r="312" spans="1:2">
      <c r="A312" s="19">
        <v>79525000549</v>
      </c>
      <c r="B312" s="18"/>
    </row>
    <row r="313" spans="1:2">
      <c r="A313" s="19">
        <v>79525091677</v>
      </c>
      <c r="B313" s="18"/>
    </row>
    <row r="314" spans="1:2">
      <c r="A314" s="19">
        <v>79525944882</v>
      </c>
      <c r="B314" s="18"/>
    </row>
    <row r="315" spans="1:2">
      <c r="A315" s="19">
        <v>79526153780</v>
      </c>
      <c r="B315" s="18"/>
    </row>
    <row r="316" spans="1:2">
      <c r="A316" s="19">
        <v>79528661619</v>
      </c>
      <c r="B316" s="18"/>
    </row>
    <row r="317" spans="1:2">
      <c r="A317" s="19">
        <v>79529608132</v>
      </c>
      <c r="B317" s="18"/>
    </row>
    <row r="318" spans="1:2">
      <c r="A318" s="19">
        <v>79530995210</v>
      </c>
      <c r="B318" s="18"/>
    </row>
    <row r="319" spans="1:2">
      <c r="A319" s="19">
        <v>79531197742</v>
      </c>
      <c r="B319" s="18"/>
    </row>
    <row r="320" spans="1:2">
      <c r="A320" s="19">
        <v>79533084407</v>
      </c>
      <c r="B320" s="18"/>
    </row>
    <row r="321" spans="1:2">
      <c r="A321" s="19">
        <v>79533154499</v>
      </c>
      <c r="B321" s="18"/>
    </row>
    <row r="322" spans="1:2">
      <c r="A322" s="19">
        <v>79533329870</v>
      </c>
      <c r="B322" s="18"/>
    </row>
    <row r="323" spans="1:2">
      <c r="A323" s="19">
        <v>79535067626</v>
      </c>
      <c r="B323" s="18"/>
    </row>
    <row r="324" spans="1:2">
      <c r="A324" s="19">
        <v>79591738441</v>
      </c>
      <c r="B324" s="18"/>
    </row>
    <row r="325" spans="1:2">
      <c r="A325" s="19">
        <v>79602455610</v>
      </c>
      <c r="B325" s="18"/>
    </row>
    <row r="326" spans="1:2">
      <c r="A326" s="19">
        <v>79605651010</v>
      </c>
      <c r="B326" s="18"/>
    </row>
    <row r="327" spans="1:2">
      <c r="A327" s="19">
        <v>79611817761</v>
      </c>
      <c r="B327" s="18"/>
    </row>
    <row r="328" spans="1:2">
      <c r="A328" s="19">
        <v>79613680141</v>
      </c>
      <c r="B328" s="18"/>
    </row>
    <row r="329" spans="1:2">
      <c r="A329" s="19">
        <v>79615352535</v>
      </c>
      <c r="B329" s="18"/>
    </row>
    <row r="330" spans="1:2">
      <c r="A330" s="19">
        <v>79615759620</v>
      </c>
      <c r="B330" s="18"/>
    </row>
    <row r="331" spans="1:2">
      <c r="A331" s="19">
        <v>79615825819</v>
      </c>
      <c r="B331" s="18"/>
    </row>
    <row r="332" spans="1:2">
      <c r="A332" s="19">
        <v>79615949053</v>
      </c>
      <c r="B332" s="18"/>
    </row>
    <row r="333" spans="1:2">
      <c r="A333" s="19">
        <v>79619728678</v>
      </c>
      <c r="B333" s="18"/>
    </row>
    <row r="334" spans="1:2">
      <c r="A334" s="19">
        <v>79625196788</v>
      </c>
      <c r="B334" s="18"/>
    </row>
    <row r="335" spans="1:2">
      <c r="A335" s="19">
        <v>79626186138</v>
      </c>
      <c r="B335" s="18"/>
    </row>
    <row r="336" spans="1:2">
      <c r="A336" s="19">
        <v>79629499009</v>
      </c>
      <c r="B336" s="18"/>
    </row>
    <row r="337" spans="1:2">
      <c r="A337" s="19">
        <v>79631439778</v>
      </c>
      <c r="B337" s="18"/>
    </row>
    <row r="338" spans="1:2">
      <c r="A338" s="19">
        <v>79633554557</v>
      </c>
      <c r="B338" s="18"/>
    </row>
    <row r="339" spans="1:2">
      <c r="A339" s="19">
        <v>79636555851</v>
      </c>
      <c r="B339" s="18"/>
    </row>
    <row r="340" spans="1:2">
      <c r="A340" s="19">
        <v>79641194991</v>
      </c>
      <c r="B340" s="18"/>
    </row>
    <row r="341" spans="1:2">
      <c r="A341" s="19">
        <v>79645054198</v>
      </c>
      <c r="B341" s="18"/>
    </row>
    <row r="342" spans="1:2">
      <c r="A342" s="19">
        <v>79645349390</v>
      </c>
      <c r="B342" s="18"/>
    </row>
    <row r="343" spans="1:2">
      <c r="A343" s="19">
        <v>79646863090</v>
      </c>
      <c r="B343" s="18"/>
    </row>
    <row r="344" spans="1:2">
      <c r="A344" s="19">
        <v>79647665200</v>
      </c>
      <c r="B344" s="18"/>
    </row>
    <row r="345" spans="1:2">
      <c r="A345" s="19">
        <v>79649996479</v>
      </c>
      <c r="B345" s="18"/>
    </row>
    <row r="346" spans="1:2">
      <c r="A346" s="19">
        <v>79652178474</v>
      </c>
      <c r="B346" s="18"/>
    </row>
    <row r="347" spans="1:2">
      <c r="A347" s="19">
        <v>79653499993</v>
      </c>
      <c r="B347" s="18"/>
    </row>
    <row r="348" spans="1:2">
      <c r="A348" s="19">
        <v>79654574957</v>
      </c>
      <c r="B348" s="18"/>
    </row>
    <row r="349" spans="1:2">
      <c r="A349" s="19">
        <v>79655024422</v>
      </c>
      <c r="B349" s="18"/>
    </row>
    <row r="350" spans="1:2">
      <c r="A350" s="19">
        <v>79658651505</v>
      </c>
      <c r="B350" s="18"/>
    </row>
    <row r="351" spans="1:2">
      <c r="A351" s="19">
        <v>79661919170</v>
      </c>
      <c r="B351" s="18"/>
    </row>
    <row r="352" spans="1:2">
      <c r="A352" s="19">
        <v>79667626222</v>
      </c>
      <c r="B352" s="18"/>
    </row>
    <row r="353" spans="1:2">
      <c r="A353" s="19">
        <v>79670484148</v>
      </c>
      <c r="B353" s="18"/>
    </row>
    <row r="354" spans="1:2">
      <c r="A354" s="19">
        <v>79671125235</v>
      </c>
      <c r="B354" s="18"/>
    </row>
    <row r="355" spans="1:2">
      <c r="A355" s="19">
        <v>79672584466</v>
      </c>
      <c r="B355" s="18"/>
    </row>
    <row r="356" spans="1:2">
      <c r="A356" s="19">
        <v>79673433143</v>
      </c>
      <c r="B356" s="18"/>
    </row>
    <row r="357" spans="1:2">
      <c r="A357" s="19">
        <v>79675979699</v>
      </c>
      <c r="B357" s="18"/>
    </row>
    <row r="358" spans="1:2">
      <c r="A358" s="19">
        <v>79680851522</v>
      </c>
      <c r="B358" s="18"/>
    </row>
    <row r="359" spans="1:2">
      <c r="A359" s="19">
        <v>79680976060</v>
      </c>
      <c r="B359" s="18"/>
    </row>
    <row r="360" spans="1:2">
      <c r="A360" s="19">
        <v>79683898846</v>
      </c>
      <c r="B360" s="18"/>
    </row>
    <row r="361" spans="1:2">
      <c r="A361" s="19">
        <v>79687058535</v>
      </c>
      <c r="B361" s="18"/>
    </row>
    <row r="362" spans="1:2">
      <c r="A362" s="19">
        <v>79687417072</v>
      </c>
      <c r="B362" s="18"/>
    </row>
    <row r="363" spans="1:2">
      <c r="A363" s="19">
        <v>79771293523</v>
      </c>
      <c r="B363" s="18"/>
    </row>
    <row r="364" spans="1:2">
      <c r="A364" s="19">
        <v>79771977559</v>
      </c>
      <c r="B364" s="18"/>
    </row>
    <row r="365" spans="1:2">
      <c r="A365" s="19">
        <v>79774292634</v>
      </c>
      <c r="B365" s="18"/>
    </row>
    <row r="366" spans="1:2">
      <c r="A366" s="19">
        <v>79777436387</v>
      </c>
      <c r="B366" s="18"/>
    </row>
    <row r="367" spans="1:2">
      <c r="A367" s="19">
        <v>79777558830</v>
      </c>
      <c r="B367" s="18"/>
    </row>
    <row r="368" spans="1:2">
      <c r="A368" s="19">
        <v>79779649951</v>
      </c>
      <c r="B368" s="18"/>
    </row>
    <row r="369" spans="1:2">
      <c r="A369" s="19">
        <v>79779814368</v>
      </c>
      <c r="B369" s="18"/>
    </row>
    <row r="370" spans="1:2">
      <c r="A370" s="19">
        <v>79780563193</v>
      </c>
      <c r="B370" s="18"/>
    </row>
    <row r="371" spans="1:2">
      <c r="A371" s="19">
        <v>79781644281</v>
      </c>
      <c r="B371" s="18"/>
    </row>
    <row r="372" spans="1:2">
      <c r="A372" s="19">
        <v>79785182775</v>
      </c>
      <c r="B372" s="18"/>
    </row>
    <row r="373" spans="1:2">
      <c r="A373" s="19">
        <v>79785622585</v>
      </c>
      <c r="B373" s="18"/>
    </row>
    <row r="374" spans="1:2">
      <c r="A374" s="19">
        <v>79786562195</v>
      </c>
      <c r="B374" s="18"/>
    </row>
    <row r="375" spans="1:2">
      <c r="A375" s="19">
        <v>79788570451</v>
      </c>
      <c r="B375" s="18"/>
    </row>
    <row r="376" spans="1:2">
      <c r="A376" s="19">
        <v>79805247432</v>
      </c>
      <c r="B376" s="18"/>
    </row>
    <row r="377" spans="1:2">
      <c r="A377" s="19">
        <v>79807052010</v>
      </c>
      <c r="B377" s="18"/>
    </row>
    <row r="378" spans="1:2">
      <c r="A378" s="19">
        <v>79807099933</v>
      </c>
      <c r="B378" s="18"/>
    </row>
    <row r="379" spans="1:2">
      <c r="A379" s="19">
        <v>79809801234</v>
      </c>
      <c r="B379" s="18"/>
    </row>
    <row r="380" spans="1:2">
      <c r="A380" s="19">
        <v>79816882525</v>
      </c>
      <c r="B380" s="18"/>
    </row>
    <row r="381" spans="1:2">
      <c r="A381" s="19">
        <v>79819583746</v>
      </c>
      <c r="B381" s="18"/>
    </row>
    <row r="382" spans="1:2">
      <c r="A382" s="19">
        <v>79819775921</v>
      </c>
      <c r="B382" s="18"/>
    </row>
    <row r="383" spans="1:2">
      <c r="A383" s="19">
        <v>79820000000</v>
      </c>
      <c r="B383" s="18"/>
    </row>
    <row r="384" spans="1:2">
      <c r="A384" s="19">
        <v>79822404236</v>
      </c>
      <c r="B384" s="18"/>
    </row>
    <row r="385" spans="1:2">
      <c r="A385" s="19">
        <v>79823069197</v>
      </c>
      <c r="B385" s="18"/>
    </row>
    <row r="386" spans="1:2">
      <c r="A386" s="19">
        <v>79826708362</v>
      </c>
      <c r="B386" s="18"/>
    </row>
    <row r="387" spans="1:2">
      <c r="A387" s="19">
        <v>79831448605</v>
      </c>
      <c r="B387" s="18"/>
    </row>
    <row r="388" spans="1:2">
      <c r="A388" s="19">
        <v>79834421418</v>
      </c>
      <c r="B388" s="18"/>
    </row>
    <row r="389" spans="1:2">
      <c r="A389" s="19">
        <v>79841434879</v>
      </c>
      <c r="B389" s="18"/>
    </row>
    <row r="390" spans="1:2">
      <c r="A390" s="19">
        <v>79841539421</v>
      </c>
      <c r="B390" s="18"/>
    </row>
    <row r="391" spans="1:2">
      <c r="A391" s="19">
        <v>79841838144</v>
      </c>
      <c r="B391" s="18"/>
    </row>
    <row r="392" spans="1:2">
      <c r="A392" s="19">
        <v>79850448430</v>
      </c>
      <c r="B392" s="18"/>
    </row>
    <row r="393" spans="1:2">
      <c r="A393" s="19">
        <v>79851129147</v>
      </c>
      <c r="B393" s="18"/>
    </row>
    <row r="394" spans="1:2">
      <c r="A394" s="19">
        <v>79851937819</v>
      </c>
      <c r="B394" s="18"/>
    </row>
    <row r="395" spans="1:2">
      <c r="A395" s="19">
        <v>79852318610</v>
      </c>
      <c r="B395" s="18"/>
    </row>
    <row r="396" spans="1:2">
      <c r="A396" s="19">
        <v>79853940183</v>
      </c>
      <c r="B396" s="18"/>
    </row>
    <row r="397" spans="1:2">
      <c r="A397" s="19">
        <v>79855823011</v>
      </c>
      <c r="B397" s="18"/>
    </row>
    <row r="398" spans="1:2">
      <c r="A398" s="19">
        <v>79858164964</v>
      </c>
      <c r="B398" s="18"/>
    </row>
    <row r="399" spans="1:2">
      <c r="A399" s="19">
        <v>79859647373</v>
      </c>
      <c r="B399" s="18"/>
    </row>
    <row r="400" spans="1:2">
      <c r="A400" s="19">
        <v>79859986838</v>
      </c>
      <c r="B400" s="18"/>
    </row>
    <row r="401" spans="1:2">
      <c r="A401" s="19">
        <v>79869249775</v>
      </c>
      <c r="B401" s="18"/>
    </row>
    <row r="402" spans="1:2">
      <c r="A402" s="19">
        <v>79872957943</v>
      </c>
      <c r="B402" s="18"/>
    </row>
    <row r="403" spans="1:2">
      <c r="A403" s="19">
        <v>79874187418</v>
      </c>
      <c r="B403" s="18"/>
    </row>
    <row r="404" spans="1:2">
      <c r="A404" s="19">
        <v>79874361954</v>
      </c>
      <c r="B404" s="18"/>
    </row>
    <row r="405" spans="1:2">
      <c r="A405" s="19">
        <v>79876063756</v>
      </c>
      <c r="B405" s="18"/>
    </row>
    <row r="406" spans="1:2">
      <c r="A406" s="19">
        <v>79880115462</v>
      </c>
      <c r="B406" s="18"/>
    </row>
    <row r="407" spans="1:2">
      <c r="A407" s="19">
        <v>79880117090</v>
      </c>
      <c r="B407" s="18"/>
    </row>
    <row r="408" spans="1:2">
      <c r="A408" s="19">
        <v>79882456057</v>
      </c>
      <c r="B408" s="18"/>
    </row>
    <row r="409" spans="1:2">
      <c r="A409" s="19">
        <v>79882851340</v>
      </c>
      <c r="B409" s="18"/>
    </row>
    <row r="410" spans="1:2">
      <c r="A410" s="19">
        <v>79884712219</v>
      </c>
      <c r="B410" s="18"/>
    </row>
    <row r="411" spans="1:2">
      <c r="A411" s="19">
        <v>79884966976</v>
      </c>
      <c r="B411" s="18"/>
    </row>
    <row r="412" spans="1:2">
      <c r="A412" s="19">
        <v>79885374962</v>
      </c>
      <c r="B412" s="18"/>
    </row>
    <row r="413" spans="1:2">
      <c r="A413" s="19">
        <v>79889880337</v>
      </c>
      <c r="B413" s="18"/>
    </row>
    <row r="414" spans="1:2">
      <c r="A414" s="19">
        <v>79891659239</v>
      </c>
      <c r="B414" s="18"/>
    </row>
    <row r="415" spans="1:2">
      <c r="A415" s="19">
        <v>79897213533</v>
      </c>
      <c r="B415" s="18"/>
    </row>
    <row r="416" spans="1:2">
      <c r="A416" s="19">
        <v>79897575496</v>
      </c>
      <c r="B416" s="18"/>
    </row>
    <row r="417" spans="1:2">
      <c r="A417" s="19">
        <v>79899503366</v>
      </c>
      <c r="B417" s="18"/>
    </row>
    <row r="418" spans="1:2">
      <c r="A418" s="19">
        <v>79911101313</v>
      </c>
      <c r="B418" s="18"/>
    </row>
    <row r="419" spans="1:2">
      <c r="A419" s="19">
        <v>79922825047</v>
      </c>
      <c r="B419" s="18"/>
    </row>
    <row r="420" spans="1:2">
      <c r="A420" s="19">
        <v>79924047441</v>
      </c>
      <c r="B420" s="18"/>
    </row>
    <row r="421" spans="1:2">
      <c r="A421" s="19">
        <v>79924275161</v>
      </c>
      <c r="B421" s="18"/>
    </row>
    <row r="422" spans="1:2">
      <c r="A422" s="19">
        <v>79959623857</v>
      </c>
      <c r="B422" s="18"/>
    </row>
    <row r="423" spans="1:2">
      <c r="A423" s="19">
        <v>79961190929</v>
      </c>
      <c r="B423" s="18"/>
    </row>
    <row r="424" spans="1:2">
      <c r="A424" s="19">
        <v>79961381146</v>
      </c>
      <c r="B424" s="18"/>
    </row>
    <row r="425" spans="1:2">
      <c r="A425" s="19">
        <v>79963540028</v>
      </c>
      <c r="B425" s="18"/>
    </row>
    <row r="426" spans="1:2">
      <c r="A426" s="19">
        <v>79965345484</v>
      </c>
      <c r="B426" s="18"/>
    </row>
    <row r="427" spans="1:2">
      <c r="A427" s="19">
        <v>79967005009</v>
      </c>
      <c r="B427" s="18"/>
    </row>
    <row r="428" spans="1:2">
      <c r="A428" s="19">
        <v>79967918649</v>
      </c>
      <c r="B428" s="18"/>
    </row>
    <row r="429" spans="1:2">
      <c r="A429" s="19">
        <v>79969751318</v>
      </c>
      <c r="B429" s="18"/>
    </row>
    <row r="430" spans="1:2">
      <c r="A430" s="19">
        <v>79990342562</v>
      </c>
      <c r="B430" s="18"/>
    </row>
    <row r="431" spans="1:2">
      <c r="A431" s="19">
        <v>79991239537</v>
      </c>
      <c r="B431" s="18"/>
    </row>
    <row r="432" spans="1:2">
      <c r="A432" s="19">
        <v>79991310997</v>
      </c>
      <c r="B432" s="18"/>
    </row>
    <row r="433" spans="1:2">
      <c r="A433" s="19">
        <v>79991652736</v>
      </c>
      <c r="B433" s="18"/>
    </row>
    <row r="434" spans="1:2">
      <c r="A434" s="19">
        <v>79995242893</v>
      </c>
      <c r="B434" s="18"/>
    </row>
    <row r="435" spans="1:2">
      <c r="A435" s="19">
        <v>79995438669</v>
      </c>
      <c r="B435" s="18"/>
    </row>
    <row r="436" spans="1:2">
      <c r="A436" s="19">
        <v>79996180672</v>
      </c>
      <c r="B436" s="18"/>
    </row>
    <row r="437" spans="1:2">
      <c r="A437" s="19">
        <v>79996229102</v>
      </c>
      <c r="B437" s="18"/>
    </row>
    <row r="438" spans="1:2">
      <c r="A438" s="19">
        <v>79996373502</v>
      </c>
      <c r="B438" s="18"/>
    </row>
    <row r="439" spans="1:2">
      <c r="A439" s="19">
        <v>79996453795</v>
      </c>
      <c r="B439" s="18"/>
    </row>
    <row r="440" spans="1:2">
      <c r="A440" s="19">
        <v>79996525848</v>
      </c>
      <c r="B440" s="18"/>
    </row>
    <row r="441" spans="1:2">
      <c r="A441" s="19">
        <v>79997883306</v>
      </c>
      <c r="B441" s="18"/>
    </row>
    <row r="442" spans="1:2">
      <c r="A442" s="19">
        <v>80297194397</v>
      </c>
      <c r="B442" s="18"/>
    </row>
    <row r="443" spans="1:2">
      <c r="A443" s="19">
        <v>83270224288</v>
      </c>
      <c r="B443" s="18"/>
    </row>
    <row r="444" spans="1:2">
      <c r="A444" s="19">
        <v>84525596644</v>
      </c>
      <c r="B444" s="18"/>
    </row>
    <row r="445" spans="1:2">
      <c r="A445" s="19">
        <v>84551894087</v>
      </c>
      <c r="B445" s="18"/>
    </row>
    <row r="446" spans="1:2">
      <c r="A446" s="19">
        <v>84552641322</v>
      </c>
      <c r="B446" s="18"/>
    </row>
    <row r="447" spans="1:2">
      <c r="A447" s="19">
        <v>84796730445</v>
      </c>
      <c r="B447" s="18"/>
    </row>
    <row r="448" spans="1:2">
      <c r="A448" s="19">
        <v>84796745928</v>
      </c>
      <c r="B448" s="18"/>
    </row>
    <row r="449" spans="1:2">
      <c r="A449" s="19">
        <v>86211346114</v>
      </c>
      <c r="B449" s="18"/>
    </row>
    <row r="450" spans="1:2">
      <c r="A450" s="19">
        <v>86404601225</v>
      </c>
      <c r="B450" s="18"/>
    </row>
    <row r="451" spans="1:2">
      <c r="A451" s="19">
        <v>87027491080</v>
      </c>
      <c r="B451" s="18"/>
    </row>
    <row r="452" spans="1:2">
      <c r="A452" s="19">
        <v>87028218223</v>
      </c>
      <c r="B452" s="18"/>
    </row>
    <row r="453" spans="1:2">
      <c r="A453" s="19">
        <v>87059794927</v>
      </c>
      <c r="B453" s="18"/>
    </row>
    <row r="454" spans="1:2">
      <c r="A454" s="19">
        <v>87087468863</v>
      </c>
      <c r="B454" s="18"/>
    </row>
    <row r="455" spans="1:2">
      <c r="A455" s="19">
        <v>87710883766</v>
      </c>
      <c r="B455" s="18"/>
    </row>
    <row r="456" spans="1:2">
      <c r="A456" s="19">
        <v>87710944615</v>
      </c>
      <c r="B456" s="18"/>
    </row>
    <row r="457" spans="1:2">
      <c r="A457" s="19">
        <v>87716938885</v>
      </c>
      <c r="B457" s="18"/>
    </row>
    <row r="458" spans="1:2">
      <c r="A458" s="19">
        <v>87751089955</v>
      </c>
      <c r="B458" s="18"/>
    </row>
    <row r="459" spans="1:2">
      <c r="A459" s="19">
        <v>87766692033</v>
      </c>
      <c r="B459" s="18"/>
    </row>
    <row r="460" spans="1:2">
      <c r="A460" s="19">
        <v>87768487447</v>
      </c>
      <c r="B460" s="18"/>
    </row>
    <row r="461" spans="1:2">
      <c r="A461" s="19">
        <v>87770874568</v>
      </c>
      <c r="B461" s="18"/>
    </row>
    <row r="462" spans="1:2">
      <c r="A462" s="19">
        <v>87772247458</v>
      </c>
      <c r="B462" s="18"/>
    </row>
    <row r="463" spans="1:2">
      <c r="A463" s="19">
        <v>87776744000</v>
      </c>
      <c r="B463" s="18"/>
    </row>
    <row r="464" spans="1:2">
      <c r="A464" s="19">
        <v>87783463409</v>
      </c>
      <c r="B464" s="18"/>
    </row>
    <row r="465" spans="1:2">
      <c r="A465" s="19">
        <v>87968203292</v>
      </c>
      <c r="B465" s="18"/>
    </row>
    <row r="466" spans="1:2">
      <c r="A466" s="19">
        <v>89039694236</v>
      </c>
      <c r="B466" s="18"/>
    </row>
    <row r="467" spans="1:2">
      <c r="A467" s="19">
        <v>89155661819</v>
      </c>
      <c r="B467" s="18"/>
    </row>
    <row r="468" spans="1:2">
      <c r="A468" s="19">
        <v>89156467549</v>
      </c>
      <c r="B468" s="18"/>
    </row>
    <row r="469" spans="1:2">
      <c r="A469" s="19">
        <v>89237402671</v>
      </c>
      <c r="B469" s="18"/>
    </row>
    <row r="470" spans="1:2">
      <c r="A470" s="19">
        <v>89778399330</v>
      </c>
      <c r="B470" s="18"/>
    </row>
    <row r="471" spans="1:2">
      <c r="A471" s="19">
        <v>99890915014</v>
      </c>
      <c r="B471" s="18"/>
    </row>
    <row r="472" spans="1:2">
      <c r="A472" s="19" t="s">
        <v>12304</v>
      </c>
      <c r="B472" s="18"/>
    </row>
    <row r="473" spans="1:2">
      <c r="A473" s="19" t="s">
        <v>12446</v>
      </c>
      <c r="B473" s="18"/>
    </row>
    <row r="474" spans="1:2">
      <c r="A474" s="19" t="s">
        <v>12332</v>
      </c>
      <c r="B474" s="18"/>
    </row>
    <row r="475" spans="1:2">
      <c r="A475" s="19" t="s">
        <v>12423</v>
      </c>
      <c r="B475" s="18"/>
    </row>
    <row r="476" spans="1:2">
      <c r="A476" s="19" t="s">
        <v>12072</v>
      </c>
      <c r="B476" s="18"/>
    </row>
    <row r="477" spans="1:2">
      <c r="A477" s="19" t="s">
        <v>12323</v>
      </c>
      <c r="B477" s="18"/>
    </row>
    <row r="478" spans="1:2">
      <c r="A478" s="19" t="s">
        <v>12049</v>
      </c>
      <c r="B478" s="18"/>
    </row>
    <row r="479" spans="1:2">
      <c r="A479" s="19" t="s">
        <v>12057</v>
      </c>
      <c r="B479" s="18"/>
    </row>
    <row r="480" spans="1:2">
      <c r="A480" s="19" t="s">
        <v>12058</v>
      </c>
      <c r="B480" s="18"/>
    </row>
    <row r="481" spans="1:2">
      <c r="A481" s="19" t="s">
        <v>12070</v>
      </c>
      <c r="B481" s="18"/>
    </row>
    <row r="482" spans="1:2">
      <c r="A482" s="19" t="s">
        <v>12259</v>
      </c>
      <c r="B482" s="18"/>
    </row>
    <row r="483" spans="1:2">
      <c r="A483" s="19" t="s">
        <v>12406</v>
      </c>
      <c r="B483" s="18"/>
    </row>
    <row r="484" spans="1:2">
      <c r="A484" s="19" t="s">
        <v>12358</v>
      </c>
      <c r="B484" s="18"/>
    </row>
    <row r="485" spans="1:2">
      <c r="A485" s="19" t="s">
        <v>12185</v>
      </c>
      <c r="B485" s="18"/>
    </row>
    <row r="486" spans="1:2">
      <c r="A486" s="19" t="s">
        <v>12388</v>
      </c>
      <c r="B486" s="18"/>
    </row>
    <row r="487" spans="1:2">
      <c r="A487" s="19" t="s">
        <v>12054</v>
      </c>
      <c r="B487" s="18"/>
    </row>
    <row r="488" spans="1:2">
      <c r="A488" s="19" t="s">
        <v>12008</v>
      </c>
      <c r="B488" s="18"/>
    </row>
    <row r="489" spans="1:2">
      <c r="A489" s="19" t="s">
        <v>12170</v>
      </c>
      <c r="B489" s="18"/>
    </row>
    <row r="490" spans="1:2">
      <c r="A490" s="19" t="s">
        <v>12151</v>
      </c>
      <c r="B490" s="18"/>
    </row>
    <row r="491" spans="1:2">
      <c r="A491" s="19" t="s">
        <v>12193</v>
      </c>
      <c r="B491" s="18"/>
    </row>
    <row r="492" spans="1:2">
      <c r="A492" s="19" t="s">
        <v>12190</v>
      </c>
      <c r="B492" s="18"/>
    </row>
    <row r="493" spans="1:2">
      <c r="A493" s="19" t="s">
        <v>12429</v>
      </c>
      <c r="B493" s="18"/>
    </row>
    <row r="494" spans="1:2">
      <c r="A494" s="19" t="s">
        <v>12133</v>
      </c>
      <c r="B494" s="18"/>
    </row>
    <row r="495" spans="1:2">
      <c r="A495" s="19">
        <v>89532309620</v>
      </c>
      <c r="B495" s="18"/>
    </row>
    <row r="496" spans="1:2">
      <c r="A496" s="19" t="s">
        <v>12424</v>
      </c>
      <c r="B496" s="18"/>
    </row>
    <row r="497" spans="1:2">
      <c r="A497" s="19" t="s">
        <v>12160</v>
      </c>
      <c r="B497" s="18"/>
    </row>
    <row r="498" spans="1:2">
      <c r="A498" s="19" t="s">
        <v>12187</v>
      </c>
      <c r="B498" s="18"/>
    </row>
    <row r="499" spans="1:2">
      <c r="A499" s="19" t="s">
        <v>12065</v>
      </c>
      <c r="B499" s="18"/>
    </row>
    <row r="500" spans="1:2">
      <c r="A500" s="19" t="s">
        <v>12363</v>
      </c>
      <c r="B500" s="18"/>
    </row>
    <row r="501" spans="1:2">
      <c r="A501" s="19" t="s">
        <v>12261</v>
      </c>
      <c r="B501" s="18"/>
    </row>
    <row r="502" spans="1:2">
      <c r="A502" s="19" t="s">
        <v>12327</v>
      </c>
      <c r="B502" s="18"/>
    </row>
    <row r="503" spans="1:2">
      <c r="A503" s="19" t="s">
        <v>11983</v>
      </c>
      <c r="B503" s="18"/>
    </row>
    <row r="504" spans="1:2">
      <c r="A504" s="19" t="s">
        <v>12303</v>
      </c>
      <c r="B504" s="18"/>
    </row>
    <row r="505" spans="1:2">
      <c r="A505" s="19" t="s">
        <v>12236</v>
      </c>
      <c r="B505" s="18"/>
    </row>
    <row r="506" spans="1:2">
      <c r="A506" s="19" t="s">
        <v>12438</v>
      </c>
      <c r="B506" s="18"/>
    </row>
    <row r="507" spans="1:2">
      <c r="A507" s="19" t="s">
        <v>12197</v>
      </c>
      <c r="B507" s="18"/>
    </row>
    <row r="508" spans="1:2">
      <c r="A508" s="19" t="s">
        <v>12239</v>
      </c>
      <c r="B508" s="18"/>
    </row>
    <row r="509" spans="1:2">
      <c r="A509" s="19" t="s">
        <v>12387</v>
      </c>
      <c r="B509" s="18"/>
    </row>
    <row r="510" spans="1:2">
      <c r="A510" s="19" t="s">
        <v>11992</v>
      </c>
      <c r="B510" s="18"/>
    </row>
    <row r="511" spans="1:2">
      <c r="A511" s="19" t="s">
        <v>12116</v>
      </c>
      <c r="B511" s="18"/>
    </row>
    <row r="512" spans="1:2">
      <c r="A512" s="19" t="s">
        <v>12113</v>
      </c>
      <c r="B512" s="18"/>
    </row>
    <row r="513" spans="1:2">
      <c r="A513" s="19" t="s">
        <v>11968</v>
      </c>
      <c r="B513" s="18"/>
    </row>
    <row r="514" spans="1:2">
      <c r="A514" s="19" t="s">
        <v>12289</v>
      </c>
      <c r="B514" s="18"/>
    </row>
    <row r="515" spans="1:2">
      <c r="A515" s="19" t="s">
        <v>11970</v>
      </c>
      <c r="B515" s="18"/>
    </row>
    <row r="516" spans="1:2">
      <c r="A516" s="19" t="s">
        <v>12455</v>
      </c>
      <c r="B516" s="18"/>
    </row>
    <row r="517" spans="1:2">
      <c r="A517" s="19" t="s">
        <v>12238</v>
      </c>
      <c r="B517" s="18"/>
    </row>
    <row r="518" spans="1:2">
      <c r="A518" s="19" t="s">
        <v>12247</v>
      </c>
      <c r="B518" s="18"/>
    </row>
    <row r="519" spans="1:2">
      <c r="A519" s="19" t="s">
        <v>12093</v>
      </c>
      <c r="B519" s="18"/>
    </row>
    <row r="520" spans="1:2">
      <c r="A520" s="19" t="s">
        <v>12032</v>
      </c>
      <c r="B520" s="18"/>
    </row>
    <row r="521" spans="1:2">
      <c r="A521" s="19" t="s">
        <v>12202</v>
      </c>
      <c r="B521" s="18"/>
    </row>
    <row r="522" spans="1:2">
      <c r="A522" s="19" t="s">
        <v>12333</v>
      </c>
      <c r="B522" s="18"/>
    </row>
    <row r="523" spans="1:2">
      <c r="A523" s="19" t="s">
        <v>12395</v>
      </c>
      <c r="B523" s="18"/>
    </row>
    <row r="524" spans="1:2">
      <c r="A524" s="19" t="s">
        <v>11978</v>
      </c>
      <c r="B524" s="18"/>
    </row>
    <row r="525" spans="1:2">
      <c r="A525" s="19" t="s">
        <v>12402</v>
      </c>
      <c r="B525" s="18"/>
    </row>
    <row r="526" spans="1:2">
      <c r="A526" s="19" t="s">
        <v>12351</v>
      </c>
      <c r="B526" s="18"/>
    </row>
    <row r="527" spans="1:2">
      <c r="A527" s="19" t="s">
        <v>12005</v>
      </c>
      <c r="B527" s="18"/>
    </row>
    <row r="528" spans="1:2">
      <c r="A528" s="19" t="s">
        <v>11969</v>
      </c>
      <c r="B528" s="18"/>
    </row>
    <row r="529" spans="1:2">
      <c r="A529" s="19" t="s">
        <v>12171</v>
      </c>
      <c r="B529" s="18"/>
    </row>
    <row r="530" spans="1:2">
      <c r="A530" s="19" t="s">
        <v>12086</v>
      </c>
      <c r="B530" s="18"/>
    </row>
    <row r="531" spans="1:2">
      <c r="A531" s="19" t="s">
        <v>12249</v>
      </c>
      <c r="B531" s="18"/>
    </row>
    <row r="532" spans="1:2">
      <c r="A532" s="19" t="s">
        <v>12290</v>
      </c>
      <c r="B532" s="18"/>
    </row>
    <row r="533" spans="1:2">
      <c r="A533" s="19" t="s">
        <v>12376</v>
      </c>
      <c r="B533" s="18"/>
    </row>
    <row r="534" spans="1:2">
      <c r="A534" s="19" t="s">
        <v>12359</v>
      </c>
      <c r="B534" s="18"/>
    </row>
    <row r="535" spans="1:2">
      <c r="A535" s="19" t="s">
        <v>12052</v>
      </c>
      <c r="B535" s="18"/>
    </row>
    <row r="536" spans="1:2">
      <c r="A536" s="19" t="s">
        <v>12225</v>
      </c>
      <c r="B536" s="18"/>
    </row>
    <row r="537" spans="1:2">
      <c r="A537" s="19" t="s">
        <v>12105</v>
      </c>
      <c r="B537" s="18"/>
    </row>
    <row r="538" spans="1:2">
      <c r="A538" s="19" t="s">
        <v>12131</v>
      </c>
      <c r="B538" s="18"/>
    </row>
    <row r="539" spans="1:2">
      <c r="A539" s="19" t="s">
        <v>12204</v>
      </c>
      <c r="B539" s="18"/>
    </row>
    <row r="540" spans="1:2">
      <c r="A540" s="19" t="s">
        <v>12198</v>
      </c>
      <c r="B540" s="18"/>
    </row>
    <row r="541" spans="1:2">
      <c r="A541" s="19" t="s">
        <v>12384</v>
      </c>
      <c r="B541" s="18"/>
    </row>
    <row r="542" spans="1:2">
      <c r="A542" s="19" t="s">
        <v>12147</v>
      </c>
      <c r="B542" s="18"/>
    </row>
    <row r="543" spans="1:2">
      <c r="A543" s="19" t="s">
        <v>12294</v>
      </c>
      <c r="B543" s="18"/>
    </row>
    <row r="544" spans="1:2">
      <c r="A544" s="19" t="s">
        <v>12253</v>
      </c>
      <c r="B544" s="18"/>
    </row>
    <row r="545" spans="1:2">
      <c r="A545" s="19" t="s">
        <v>12403</v>
      </c>
      <c r="B545" s="18"/>
    </row>
    <row r="546" spans="1:2">
      <c r="A546" s="19" t="s">
        <v>12411</v>
      </c>
      <c r="B546" s="18"/>
    </row>
    <row r="547" spans="1:2">
      <c r="A547" s="19" t="s">
        <v>12146</v>
      </c>
      <c r="B547" s="18"/>
    </row>
    <row r="548" spans="1:2">
      <c r="A548" s="19" t="s">
        <v>12334</v>
      </c>
      <c r="B548" s="18"/>
    </row>
    <row r="549" spans="1:2">
      <c r="A549" s="19" t="s">
        <v>12102</v>
      </c>
      <c r="B549" s="18"/>
    </row>
    <row r="550" spans="1:2">
      <c r="A550" s="19" t="s">
        <v>12175</v>
      </c>
      <c r="B550" s="18"/>
    </row>
    <row r="551" spans="1:2">
      <c r="A551" s="19" t="s">
        <v>12255</v>
      </c>
      <c r="B551" s="18"/>
    </row>
    <row r="552" spans="1:2">
      <c r="A552" s="19" t="s">
        <v>12444</v>
      </c>
      <c r="B552" s="18"/>
    </row>
    <row r="553" spans="1:2">
      <c r="A553" s="19" t="s">
        <v>12138</v>
      </c>
      <c r="B553" s="18"/>
    </row>
    <row r="554" spans="1:2">
      <c r="A554" s="19" t="s">
        <v>12264</v>
      </c>
      <c r="B554" s="18"/>
    </row>
    <row r="555" spans="1:2">
      <c r="A555" s="19" t="s">
        <v>12154</v>
      </c>
      <c r="B555" s="18"/>
    </row>
    <row r="556" spans="1:2">
      <c r="A556" s="19" t="s">
        <v>12090</v>
      </c>
      <c r="B556" s="18"/>
    </row>
    <row r="557" spans="1:2">
      <c r="A557" s="19" t="s">
        <v>12252</v>
      </c>
      <c r="B557" s="18"/>
    </row>
    <row r="558" spans="1:2">
      <c r="A558" s="19" t="s">
        <v>12141</v>
      </c>
      <c r="B558" s="18"/>
    </row>
    <row r="559" spans="1:2">
      <c r="A559" s="19" t="s">
        <v>12380</v>
      </c>
      <c r="B559" s="18"/>
    </row>
    <row r="560" spans="1:2">
      <c r="A560" s="19" t="s">
        <v>12336</v>
      </c>
      <c r="B560" s="18"/>
    </row>
    <row r="561" spans="1:2">
      <c r="A561" s="19" t="s">
        <v>12245</v>
      </c>
      <c r="B561" s="18"/>
    </row>
    <row r="562" spans="1:2">
      <c r="A562" s="19" t="s">
        <v>12292</v>
      </c>
      <c r="B562" s="18"/>
    </row>
    <row r="563" spans="1:2">
      <c r="A563" s="19" t="s">
        <v>12362</v>
      </c>
      <c r="B563" s="18"/>
    </row>
    <row r="564" spans="1:2">
      <c r="A564" s="19" t="s">
        <v>12082</v>
      </c>
      <c r="B564" s="18"/>
    </row>
    <row r="565" spans="1:2">
      <c r="A565" s="19" t="s">
        <v>12221</v>
      </c>
      <c r="B565" s="18"/>
    </row>
    <row r="566" spans="1:2">
      <c r="A566" s="19" t="s">
        <v>12254</v>
      </c>
      <c r="B566" s="18"/>
    </row>
    <row r="567" spans="1:2">
      <c r="A567" s="19" t="s">
        <v>12319</v>
      </c>
      <c r="B567" s="18"/>
    </row>
    <row r="568" spans="1:2">
      <c r="A568" s="19" t="s">
        <v>12112</v>
      </c>
      <c r="B568" s="18"/>
    </row>
    <row r="569" spans="1:2">
      <c r="A569" s="19" t="s">
        <v>12216</v>
      </c>
      <c r="B569" s="18"/>
    </row>
    <row r="570" spans="1:2">
      <c r="A570" s="19" t="s">
        <v>12335</v>
      </c>
      <c r="B570" s="18"/>
    </row>
    <row r="571" spans="1:2">
      <c r="A571" s="19" t="s">
        <v>12150</v>
      </c>
      <c r="B571" s="18"/>
    </row>
    <row r="572" spans="1:2">
      <c r="A572" s="19" t="s">
        <v>12108</v>
      </c>
      <c r="B572" s="18"/>
    </row>
    <row r="573" spans="1:2">
      <c r="A573" s="19" t="s">
        <v>12011</v>
      </c>
      <c r="B573" s="18"/>
    </row>
    <row r="574" spans="1:2">
      <c r="A574" s="19" t="s">
        <v>12295</v>
      </c>
      <c r="B574" s="18"/>
    </row>
    <row r="575" spans="1:2">
      <c r="A575" s="19" t="s">
        <v>12224</v>
      </c>
      <c r="B575" s="18"/>
    </row>
    <row r="576" spans="1:2">
      <c r="A576" s="19" t="s">
        <v>12186</v>
      </c>
      <c r="B576" s="18"/>
    </row>
    <row r="577" spans="1:2">
      <c r="A577" s="19" t="s">
        <v>12288</v>
      </c>
      <c r="B577" s="18"/>
    </row>
    <row r="578" spans="1:2">
      <c r="A578" s="19" t="s">
        <v>12270</v>
      </c>
      <c r="B578" s="18"/>
    </row>
    <row r="579" spans="1:2">
      <c r="A579" s="19" t="s">
        <v>11961</v>
      </c>
      <c r="B579" s="18"/>
    </row>
    <row r="580" spans="1:2">
      <c r="A580" s="19" t="s">
        <v>12306</v>
      </c>
      <c r="B580" s="18"/>
    </row>
    <row r="581" spans="1:2">
      <c r="A581" s="19" t="s">
        <v>12366</v>
      </c>
      <c r="B581" s="18"/>
    </row>
    <row r="582" spans="1:2">
      <c r="A582" s="19" t="s">
        <v>12410</v>
      </c>
      <c r="B582" s="18"/>
    </row>
    <row r="583" spans="1:2">
      <c r="A583" s="19" t="s">
        <v>12282</v>
      </c>
      <c r="B583" s="18"/>
    </row>
    <row r="584" spans="1:2">
      <c r="A584" s="19" t="s">
        <v>12217</v>
      </c>
      <c r="B584" s="18"/>
    </row>
    <row r="585" spans="1:2">
      <c r="A585" s="19" t="s">
        <v>12164</v>
      </c>
      <c r="B585" s="18"/>
    </row>
    <row r="586" spans="1:2">
      <c r="A586" s="19" t="s">
        <v>12417</v>
      </c>
      <c r="B586" s="18"/>
    </row>
    <row r="587" spans="1:2">
      <c r="A587" s="19" t="s">
        <v>12391</v>
      </c>
      <c r="B587" s="18"/>
    </row>
    <row r="588" spans="1:2">
      <c r="A588" s="19" t="s">
        <v>12399</v>
      </c>
      <c r="B588" s="18"/>
    </row>
    <row r="589" spans="1:2">
      <c r="A589" s="19" t="s">
        <v>12213</v>
      </c>
      <c r="B589" s="18"/>
    </row>
    <row r="590" spans="1:2">
      <c r="A590" s="19" t="s">
        <v>12307</v>
      </c>
      <c r="B590" s="18"/>
    </row>
    <row r="591" spans="1:2">
      <c r="A591" s="19" t="s">
        <v>11981</v>
      </c>
      <c r="B591" s="18"/>
    </row>
    <row r="592" spans="1:2">
      <c r="A592" s="19" t="s">
        <v>12431</v>
      </c>
      <c r="B592" s="18"/>
    </row>
    <row r="593" spans="1:2">
      <c r="A593" s="19" t="s">
        <v>12128</v>
      </c>
      <c r="B593" s="18"/>
    </row>
    <row r="594" spans="1:2">
      <c r="A594" s="19" t="s">
        <v>12242</v>
      </c>
      <c r="B594" s="18"/>
    </row>
    <row r="595" spans="1:2">
      <c r="A595" s="19" t="s">
        <v>12308</v>
      </c>
      <c r="B595" s="18"/>
    </row>
    <row r="596" spans="1:2">
      <c r="A596" s="19" t="s">
        <v>12436</v>
      </c>
      <c r="B596" s="18"/>
    </row>
    <row r="597" spans="1:2">
      <c r="A597" s="19" t="s">
        <v>12208</v>
      </c>
      <c r="B597" s="18"/>
    </row>
    <row r="598" spans="1:2">
      <c r="A598" s="19" t="s">
        <v>12001</v>
      </c>
      <c r="B598" s="18"/>
    </row>
    <row r="599" spans="1:2">
      <c r="A599" s="19" t="s">
        <v>12340</v>
      </c>
      <c r="B599" s="18"/>
    </row>
    <row r="600" spans="1:2">
      <c r="A600" s="19" t="s">
        <v>12233</v>
      </c>
      <c r="B600" s="18"/>
    </row>
    <row r="601" spans="1:2">
      <c r="A601" s="19" t="s">
        <v>12404</v>
      </c>
      <c r="B601" s="18"/>
    </row>
    <row r="602" spans="1:2">
      <c r="A602" s="19" t="s">
        <v>12401</v>
      </c>
      <c r="B602" s="18"/>
    </row>
    <row r="603" spans="1:2">
      <c r="A603" s="19">
        <v>79851786244</v>
      </c>
      <c r="B603" s="18"/>
    </row>
    <row r="604" spans="1:2">
      <c r="A604" s="19" t="s">
        <v>11966</v>
      </c>
      <c r="B604" s="18"/>
    </row>
    <row r="605" spans="1:2">
      <c r="A605" s="19" t="s">
        <v>12291</v>
      </c>
      <c r="B605" s="18"/>
    </row>
    <row r="606" spans="1:2">
      <c r="A606" s="19" t="s">
        <v>12278</v>
      </c>
      <c r="B606" s="18"/>
    </row>
    <row r="607" spans="1:2">
      <c r="A607" s="19" t="s">
        <v>12345</v>
      </c>
      <c r="B607" s="18"/>
    </row>
    <row r="608" spans="1:2">
      <c r="A608" s="19" t="s">
        <v>12393</v>
      </c>
      <c r="B608" s="18"/>
    </row>
    <row r="609" spans="1:2">
      <c r="A609" s="19" t="s">
        <v>12042</v>
      </c>
      <c r="B609" s="18"/>
    </row>
    <row r="610" spans="1:2">
      <c r="A610" s="19" t="s">
        <v>12026</v>
      </c>
      <c r="B610" s="18"/>
    </row>
    <row r="611" spans="1:2">
      <c r="A611" s="19" t="s">
        <v>12279</v>
      </c>
      <c r="B611" s="18"/>
    </row>
    <row r="612" spans="1:2">
      <c r="A612" s="19" t="s">
        <v>12183</v>
      </c>
      <c r="B612" s="18"/>
    </row>
    <row r="613" spans="1:2">
      <c r="A613" s="19" t="s">
        <v>12149</v>
      </c>
      <c r="B613" s="18"/>
    </row>
    <row r="614" spans="1:2">
      <c r="A614" s="19" t="s">
        <v>12313</v>
      </c>
      <c r="B614" s="18"/>
    </row>
    <row r="615" spans="1:2">
      <c r="A615" s="19" t="s">
        <v>12296</v>
      </c>
      <c r="B615" s="18"/>
    </row>
    <row r="616" spans="1:2">
      <c r="A616" s="19" t="s">
        <v>12195</v>
      </c>
      <c r="B616" s="18"/>
    </row>
    <row r="617" spans="1:2">
      <c r="A617" s="19" t="s">
        <v>12419</v>
      </c>
      <c r="B617" s="18"/>
    </row>
    <row r="618" spans="1:2">
      <c r="A618" s="19" t="s">
        <v>12103</v>
      </c>
      <c r="B618" s="18"/>
    </row>
    <row r="619" spans="1:2">
      <c r="A619" s="19" t="s">
        <v>12101</v>
      </c>
      <c r="B619" s="18"/>
    </row>
    <row r="620" spans="1:2">
      <c r="A620" s="19" t="s">
        <v>12152</v>
      </c>
      <c r="B620" s="18"/>
    </row>
    <row r="621" spans="1:2">
      <c r="A621" s="19" t="s">
        <v>12169</v>
      </c>
      <c r="B621" s="18"/>
    </row>
    <row r="622" spans="1:2">
      <c r="A622" s="19" t="s">
        <v>12162</v>
      </c>
      <c r="B622" s="18"/>
    </row>
    <row r="623" spans="1:2">
      <c r="A623" s="19" t="s">
        <v>12061</v>
      </c>
      <c r="B623" s="18"/>
    </row>
    <row r="624" spans="1:2">
      <c r="A624" s="19" t="s">
        <v>12330</v>
      </c>
      <c r="B624" s="18"/>
    </row>
    <row r="625" spans="1:2">
      <c r="A625" s="19" t="s">
        <v>12382</v>
      </c>
      <c r="B625" s="18"/>
    </row>
    <row r="626" spans="1:2">
      <c r="A626" s="19" t="s">
        <v>12129</v>
      </c>
      <c r="B626" s="18"/>
    </row>
    <row r="627" spans="1:2">
      <c r="A627" s="19" t="s">
        <v>12346</v>
      </c>
      <c r="B627" s="18"/>
    </row>
    <row r="628" spans="1:2">
      <c r="A628" s="19" t="s">
        <v>12099</v>
      </c>
      <c r="B628" s="18"/>
    </row>
    <row r="629" spans="1:2">
      <c r="A629" s="19" t="s">
        <v>12189</v>
      </c>
      <c r="B629" s="18"/>
    </row>
    <row r="630" spans="1:2">
      <c r="A630" s="19" t="s">
        <v>12076</v>
      </c>
      <c r="B630" s="18"/>
    </row>
    <row r="631" spans="1:2">
      <c r="A631" s="19" t="s">
        <v>12031</v>
      </c>
      <c r="B631" s="18"/>
    </row>
    <row r="632" spans="1:2">
      <c r="A632" s="19" t="s">
        <v>12460</v>
      </c>
      <c r="B632" s="18"/>
    </row>
    <row r="633" spans="1:2">
      <c r="A633" s="19" t="s">
        <v>12135</v>
      </c>
      <c r="B633" s="18"/>
    </row>
    <row r="634" spans="1:2">
      <c r="A634" s="19" t="s">
        <v>12314</v>
      </c>
      <c r="B634" s="18"/>
    </row>
    <row r="635" spans="1:2">
      <c r="A635" s="19" t="s">
        <v>12166</v>
      </c>
      <c r="B635" s="18"/>
    </row>
    <row r="636" spans="1:2">
      <c r="A636" s="19" t="s">
        <v>12437</v>
      </c>
      <c r="B636" s="18"/>
    </row>
    <row r="637" spans="1:2">
      <c r="A637" s="19" t="s">
        <v>12015</v>
      </c>
      <c r="B637" s="18"/>
    </row>
    <row r="638" spans="1:2">
      <c r="A638" s="19" t="s">
        <v>12425</v>
      </c>
      <c r="B638" s="18"/>
    </row>
    <row r="639" spans="1:2">
      <c r="A639" s="19" t="s">
        <v>12370</v>
      </c>
      <c r="B639" s="18"/>
    </row>
    <row r="640" spans="1:2">
      <c r="A640" s="19" t="s">
        <v>12123</v>
      </c>
      <c r="B640" s="18"/>
    </row>
    <row r="641" spans="1:2">
      <c r="A641" s="19" t="s">
        <v>12111</v>
      </c>
      <c r="B641" s="18"/>
    </row>
    <row r="642" spans="1:2">
      <c r="A642" s="19" t="s">
        <v>12383</v>
      </c>
      <c r="B642" s="18"/>
    </row>
    <row r="643" spans="1:2">
      <c r="A643" s="19" t="s">
        <v>12237</v>
      </c>
      <c r="B643" s="18"/>
    </row>
    <row r="644" spans="1:2">
      <c r="A644" s="19" t="s">
        <v>12219</v>
      </c>
      <c r="B644" s="18"/>
    </row>
    <row r="645" spans="1:2">
      <c r="A645" s="19" t="s">
        <v>11964</v>
      </c>
      <c r="B645" s="18"/>
    </row>
    <row r="646" spans="1:2">
      <c r="A646" s="19" t="s">
        <v>12040</v>
      </c>
      <c r="B646" s="18"/>
    </row>
    <row r="647" spans="1:2">
      <c r="A647" s="19" t="s">
        <v>11996</v>
      </c>
      <c r="B647" s="18"/>
    </row>
    <row r="648" spans="1:2">
      <c r="A648" s="19" t="s">
        <v>12412</v>
      </c>
      <c r="B648" s="18"/>
    </row>
    <row r="649" spans="1:2">
      <c r="A649" s="19" t="s">
        <v>12379</v>
      </c>
      <c r="B649" s="18"/>
    </row>
    <row r="650" spans="1:2">
      <c r="A650" s="19" t="s">
        <v>12413</v>
      </c>
      <c r="B650" s="18"/>
    </row>
    <row r="651" spans="1:2">
      <c r="A651" s="19" t="s">
        <v>11974</v>
      </c>
      <c r="B651" s="18"/>
    </row>
    <row r="652" spans="1:2">
      <c r="A652" s="19" t="s">
        <v>12085</v>
      </c>
      <c r="B652" s="18"/>
    </row>
    <row r="653" spans="1:2">
      <c r="A653" s="19" t="s">
        <v>11963</v>
      </c>
      <c r="B653" s="18"/>
    </row>
    <row r="654" spans="1:2">
      <c r="A654" s="19" t="s">
        <v>12328</v>
      </c>
      <c r="B654" s="18"/>
    </row>
    <row r="655" spans="1:2">
      <c r="A655" s="19" t="s">
        <v>12287</v>
      </c>
      <c r="B655" s="18"/>
    </row>
    <row r="656" spans="1:2">
      <c r="A656" s="19" t="s">
        <v>12414</v>
      </c>
      <c r="B656" s="18"/>
    </row>
    <row r="657" spans="1:2">
      <c r="A657" s="19" t="s">
        <v>11984</v>
      </c>
      <c r="B657" s="18"/>
    </row>
    <row r="658" spans="1:2">
      <c r="A658" s="19" t="s">
        <v>12331</v>
      </c>
      <c r="B658" s="18"/>
    </row>
    <row r="659" spans="1:2">
      <c r="A659" s="19" t="s">
        <v>12180</v>
      </c>
      <c r="B659" s="18"/>
    </row>
    <row r="660" spans="1:2">
      <c r="A660" s="19" t="s">
        <v>11979</v>
      </c>
      <c r="B660" s="18"/>
    </row>
    <row r="661" spans="1:2">
      <c r="A661" s="19" t="s">
        <v>12022</v>
      </c>
      <c r="B661" s="18"/>
    </row>
    <row r="662" spans="1:2">
      <c r="A662" s="19" t="s">
        <v>12114</v>
      </c>
      <c r="B662" s="18"/>
    </row>
    <row r="663" spans="1:2">
      <c r="A663" s="19" t="s">
        <v>12067</v>
      </c>
      <c r="B663" s="18"/>
    </row>
    <row r="664" spans="1:2">
      <c r="A664" s="19" t="s">
        <v>12181</v>
      </c>
      <c r="B664" s="18"/>
    </row>
    <row r="665" spans="1:2">
      <c r="A665" s="19" t="s">
        <v>12348</v>
      </c>
      <c r="B665" s="18"/>
    </row>
    <row r="666" spans="1:2">
      <c r="A666" s="19" t="s">
        <v>12268</v>
      </c>
      <c r="B666" s="18"/>
    </row>
    <row r="667" spans="1:2">
      <c r="A667" s="19" t="s">
        <v>12400</v>
      </c>
      <c r="B667" s="18"/>
    </row>
    <row r="668" spans="1:2">
      <c r="A668" s="19" t="s">
        <v>11982</v>
      </c>
      <c r="B668" s="18"/>
    </row>
    <row r="669" spans="1:2">
      <c r="A669" s="19" t="s">
        <v>12357</v>
      </c>
      <c r="B669" s="18"/>
    </row>
    <row r="670" spans="1:2">
      <c r="A670" s="19" t="s">
        <v>12041</v>
      </c>
      <c r="B670" s="18"/>
    </row>
    <row r="671" spans="1:2">
      <c r="A671" s="19" t="s">
        <v>12266</v>
      </c>
      <c r="B671" s="18"/>
    </row>
    <row r="672" spans="1:2">
      <c r="A672" s="19" t="s">
        <v>12120</v>
      </c>
      <c r="B672" s="18"/>
    </row>
    <row r="673" spans="1:2">
      <c r="A673" s="19" t="s">
        <v>12037</v>
      </c>
      <c r="B673" s="18"/>
    </row>
    <row r="674" spans="1:2">
      <c r="A674" s="19" t="s">
        <v>12447</v>
      </c>
      <c r="B674" s="18"/>
    </row>
    <row r="675" spans="1:2">
      <c r="A675" s="19" t="s">
        <v>12234</v>
      </c>
      <c r="B675" s="18"/>
    </row>
    <row r="676" spans="1:2">
      <c r="A676" s="19" t="s">
        <v>12207</v>
      </c>
      <c r="B676" s="18"/>
    </row>
    <row r="677" spans="1:2">
      <c r="A677" s="19" t="s">
        <v>12415</v>
      </c>
      <c r="B677" s="18"/>
    </row>
    <row r="678" spans="1:2">
      <c r="A678" s="19" t="s">
        <v>12053</v>
      </c>
      <c r="B678" s="18"/>
    </row>
    <row r="679" spans="1:2">
      <c r="A679" s="19" t="s">
        <v>12118</v>
      </c>
      <c r="B679" s="18"/>
    </row>
    <row r="680" spans="1:2">
      <c r="A680" s="19" t="s">
        <v>12174</v>
      </c>
      <c r="B680" s="18"/>
    </row>
    <row r="681" spans="1:2">
      <c r="A681" s="19" t="s">
        <v>12144</v>
      </c>
      <c r="B681" s="18"/>
    </row>
    <row r="682" spans="1:2">
      <c r="A682" s="19" t="s">
        <v>12390</v>
      </c>
      <c r="B682" s="18"/>
    </row>
    <row r="683" spans="1:2">
      <c r="A683" s="19" t="s">
        <v>12337</v>
      </c>
      <c r="B683" s="18"/>
    </row>
    <row r="684" spans="1:2">
      <c r="A684" s="19" t="s">
        <v>12214</v>
      </c>
      <c r="B684" s="18"/>
    </row>
    <row r="685" spans="1:2">
      <c r="A685" s="19" t="s">
        <v>12004</v>
      </c>
      <c r="B685" s="18"/>
    </row>
    <row r="686" spans="1:2">
      <c r="A686" s="19" t="s">
        <v>12060</v>
      </c>
      <c r="B686" s="18"/>
    </row>
    <row r="687" spans="1:2">
      <c r="A687" s="19" t="s">
        <v>12222</v>
      </c>
      <c r="B687" s="18"/>
    </row>
    <row r="688" spans="1:2">
      <c r="A688" s="19" t="s">
        <v>12397</v>
      </c>
      <c r="B688" s="18"/>
    </row>
    <row r="689" spans="1:2">
      <c r="A689" s="19" t="s">
        <v>12024</v>
      </c>
      <c r="B689" s="18"/>
    </row>
    <row r="690" spans="1:2">
      <c r="A690" s="19" t="s">
        <v>12045</v>
      </c>
      <c r="B690" s="18"/>
    </row>
    <row r="691" spans="1:2">
      <c r="A691" s="19" t="s">
        <v>12106</v>
      </c>
      <c r="B691" s="18"/>
    </row>
    <row r="692" spans="1:2">
      <c r="A692" s="19" t="s">
        <v>12435</v>
      </c>
      <c r="B692" s="18"/>
    </row>
    <row r="693" spans="1:2">
      <c r="A693" s="19" t="s">
        <v>12440</v>
      </c>
      <c r="B693" s="18"/>
    </row>
    <row r="694" spans="1:2">
      <c r="A694" s="19" t="s">
        <v>12398</v>
      </c>
      <c r="B694" s="18"/>
    </row>
    <row r="695" spans="1:2">
      <c r="A695" s="19" t="s">
        <v>12077</v>
      </c>
      <c r="B695" s="18"/>
    </row>
    <row r="696" spans="1:2">
      <c r="A696" s="19" t="s">
        <v>12097</v>
      </c>
      <c r="B696" s="18"/>
    </row>
    <row r="697" spans="1:2">
      <c r="A697" s="19" t="s">
        <v>12143</v>
      </c>
      <c r="B697" s="18"/>
    </row>
    <row r="698" spans="1:2">
      <c r="A698" s="19" t="s">
        <v>12302</v>
      </c>
      <c r="B698" s="18"/>
    </row>
    <row r="699" spans="1:2">
      <c r="A699" s="19" t="s">
        <v>12020</v>
      </c>
      <c r="B699" s="18"/>
    </row>
    <row r="700" spans="1:2">
      <c r="A700" s="19" t="s">
        <v>12203</v>
      </c>
      <c r="B700" s="18"/>
    </row>
    <row r="701" spans="1:2">
      <c r="A701" s="19" t="s">
        <v>12369</v>
      </c>
      <c r="B701" s="18"/>
    </row>
    <row r="702" spans="1:2">
      <c r="A702" s="19" t="s">
        <v>12096</v>
      </c>
      <c r="B702" s="18"/>
    </row>
    <row r="703" spans="1:2">
      <c r="A703" s="19" t="s">
        <v>12241</v>
      </c>
      <c r="B703" s="18"/>
    </row>
    <row r="704" spans="1:2">
      <c r="A704" s="19" t="s">
        <v>12456</v>
      </c>
      <c r="B704" s="18"/>
    </row>
    <row r="705" spans="1:2">
      <c r="A705" s="19" t="s">
        <v>12280</v>
      </c>
      <c r="B705" s="18"/>
    </row>
    <row r="706" spans="1:2">
      <c r="A706" s="19" t="s">
        <v>12375</v>
      </c>
      <c r="B706" s="18"/>
    </row>
    <row r="707" spans="1:2">
      <c r="A707" s="19" t="s">
        <v>12211</v>
      </c>
      <c r="B707" s="18"/>
    </row>
    <row r="708" spans="1:2">
      <c r="A708" s="19" t="s">
        <v>11998</v>
      </c>
      <c r="B708" s="18"/>
    </row>
    <row r="709" spans="1:2">
      <c r="A709" s="19" t="s">
        <v>12231</v>
      </c>
      <c r="B709" s="18"/>
    </row>
    <row r="710" spans="1:2">
      <c r="A710" s="19" t="s">
        <v>12276</v>
      </c>
      <c r="B710" s="18"/>
    </row>
    <row r="711" spans="1:2">
      <c r="A711" s="19" t="s">
        <v>12192</v>
      </c>
      <c r="B711" s="18"/>
    </row>
    <row r="712" spans="1:2">
      <c r="A712" s="19" t="s">
        <v>12372</v>
      </c>
      <c r="B712" s="18"/>
    </row>
    <row r="713" spans="1:2">
      <c r="A713" s="19" t="s">
        <v>12184</v>
      </c>
      <c r="B713" s="18"/>
    </row>
    <row r="714" spans="1:2">
      <c r="A714" s="19" t="s">
        <v>12394</v>
      </c>
      <c r="B714" s="18"/>
    </row>
    <row r="715" spans="1:2">
      <c r="A715" s="19" t="s">
        <v>12284</v>
      </c>
      <c r="B715" s="18"/>
    </row>
    <row r="716" spans="1:2">
      <c r="A716" s="19" t="s">
        <v>12420</v>
      </c>
      <c r="B716" s="18"/>
    </row>
    <row r="717" spans="1:2">
      <c r="A717" s="19" t="s">
        <v>11975</v>
      </c>
      <c r="B717" s="18"/>
    </row>
    <row r="718" spans="1:2">
      <c r="A718" s="19" t="s">
        <v>12311</v>
      </c>
      <c r="B718" s="18"/>
    </row>
    <row r="719" spans="1:2">
      <c r="A719" s="19" t="s">
        <v>12223</v>
      </c>
      <c r="B719" s="18"/>
    </row>
    <row r="720" spans="1:2">
      <c r="A720" s="19" t="s">
        <v>12062</v>
      </c>
      <c r="B720" s="18"/>
    </row>
    <row r="721" spans="1:2">
      <c r="A721" s="19" t="s">
        <v>12365</v>
      </c>
      <c r="B721" s="18"/>
    </row>
    <row r="722" spans="1:2">
      <c r="A722" s="19" t="s">
        <v>12115</v>
      </c>
      <c r="B722" s="18"/>
    </row>
    <row r="723" spans="1:2">
      <c r="A723" s="19" t="s">
        <v>12441</v>
      </c>
      <c r="B723" s="18"/>
    </row>
    <row r="724" spans="1:2">
      <c r="A724" s="19" t="s">
        <v>12299</v>
      </c>
      <c r="B724" s="18"/>
    </row>
    <row r="725" spans="1:2">
      <c r="A725" s="19" t="s">
        <v>12013</v>
      </c>
      <c r="B725" s="18"/>
    </row>
    <row r="726" spans="1:2">
      <c r="A726" s="19" t="s">
        <v>12092</v>
      </c>
      <c r="B726" s="18"/>
    </row>
    <row r="727" spans="1:2">
      <c r="A727" s="19" t="s">
        <v>11976</v>
      </c>
      <c r="B727" s="18"/>
    </row>
    <row r="728" spans="1:2">
      <c r="A728" s="19" t="s">
        <v>11971</v>
      </c>
      <c r="B728" s="18"/>
    </row>
    <row r="729" spans="1:2">
      <c r="A729" s="19" t="s">
        <v>12139</v>
      </c>
      <c r="B729" s="18"/>
    </row>
    <row r="730" spans="1:2">
      <c r="A730" s="19" t="s">
        <v>12140</v>
      </c>
      <c r="B730" s="18"/>
    </row>
    <row r="731" spans="1:2">
      <c r="A731" s="19" t="s">
        <v>12256</v>
      </c>
      <c r="B731" s="18"/>
    </row>
    <row r="732" spans="1:2">
      <c r="A732" s="19" t="s">
        <v>12443</v>
      </c>
      <c r="B732" s="18"/>
    </row>
    <row r="733" spans="1:2">
      <c r="A733" s="19" t="s">
        <v>12428</v>
      </c>
      <c r="B733" s="18"/>
    </row>
    <row r="734" spans="1:2">
      <c r="A734" s="19" t="s">
        <v>12110</v>
      </c>
      <c r="B734" s="18"/>
    </row>
    <row r="735" spans="1:2">
      <c r="A735" s="19" t="s">
        <v>12091</v>
      </c>
      <c r="B735" s="18"/>
    </row>
    <row r="736" spans="1:2">
      <c r="A736" s="19">
        <v>79166725212</v>
      </c>
      <c r="B736" s="18"/>
    </row>
    <row r="737" spans="1:2">
      <c r="A737" s="19" t="s">
        <v>11962</v>
      </c>
      <c r="B737" s="18"/>
    </row>
    <row r="738" spans="1:2">
      <c r="A738" s="19" t="s">
        <v>11977</v>
      </c>
      <c r="B738" s="18"/>
    </row>
    <row r="739" spans="1:2">
      <c r="A739" s="19" t="s">
        <v>12232</v>
      </c>
      <c r="B739" s="18"/>
    </row>
    <row r="740" spans="1:2">
      <c r="A740" s="19" t="s">
        <v>12145</v>
      </c>
      <c r="B740" s="18"/>
    </row>
    <row r="741" spans="1:2">
      <c r="A741" s="19" t="s">
        <v>12432</v>
      </c>
      <c r="B741" s="18"/>
    </row>
    <row r="742" spans="1:2">
      <c r="A742" s="19" t="s">
        <v>12210</v>
      </c>
      <c r="B742" s="18"/>
    </row>
    <row r="743" spans="1:2">
      <c r="A743" s="19" t="s">
        <v>12212</v>
      </c>
      <c r="B743" s="18"/>
    </row>
    <row r="744" spans="1:2">
      <c r="A744" s="19" t="s">
        <v>12267</v>
      </c>
      <c r="B744" s="18"/>
    </row>
    <row r="745" spans="1:2">
      <c r="A745" s="19" t="s">
        <v>12000</v>
      </c>
      <c r="B745" s="18"/>
    </row>
    <row r="746" spans="1:2">
      <c r="A746" s="19" t="s">
        <v>12068</v>
      </c>
      <c r="B746" s="18"/>
    </row>
    <row r="747" spans="1:2">
      <c r="A747" s="19" t="s">
        <v>12081</v>
      </c>
      <c r="B747" s="18"/>
    </row>
    <row r="748" spans="1:2">
      <c r="A748" s="19" t="s">
        <v>12427</v>
      </c>
      <c r="B748" s="18"/>
    </row>
    <row r="749" spans="1:2">
      <c r="A749" s="19" t="s">
        <v>11965</v>
      </c>
      <c r="B749" s="18"/>
    </row>
    <row r="750" spans="1:2">
      <c r="A750" s="19" t="s">
        <v>12177</v>
      </c>
      <c r="B750" s="18"/>
    </row>
    <row r="751" spans="1:2">
      <c r="A751" s="19" t="s">
        <v>12229</v>
      </c>
      <c r="B751" s="18"/>
    </row>
    <row r="752" spans="1:2">
      <c r="A752" s="19" t="s">
        <v>12055</v>
      </c>
      <c r="B752" s="18"/>
    </row>
    <row r="753" spans="1:2">
      <c r="A753" s="19" t="s">
        <v>12349</v>
      </c>
      <c r="B753" s="18"/>
    </row>
    <row r="754" spans="1:2">
      <c r="A754" s="19" t="s">
        <v>12286</v>
      </c>
      <c r="B754" s="18"/>
    </row>
    <row r="755" spans="1:2">
      <c r="A755" s="19" t="s">
        <v>12418</v>
      </c>
      <c r="B755" s="18"/>
    </row>
    <row r="756" spans="1:2">
      <c r="A756" s="19" t="s">
        <v>12087</v>
      </c>
      <c r="B756" s="18"/>
    </row>
    <row r="757" spans="1:2">
      <c r="A757" s="19" t="s">
        <v>12153</v>
      </c>
      <c r="B757" s="18"/>
    </row>
    <row r="758" spans="1:2">
      <c r="A758" s="19" t="s">
        <v>12354</v>
      </c>
      <c r="B758" s="18"/>
    </row>
    <row r="759" spans="1:2">
      <c r="A759" s="19" t="s">
        <v>12227</v>
      </c>
      <c r="B759" s="18"/>
    </row>
    <row r="760" spans="1:2">
      <c r="A760" s="19" t="s">
        <v>12165</v>
      </c>
      <c r="B760" s="18"/>
    </row>
    <row r="761" spans="1:2">
      <c r="A761" s="19" t="s">
        <v>12301</v>
      </c>
      <c r="B761" s="18"/>
    </row>
    <row r="762" spans="1:2">
      <c r="A762" s="19" t="s">
        <v>12408</v>
      </c>
      <c r="B762" s="18"/>
    </row>
    <row r="763" spans="1:2">
      <c r="A763" s="19" t="s">
        <v>12173</v>
      </c>
      <c r="B763" s="18"/>
    </row>
    <row r="764" spans="1:2">
      <c r="A764" s="19" t="s">
        <v>12269</v>
      </c>
      <c r="B764" s="18"/>
    </row>
    <row r="765" spans="1:2">
      <c r="A765" s="19" t="s">
        <v>12433</v>
      </c>
      <c r="B765" s="18"/>
    </row>
    <row r="766" spans="1:2">
      <c r="A766" s="19" t="s">
        <v>12355</v>
      </c>
      <c r="B766" s="18"/>
    </row>
    <row r="767" spans="1:2">
      <c r="A767" s="19" t="s">
        <v>11973</v>
      </c>
      <c r="B767" s="18"/>
    </row>
    <row r="768" spans="1:2">
      <c r="A768" s="19" t="s">
        <v>12018</v>
      </c>
      <c r="B768" s="18"/>
    </row>
    <row r="769" spans="1:2">
      <c r="A769" s="19" t="s">
        <v>12244</v>
      </c>
      <c r="B769" s="18"/>
    </row>
    <row r="770" spans="1:2">
      <c r="A770" s="19" t="s">
        <v>12075</v>
      </c>
      <c r="B770" s="18"/>
    </row>
    <row r="771" spans="1:2">
      <c r="A771" s="19" t="s">
        <v>12297</v>
      </c>
      <c r="B771" s="18"/>
    </row>
    <row r="772" spans="1:2">
      <c r="A772" s="19" t="s">
        <v>12084</v>
      </c>
      <c r="B772" s="18"/>
    </row>
    <row r="773" spans="1:2">
      <c r="A773" s="19" t="s">
        <v>12360</v>
      </c>
      <c r="B773" s="18"/>
    </row>
    <row r="774" spans="1:2">
      <c r="A774" s="19" t="s">
        <v>12218</v>
      </c>
      <c r="B774" s="18"/>
    </row>
    <row r="775" spans="1:2">
      <c r="A775" s="19" t="s">
        <v>11999</v>
      </c>
      <c r="B775" s="18"/>
    </row>
    <row r="776" spans="1:2">
      <c r="A776" s="19" t="s">
        <v>12148</v>
      </c>
      <c r="B776" s="18"/>
    </row>
    <row r="777" spans="1:2">
      <c r="A777" s="19" t="s">
        <v>12230</v>
      </c>
      <c r="B777" s="18"/>
    </row>
    <row r="778" spans="1:2">
      <c r="A778" s="19" t="s">
        <v>12157</v>
      </c>
      <c r="B778" s="18"/>
    </row>
    <row r="779" spans="1:2">
      <c r="A779" s="19" t="s">
        <v>12453</v>
      </c>
      <c r="B779" s="18"/>
    </row>
    <row r="780" spans="1:2">
      <c r="A780" s="19" t="s">
        <v>12257</v>
      </c>
      <c r="B780" s="18"/>
    </row>
    <row r="781" spans="1:2">
      <c r="A781" s="19" t="s">
        <v>12459</v>
      </c>
      <c r="B781" s="18"/>
    </row>
    <row r="782" spans="1:2">
      <c r="A782" s="19" t="s">
        <v>12098</v>
      </c>
      <c r="B782" s="18"/>
    </row>
    <row r="783" spans="1:2">
      <c r="A783" s="19" t="s">
        <v>12176</v>
      </c>
      <c r="B783" s="18"/>
    </row>
    <row r="784" spans="1:2">
      <c r="A784" s="19" t="s">
        <v>12069</v>
      </c>
      <c r="B784" s="18"/>
    </row>
    <row r="785" spans="1:2">
      <c r="A785" s="19" t="s">
        <v>12117</v>
      </c>
      <c r="B785" s="18"/>
    </row>
    <row r="786" spans="1:2">
      <c r="A786" s="19" t="s">
        <v>12124</v>
      </c>
      <c r="B786" s="18"/>
    </row>
    <row r="787" spans="1:2">
      <c r="A787" s="19" t="s">
        <v>11980</v>
      </c>
      <c r="B787" s="18"/>
    </row>
    <row r="788" spans="1:2">
      <c r="A788" s="19" t="s">
        <v>12439</v>
      </c>
      <c r="B788" s="18"/>
    </row>
    <row r="789" spans="1:2">
      <c r="A789" s="19" t="s">
        <v>12248</v>
      </c>
      <c r="B789" s="18"/>
    </row>
    <row r="790" spans="1:2">
      <c r="A790" s="19" t="s">
        <v>12461</v>
      </c>
      <c r="B790" s="18"/>
    </row>
    <row r="791" spans="1:2">
      <c r="A791" s="19" t="s">
        <v>12125</v>
      </c>
      <c r="B791" s="18"/>
    </row>
    <row r="792" spans="1:2">
      <c r="A792" s="19" t="s">
        <v>12142</v>
      </c>
      <c r="B792" s="18"/>
    </row>
    <row r="793" spans="1:2">
      <c r="A793" s="19" t="s">
        <v>12271</v>
      </c>
      <c r="B793" s="18"/>
    </row>
    <row r="794" spans="1:2">
      <c r="A794" s="19" t="s">
        <v>12074</v>
      </c>
      <c r="B794" s="18"/>
    </row>
    <row r="795" spans="1:2">
      <c r="A795" s="19" t="s">
        <v>12318</v>
      </c>
      <c r="B795" s="18"/>
    </row>
    <row r="796" spans="1:2">
      <c r="A796" s="19" t="s">
        <v>12263</v>
      </c>
      <c r="B796" s="18"/>
    </row>
    <row r="797" spans="1:2">
      <c r="A797" s="19" t="s">
        <v>12426</v>
      </c>
      <c r="B797" s="18"/>
    </row>
    <row r="798" spans="1:2">
      <c r="A798" s="19" t="s">
        <v>12416</v>
      </c>
      <c r="B798" s="18"/>
    </row>
    <row r="799" spans="1:2">
      <c r="A799" s="19" t="s">
        <v>12322</v>
      </c>
      <c r="B799" s="18"/>
    </row>
    <row r="800" spans="1:2">
      <c r="A800" s="19" t="s">
        <v>12119</v>
      </c>
      <c r="B800" s="18"/>
    </row>
    <row r="801" spans="1:2">
      <c r="A801" s="19" t="s">
        <v>12206</v>
      </c>
      <c r="B801" s="18"/>
    </row>
    <row r="802" spans="1:2">
      <c r="A802" s="19" t="s">
        <v>12298</v>
      </c>
      <c r="B802" s="18"/>
    </row>
    <row r="803" spans="1:2">
      <c r="A803" s="19" t="s">
        <v>12329</v>
      </c>
      <c r="B803" s="18"/>
    </row>
    <row r="804" spans="1:2">
      <c r="A804" s="19" t="s">
        <v>12396</v>
      </c>
      <c r="B804" s="18"/>
    </row>
    <row r="805" spans="1:2">
      <c r="A805" s="19" t="s">
        <v>12019</v>
      </c>
      <c r="B805" s="18"/>
    </row>
    <row r="806" spans="1:2">
      <c r="A806" s="19" t="s">
        <v>12300</v>
      </c>
      <c r="B806" s="18"/>
    </row>
    <row r="807" spans="1:2">
      <c r="A807" s="19" t="s">
        <v>12021</v>
      </c>
      <c r="B807" s="18"/>
    </row>
    <row r="808" spans="1:2">
      <c r="A808" s="19" t="s">
        <v>12243</v>
      </c>
      <c r="B808" s="18"/>
    </row>
    <row r="809" spans="1:2">
      <c r="A809" s="19" t="s">
        <v>12056</v>
      </c>
      <c r="B809" s="18"/>
    </row>
    <row r="810" spans="1:2">
      <c r="A810" s="19" t="s">
        <v>12430</v>
      </c>
      <c r="B810" s="18"/>
    </row>
    <row r="811" spans="1:2">
      <c r="A811" s="19" t="s">
        <v>12083</v>
      </c>
      <c r="B811" s="18"/>
    </row>
    <row r="812" spans="1:2">
      <c r="A812" s="19" t="s">
        <v>11967</v>
      </c>
      <c r="B812" s="18"/>
    </row>
    <row r="813" spans="1:2">
      <c r="A813" s="19" t="s">
        <v>12215</v>
      </c>
      <c r="B813" s="18"/>
    </row>
    <row r="814" spans="1:2">
      <c r="A814" s="19" t="s">
        <v>12071</v>
      </c>
      <c r="B814" s="18"/>
    </row>
    <row r="815" spans="1:2">
      <c r="A815" s="19" t="s">
        <v>12339</v>
      </c>
      <c r="B815" s="18"/>
    </row>
    <row r="816" spans="1:2">
      <c r="A816" s="19" t="s">
        <v>12350</v>
      </c>
      <c r="B816" s="18"/>
    </row>
    <row r="817" spans="1:2">
      <c r="A817" s="19" t="s">
        <v>12342</v>
      </c>
      <c r="B817" s="18"/>
    </row>
    <row r="818" spans="1:2">
      <c r="A818" s="19" t="s">
        <v>12283</v>
      </c>
      <c r="B818" s="18"/>
    </row>
    <row r="819" spans="1:2">
      <c r="A819" s="19" t="s">
        <v>12025</v>
      </c>
      <c r="B819" s="18"/>
    </row>
    <row r="820" spans="1:2">
      <c r="A820" s="19" t="s">
        <v>12315</v>
      </c>
      <c r="B820" s="18"/>
    </row>
    <row r="821" spans="1:2">
      <c r="A821" s="19" t="s">
        <v>12377</v>
      </c>
      <c r="B821" s="18"/>
    </row>
    <row r="822" spans="1:2">
      <c r="A822" s="19" t="s">
        <v>12050</v>
      </c>
      <c r="B822" s="18"/>
    </row>
    <row r="823" spans="1:2">
      <c r="A823" s="19" t="s">
        <v>12010</v>
      </c>
      <c r="B823" s="18"/>
    </row>
    <row r="824" spans="1:2">
      <c r="A824" s="19" t="s">
        <v>12449</v>
      </c>
      <c r="B824" s="18"/>
    </row>
    <row r="825" spans="1:2">
      <c r="A825" s="19" t="s">
        <v>12317</v>
      </c>
      <c r="B825" s="18"/>
    </row>
    <row r="826" spans="1:2">
      <c r="A826" s="19" t="s">
        <v>12194</v>
      </c>
      <c r="B826" s="18"/>
    </row>
    <row r="827" spans="1:2">
      <c r="A827" s="19" t="s">
        <v>12127</v>
      </c>
      <c r="B827" s="18"/>
    </row>
    <row r="828" spans="1:2">
      <c r="A828" s="19" t="s">
        <v>12130</v>
      </c>
      <c r="B828" s="18"/>
    </row>
    <row r="829" spans="1:2">
      <c r="A829" s="19" t="s">
        <v>12445</v>
      </c>
      <c r="B829" s="18"/>
    </row>
    <row r="830" spans="1:2">
      <c r="A830" s="19" t="s">
        <v>12039</v>
      </c>
      <c r="B830" s="18"/>
    </row>
    <row r="831" spans="1:2">
      <c r="A831" s="19" t="s">
        <v>12405</v>
      </c>
      <c r="B831" s="18"/>
    </row>
    <row r="832" spans="1:2">
      <c r="A832" s="19" t="s">
        <v>11987</v>
      </c>
      <c r="B832" s="18"/>
    </row>
    <row r="833" spans="1:2">
      <c r="A833" s="19" t="s">
        <v>12051</v>
      </c>
      <c r="B833" s="18"/>
    </row>
    <row r="834" spans="1:2">
      <c r="A834" s="19" t="s">
        <v>12059</v>
      </c>
      <c r="B834" s="18"/>
    </row>
    <row r="835" spans="1:2">
      <c r="A835" s="19" t="s">
        <v>12389</v>
      </c>
      <c r="B835" s="18"/>
    </row>
    <row r="836" spans="1:2">
      <c r="A836" s="19" t="s">
        <v>12228</v>
      </c>
      <c r="B836" s="18"/>
    </row>
    <row r="837" spans="1:2">
      <c r="A837" s="19" t="s">
        <v>12159</v>
      </c>
      <c r="B837" s="18"/>
    </row>
    <row r="838" spans="1:2">
      <c r="A838" s="19" t="s">
        <v>12344</v>
      </c>
      <c r="B838" s="18"/>
    </row>
    <row r="839" spans="1:2">
      <c r="A839" s="19" t="s">
        <v>12312</v>
      </c>
      <c r="B839" s="18"/>
    </row>
    <row r="840" spans="1:2">
      <c r="A840" s="19" t="s">
        <v>12246</v>
      </c>
      <c r="B840" s="18"/>
    </row>
    <row r="841" spans="1:2">
      <c r="A841" s="19" t="s">
        <v>12047</v>
      </c>
      <c r="B841" s="18"/>
    </row>
    <row r="842" spans="1:2">
      <c r="A842" s="19" t="s">
        <v>12373</v>
      </c>
      <c r="B842" s="18"/>
    </row>
    <row r="843" spans="1:2">
      <c r="A843" s="19" t="s">
        <v>12136</v>
      </c>
      <c r="B843" s="18"/>
    </row>
    <row r="844" spans="1:2">
      <c r="A844" s="19" t="s">
        <v>12014</v>
      </c>
      <c r="B844" s="18"/>
    </row>
    <row r="845" spans="1:2">
      <c r="A845" s="19" t="s">
        <v>12003</v>
      </c>
      <c r="B845" s="18"/>
    </row>
    <row r="846" spans="1:2">
      <c r="A846" s="19" t="s">
        <v>12199</v>
      </c>
      <c r="B846" s="18"/>
    </row>
    <row r="847" spans="1:2">
      <c r="A847" s="19" t="s">
        <v>11986</v>
      </c>
      <c r="B847" s="18"/>
    </row>
    <row r="848" spans="1:2">
      <c r="A848" s="19" t="s">
        <v>11972</v>
      </c>
      <c r="B848" s="18"/>
    </row>
    <row r="849" spans="1:2">
      <c r="A849" s="19" t="s">
        <v>12371</v>
      </c>
      <c r="B849" s="18"/>
    </row>
    <row r="850" spans="1:2">
      <c r="A850" s="19" t="s">
        <v>12029</v>
      </c>
      <c r="B850" s="18"/>
    </row>
    <row r="851" spans="1:2">
      <c r="A851" s="19" t="s">
        <v>12452</v>
      </c>
      <c r="B851" s="18"/>
    </row>
    <row r="852" spans="1:2">
      <c r="A852" s="19" t="s">
        <v>12088</v>
      </c>
      <c r="B852" s="18"/>
    </row>
    <row r="853" spans="1:2">
      <c r="A853" s="19" t="s">
        <v>12250</v>
      </c>
      <c r="B853" s="18"/>
    </row>
    <row r="854" spans="1:2">
      <c r="A854" s="19" t="s">
        <v>12421</v>
      </c>
      <c r="B854" s="18"/>
    </row>
    <row r="855" spans="1:2">
      <c r="A855" s="19" t="s">
        <v>12155</v>
      </c>
      <c r="B855" s="18"/>
    </row>
    <row r="856" spans="1:2">
      <c r="A856" s="19" t="s">
        <v>12030</v>
      </c>
      <c r="B856" s="18"/>
    </row>
    <row r="857" spans="1:2">
      <c r="A857" s="19" t="s">
        <v>12422</v>
      </c>
      <c r="B857" s="18"/>
    </row>
    <row r="858" spans="1:2">
      <c r="A858" s="19" t="s">
        <v>12381</v>
      </c>
      <c r="B858" s="18"/>
    </row>
    <row r="859" spans="1:2">
      <c r="A859" s="19" t="s">
        <v>12156</v>
      </c>
      <c r="B859" s="18"/>
    </row>
    <row r="860" spans="1:2">
      <c r="A860" s="19" t="s">
        <v>11990</v>
      </c>
      <c r="B860" s="18"/>
    </row>
    <row r="861" spans="1:2">
      <c r="A861" s="19" t="s">
        <v>12220</v>
      </c>
      <c r="B861" s="18"/>
    </row>
    <row r="862" spans="1:2">
      <c r="A862" s="19" t="s">
        <v>11960</v>
      </c>
      <c r="B862" s="18"/>
    </row>
    <row r="863" spans="1:2">
      <c r="A863" s="19" t="s">
        <v>12352</v>
      </c>
      <c r="B863" s="18"/>
    </row>
    <row r="864" spans="1:2">
      <c r="A864" s="19" t="s">
        <v>12158</v>
      </c>
      <c r="B864" s="18"/>
    </row>
    <row r="865" spans="1:2">
      <c r="A865" s="19" t="s">
        <v>12240</v>
      </c>
      <c r="B865" s="18"/>
    </row>
    <row r="866" spans="1:2">
      <c r="A866" s="19" t="s">
        <v>12262</v>
      </c>
      <c r="B866" s="18"/>
    </row>
    <row r="867" spans="1:2">
      <c r="A867" s="19" t="s">
        <v>12385</v>
      </c>
      <c r="B867" s="18"/>
    </row>
    <row r="868" spans="1:2">
      <c r="A868" s="19" t="s">
        <v>12078</v>
      </c>
      <c r="B868" s="18"/>
    </row>
    <row r="869" spans="1:2">
      <c r="A869" s="19" t="s">
        <v>12121</v>
      </c>
      <c r="B869" s="18"/>
    </row>
    <row r="870" spans="1:2">
      <c r="A870" s="19" t="s">
        <v>12205</v>
      </c>
      <c r="B870" s="18"/>
    </row>
    <row r="871" spans="1:2">
      <c r="A871" s="19" t="s">
        <v>12073</v>
      </c>
      <c r="B871" s="18"/>
    </row>
    <row r="872" spans="1:2">
      <c r="A872" s="19" t="s">
        <v>12027</v>
      </c>
      <c r="B872" s="18"/>
    </row>
    <row r="873" spans="1:2">
      <c r="A873" s="19" t="s">
        <v>12260</v>
      </c>
      <c r="B873" s="18"/>
    </row>
    <row r="874" spans="1:2">
      <c r="A874" s="19" t="s">
        <v>12338</v>
      </c>
      <c r="B874" s="18"/>
    </row>
    <row r="875" spans="1:2">
      <c r="A875" s="19" t="s">
        <v>12367</v>
      </c>
      <c r="B875" s="18"/>
    </row>
    <row r="876" spans="1:2">
      <c r="A876" s="19" t="s">
        <v>12044</v>
      </c>
      <c r="B876" s="18"/>
    </row>
    <row r="877" spans="1:2">
      <c r="A877" s="19" t="s">
        <v>12277</v>
      </c>
      <c r="B877" s="18"/>
    </row>
    <row r="878" spans="1:2">
      <c r="A878" s="19" t="s">
        <v>12196</v>
      </c>
      <c r="B878" s="18"/>
    </row>
    <row r="879" spans="1:2">
      <c r="A879" s="19" t="s">
        <v>12356</v>
      </c>
      <c r="B879" s="18"/>
    </row>
    <row r="880" spans="1:2">
      <c r="A880" s="19" t="s">
        <v>12293</v>
      </c>
      <c r="B880" s="18"/>
    </row>
    <row r="881" spans="1:2">
      <c r="A881" s="19" t="s">
        <v>12324</v>
      </c>
      <c r="B881" s="18"/>
    </row>
    <row r="882" spans="1:2">
      <c r="A882" s="19" t="s">
        <v>12168</v>
      </c>
      <c r="B882" s="18"/>
    </row>
    <row r="883" spans="1:2">
      <c r="A883" s="19" t="s">
        <v>12066</v>
      </c>
      <c r="B883" s="18"/>
    </row>
    <row r="884" spans="1:2">
      <c r="A884" s="19" t="s">
        <v>12089</v>
      </c>
      <c r="B884" s="18"/>
    </row>
    <row r="885" spans="1:2">
      <c r="A885" s="19" t="s">
        <v>12442</v>
      </c>
      <c r="B885" s="18"/>
    </row>
    <row r="886" spans="1:2">
      <c r="A886" s="19" t="s">
        <v>12265</v>
      </c>
      <c r="B886" s="18"/>
    </row>
    <row r="887" spans="1:2">
      <c r="A887" s="19" t="s">
        <v>12305</v>
      </c>
      <c r="B887" s="18"/>
    </row>
    <row r="888" spans="1:2">
      <c r="A888" s="19" t="s">
        <v>12095</v>
      </c>
      <c r="B888" s="18"/>
    </row>
    <row r="889" spans="1:2">
      <c r="A889" s="19" t="s">
        <v>12364</v>
      </c>
      <c r="B889" s="18"/>
    </row>
    <row r="890" spans="1:2">
      <c r="A890" s="19" t="s">
        <v>12457</v>
      </c>
      <c r="B890" s="18"/>
    </row>
    <row r="891" spans="1:2">
      <c r="A891" s="19" t="s">
        <v>12209</v>
      </c>
      <c r="B891" s="18"/>
    </row>
    <row r="892" spans="1:2">
      <c r="A892" s="19" t="s">
        <v>12079</v>
      </c>
      <c r="B892" s="18"/>
    </row>
    <row r="893" spans="1:2">
      <c r="A893" s="19" t="s">
        <v>12178</v>
      </c>
      <c r="B893" s="18"/>
    </row>
    <row r="894" spans="1:2">
      <c r="A894" s="19" t="s">
        <v>12104</v>
      </c>
      <c r="B894" s="18"/>
    </row>
    <row r="895" spans="1:2">
      <c r="A895" s="19" t="s">
        <v>12368</v>
      </c>
      <c r="B895" s="18"/>
    </row>
    <row r="896" spans="1:2">
      <c r="A896" s="19" t="s">
        <v>12100</v>
      </c>
      <c r="B896" s="18"/>
    </row>
    <row r="897" spans="1:2">
      <c r="A897" s="19" t="s">
        <v>12033</v>
      </c>
      <c r="B897" s="18"/>
    </row>
    <row r="898" spans="1:2">
      <c r="A898" s="19" t="s">
        <v>12063</v>
      </c>
      <c r="B898" s="18"/>
    </row>
    <row r="899" spans="1:2">
      <c r="A899" s="19" t="s">
        <v>11993</v>
      </c>
      <c r="B899" s="18"/>
    </row>
    <row r="900" spans="1:2">
      <c r="A900" s="19" t="s">
        <v>12080</v>
      </c>
      <c r="B900" s="18"/>
    </row>
    <row r="901" spans="1:2">
      <c r="A901" s="19" t="s">
        <v>12409</v>
      </c>
      <c r="B901" s="18"/>
    </row>
    <row r="902" spans="1:2">
      <c r="A902" s="19" t="s">
        <v>12448</v>
      </c>
      <c r="B902" s="18"/>
    </row>
    <row r="903" spans="1:2">
      <c r="A903" s="19" t="s">
        <v>11994</v>
      </c>
      <c r="B903" s="18"/>
    </row>
    <row r="904" spans="1:2">
      <c r="A904" s="19" t="s">
        <v>12028</v>
      </c>
      <c r="B904" s="18"/>
    </row>
    <row r="905" spans="1:2">
      <c r="A905" s="19" t="s">
        <v>12374</v>
      </c>
      <c r="B905" s="18"/>
    </row>
    <row r="906" spans="1:2">
      <c r="A906" s="19" t="s">
        <v>12392</v>
      </c>
      <c r="B906" s="18"/>
    </row>
    <row r="907" spans="1:2">
      <c r="A907" s="19" t="s">
        <v>12038</v>
      </c>
      <c r="B907" s="18"/>
    </row>
    <row r="908" spans="1:2">
      <c r="A908" s="19" t="s">
        <v>12273</v>
      </c>
      <c r="B908" s="18"/>
    </row>
    <row r="909" spans="1:2">
      <c r="A909" s="19" t="s">
        <v>12451</v>
      </c>
      <c r="B909" s="18"/>
    </row>
    <row r="910" spans="1:2">
      <c r="A910" s="19" t="s">
        <v>12167</v>
      </c>
      <c r="B910" s="18"/>
    </row>
    <row r="911" spans="1:2">
      <c r="A911" s="19" t="s">
        <v>12281</v>
      </c>
      <c r="B911" s="18"/>
    </row>
    <row r="912" spans="1:2">
      <c r="A912" s="19" t="s">
        <v>12275</v>
      </c>
      <c r="B912" s="18"/>
    </row>
    <row r="913" spans="1:2">
      <c r="A913" s="19" t="s">
        <v>12309</v>
      </c>
      <c r="B913" s="18"/>
    </row>
    <row r="914" spans="1:2">
      <c r="A914" s="19" t="s">
        <v>12048</v>
      </c>
      <c r="B914" s="18"/>
    </row>
    <row r="915" spans="1:2">
      <c r="A915" s="19" t="s">
        <v>12002</v>
      </c>
      <c r="B915" s="18"/>
    </row>
    <row r="916" spans="1:2">
      <c r="A916" s="19" t="s">
        <v>12272</v>
      </c>
      <c r="B916" s="18"/>
    </row>
    <row r="917" spans="1:2">
      <c r="A917" s="19" t="s">
        <v>12343</v>
      </c>
      <c r="B917" s="18"/>
    </row>
    <row r="918" spans="1:2">
      <c r="A918" s="19" t="s">
        <v>12274</v>
      </c>
      <c r="B918" s="18"/>
    </row>
    <row r="919" spans="1:2">
      <c r="A919" s="19" t="s">
        <v>12361</v>
      </c>
      <c r="B919" s="18"/>
    </row>
    <row r="920" spans="1:2">
      <c r="A920" s="19" t="s">
        <v>12172</v>
      </c>
      <c r="B920" s="18"/>
    </row>
    <row r="921" spans="1:2">
      <c r="A921" s="19" t="s">
        <v>12182</v>
      </c>
      <c r="B921" s="18"/>
    </row>
    <row r="922" spans="1:2">
      <c r="A922" s="19" t="s">
        <v>12012</v>
      </c>
      <c r="B922" s="18"/>
    </row>
    <row r="923" spans="1:2">
      <c r="A923" s="19" t="s">
        <v>12188</v>
      </c>
      <c r="B923" s="18"/>
    </row>
    <row r="924" spans="1:2">
      <c r="A924" s="19" t="s">
        <v>12126</v>
      </c>
      <c r="B924" s="18"/>
    </row>
    <row r="925" spans="1:2">
      <c r="A925" s="19" t="s">
        <v>12107</v>
      </c>
      <c r="B925" s="18"/>
    </row>
    <row r="926" spans="1:2">
      <c r="A926" s="19" t="s">
        <v>12251</v>
      </c>
      <c r="B926" s="18"/>
    </row>
    <row r="927" spans="1:2">
      <c r="A927" s="19" t="s">
        <v>12378</v>
      </c>
      <c r="B927" s="18"/>
    </row>
    <row r="928" spans="1:2">
      <c r="A928" s="19" t="s">
        <v>12006</v>
      </c>
      <c r="B928" s="18"/>
    </row>
    <row r="929" spans="1:2">
      <c r="A929" s="19" t="s">
        <v>12043</v>
      </c>
      <c r="B929" s="18"/>
    </row>
    <row r="930" spans="1:2">
      <c r="A930" s="19" t="s">
        <v>12316</v>
      </c>
      <c r="B930" s="18"/>
    </row>
    <row r="931" spans="1:2">
      <c r="A931" s="19" t="s">
        <v>12035</v>
      </c>
      <c r="B931" s="18"/>
    </row>
    <row r="932" spans="1:2">
      <c r="A932" s="19" t="s">
        <v>12109</v>
      </c>
      <c r="B932" s="18"/>
    </row>
    <row r="933" spans="1:2">
      <c r="A933" s="19" t="s">
        <v>12454</v>
      </c>
      <c r="B933" s="18"/>
    </row>
    <row r="934" spans="1:2">
      <c r="A934" s="19" t="s">
        <v>12132</v>
      </c>
      <c r="B934" s="18"/>
    </row>
    <row r="935" spans="1:2">
      <c r="A935" s="19" t="s">
        <v>12310</v>
      </c>
      <c r="B935" s="18"/>
    </row>
    <row r="936" spans="1:2">
      <c r="A936" s="19" t="s">
        <v>12137</v>
      </c>
      <c r="B936" s="18"/>
    </row>
    <row r="937" spans="1:2">
      <c r="A937" s="19" t="s">
        <v>11995</v>
      </c>
      <c r="B937" s="18"/>
    </row>
    <row r="938" spans="1:2">
      <c r="A938" s="19" t="s">
        <v>12023</v>
      </c>
      <c r="B938" s="18"/>
    </row>
    <row r="939" spans="1:2">
      <c r="A939" s="19" t="s">
        <v>12450</v>
      </c>
      <c r="B939" s="18"/>
    </row>
    <row r="940" spans="1:2">
      <c r="A940" s="19" t="s">
        <v>11997</v>
      </c>
      <c r="B940" s="18"/>
    </row>
    <row r="941" spans="1:2">
      <c r="A941" s="19" t="s">
        <v>12235</v>
      </c>
      <c r="B941" s="18"/>
    </row>
    <row r="942" spans="1:2">
      <c r="A942" s="19" t="s">
        <v>12161</v>
      </c>
      <c r="B942" s="18"/>
    </row>
    <row r="943" spans="1:2">
      <c r="A943" s="19" t="s">
        <v>12407</v>
      </c>
      <c r="B943" s="18"/>
    </row>
    <row r="944" spans="1:2">
      <c r="A944" s="19" t="s">
        <v>12326</v>
      </c>
      <c r="B944" s="18"/>
    </row>
    <row r="945" spans="1:2">
      <c r="A945" s="19" t="s">
        <v>12258</v>
      </c>
      <c r="B945" s="18"/>
    </row>
    <row r="946" spans="1:2">
      <c r="A946" s="19" t="s">
        <v>12191</v>
      </c>
      <c r="B946" s="18"/>
    </row>
    <row r="947" spans="1:2">
      <c r="A947" s="19" t="s">
        <v>11985</v>
      </c>
      <c r="B947" s="18"/>
    </row>
    <row r="948" spans="1:2">
      <c r="A948" s="19" t="s">
        <v>12034</v>
      </c>
      <c r="B948" s="18"/>
    </row>
    <row r="949" spans="1:2">
      <c r="A949" s="19" t="s">
        <v>12094</v>
      </c>
      <c r="B949" s="18"/>
    </row>
    <row r="950" spans="1:2">
      <c r="A950" s="19" t="s">
        <v>12386</v>
      </c>
      <c r="B950" s="18"/>
    </row>
    <row r="951" spans="1:2">
      <c r="A951" s="19" t="s">
        <v>12017</v>
      </c>
      <c r="B951" s="18"/>
    </row>
    <row r="952" spans="1:2">
      <c r="A952" s="19" t="s">
        <v>12285</v>
      </c>
      <c r="B952" s="18"/>
    </row>
    <row r="953" spans="1:2">
      <c r="A953" s="19" t="s">
        <v>12009</v>
      </c>
      <c r="B953" s="18"/>
    </row>
    <row r="954" spans="1:2">
      <c r="A954" s="19" t="s">
        <v>12458</v>
      </c>
      <c r="B954" s="18"/>
    </row>
    <row r="955" spans="1:2">
      <c r="A955" s="19" t="s">
        <v>11988</v>
      </c>
      <c r="B955" s="18"/>
    </row>
    <row r="956" spans="1:2">
      <c r="A956" s="19" t="s">
        <v>12163</v>
      </c>
      <c r="B956" s="18"/>
    </row>
    <row r="957" spans="1:2">
      <c r="A957" s="19" t="s">
        <v>12007</v>
      </c>
      <c r="B957" s="18"/>
    </row>
    <row r="958" spans="1:2">
      <c r="A958" s="19" t="s">
        <v>12036</v>
      </c>
      <c r="B958" s="18"/>
    </row>
    <row r="959" spans="1:2">
      <c r="A959" s="19" t="s">
        <v>12347</v>
      </c>
      <c r="B959" s="18"/>
    </row>
    <row r="960" spans="1:2">
      <c r="A960" s="19" t="s">
        <v>12122</v>
      </c>
      <c r="B960" s="18"/>
    </row>
    <row r="961" spans="1:2">
      <c r="A961" s="19" t="s">
        <v>12341</v>
      </c>
      <c r="B961" s="18"/>
    </row>
    <row r="962" spans="1:2">
      <c r="A962" s="19" t="s">
        <v>12179</v>
      </c>
      <c r="B962" s="18"/>
    </row>
    <row r="963" spans="1:2">
      <c r="A963" s="19" t="s">
        <v>12226</v>
      </c>
      <c r="B963" s="18"/>
    </row>
    <row r="964" spans="1:2">
      <c r="A964" s="19" t="s">
        <v>12434</v>
      </c>
      <c r="B964" s="18"/>
    </row>
    <row r="965" spans="1:2">
      <c r="A965" s="19" t="s">
        <v>12201</v>
      </c>
      <c r="B965" s="18"/>
    </row>
    <row r="966" spans="1:2">
      <c r="A966" s="19" t="s">
        <v>12064</v>
      </c>
      <c r="B966" s="18"/>
    </row>
    <row r="967" spans="1:2">
      <c r="A967" s="19" t="s">
        <v>12046</v>
      </c>
      <c r="B967" s="18"/>
    </row>
    <row r="968" spans="1:2">
      <c r="A968" s="19" t="s">
        <v>11989</v>
      </c>
      <c r="B968" s="18"/>
    </row>
    <row r="969" spans="1:2">
      <c r="A969" s="19" t="s">
        <v>11991</v>
      </c>
      <c r="B969" s="18"/>
    </row>
    <row r="970" spans="1:2">
      <c r="A970" s="19" t="s">
        <v>12320</v>
      </c>
      <c r="B970" s="18"/>
    </row>
    <row r="971" spans="1:2">
      <c r="A971" s="19" t="s">
        <v>12353</v>
      </c>
      <c r="B971" s="18"/>
    </row>
    <row r="972" spans="1:2">
      <c r="A972" s="19" t="s">
        <v>12200</v>
      </c>
      <c r="B972" s="18"/>
    </row>
    <row r="973" spans="1:2">
      <c r="A973" s="19" t="s">
        <v>12134</v>
      </c>
      <c r="B973" s="18"/>
    </row>
    <row r="974" spans="1:2">
      <c r="A974" s="19" t="s">
        <v>11959</v>
      </c>
      <c r="B974" s="18"/>
    </row>
    <row r="975" spans="1:2">
      <c r="A975" s="19" t="s">
        <v>12016</v>
      </c>
      <c r="B975" s="18"/>
    </row>
    <row r="976" spans="1:2">
      <c r="A976" s="19" t="s">
        <v>11958</v>
      </c>
      <c r="B976" s="18"/>
    </row>
    <row r="977" spans="1:2">
      <c r="A977" s="19" t="s">
        <v>12321</v>
      </c>
      <c r="B977" s="18"/>
    </row>
    <row r="978" spans="1:2">
      <c r="A978" s="19" t="s">
        <v>11957</v>
      </c>
      <c r="B978" s="18"/>
    </row>
    <row r="979" spans="1:2">
      <c r="A979" s="19" t="s">
        <v>12325</v>
      </c>
      <c r="B979" s="18"/>
    </row>
    <row r="980" spans="1:2">
      <c r="A980" s="19">
        <v>79189967693</v>
      </c>
      <c r="B980" s="18"/>
    </row>
    <row r="981" spans="1:2">
      <c r="A981" s="19">
        <v>89166921051</v>
      </c>
      <c r="B981" s="18"/>
    </row>
    <row r="982" spans="1:2">
      <c r="B982" s="18"/>
    </row>
    <row r="983" spans="1:2">
      <c r="A983" s="19">
        <v>13059657036</v>
      </c>
      <c r="B983" s="25" t="s">
        <v>12463</v>
      </c>
    </row>
    <row r="984" spans="1:2">
      <c r="A984" s="19">
        <v>13134135554</v>
      </c>
      <c r="B984" s="18"/>
    </row>
    <row r="985" spans="1:2">
      <c r="A985" s="19">
        <v>14067813777</v>
      </c>
      <c r="B985" s="18"/>
    </row>
    <row r="986" spans="1:2">
      <c r="A986" s="19">
        <v>14159303330</v>
      </c>
      <c r="B986" s="18"/>
    </row>
    <row r="987" spans="1:2">
      <c r="A987" s="19">
        <v>15127123001</v>
      </c>
      <c r="B987" s="18"/>
    </row>
    <row r="988" spans="1:2">
      <c r="A988" s="19">
        <v>16304886538</v>
      </c>
      <c r="B988" s="18"/>
    </row>
    <row r="989" spans="1:2">
      <c r="A989" s="19">
        <v>19298000101</v>
      </c>
      <c r="B989" s="18"/>
    </row>
    <row r="990" spans="1:2">
      <c r="A990" s="19">
        <v>31627390326</v>
      </c>
      <c r="B990" s="18"/>
    </row>
    <row r="991" spans="1:2">
      <c r="A991" s="19">
        <v>31686263472</v>
      </c>
      <c r="B991" s="18"/>
    </row>
    <row r="992" spans="1:2">
      <c r="A992" s="19">
        <v>32460951534</v>
      </c>
      <c r="B992" s="18"/>
    </row>
    <row r="993" spans="1:2">
      <c r="A993" s="19">
        <v>32496252610</v>
      </c>
      <c r="B993" s="18"/>
    </row>
    <row r="994" spans="1:2">
      <c r="A994" s="19">
        <v>33644820955</v>
      </c>
      <c r="B994" s="18"/>
    </row>
    <row r="995" spans="1:2">
      <c r="A995" s="19">
        <v>33650949381</v>
      </c>
      <c r="B995" s="18"/>
    </row>
    <row r="996" spans="1:2">
      <c r="A996" s="19">
        <v>34641446823</v>
      </c>
      <c r="B996" s="18"/>
    </row>
    <row r="997" spans="1:2">
      <c r="A997" s="19">
        <v>34677657468</v>
      </c>
      <c r="B997" s="18"/>
    </row>
    <row r="998" spans="1:2">
      <c r="A998" s="19">
        <v>37060105781</v>
      </c>
      <c r="B998" s="18"/>
    </row>
    <row r="999" spans="1:2">
      <c r="A999" s="19">
        <v>37060464667</v>
      </c>
      <c r="B999" s="18"/>
    </row>
    <row r="1000" spans="1:2">
      <c r="A1000" s="19">
        <v>37060663157</v>
      </c>
      <c r="B1000" s="18"/>
    </row>
    <row r="1001" spans="1:2">
      <c r="A1001" s="19">
        <v>37061127830</v>
      </c>
      <c r="B1001" s="18"/>
    </row>
    <row r="1002" spans="1:2">
      <c r="A1002" s="19">
        <v>37061269275</v>
      </c>
      <c r="B1002" s="18"/>
    </row>
    <row r="1003" spans="1:2">
      <c r="A1003" s="19">
        <v>37061421915</v>
      </c>
      <c r="B1003" s="18"/>
    </row>
    <row r="1004" spans="1:2">
      <c r="A1004" s="19">
        <v>37061446146</v>
      </c>
      <c r="B1004" s="18"/>
    </row>
    <row r="1005" spans="1:2">
      <c r="A1005" s="19">
        <v>37062634250</v>
      </c>
      <c r="B1005" s="18"/>
    </row>
    <row r="1006" spans="1:2">
      <c r="A1006" s="19">
        <v>37065277021</v>
      </c>
      <c r="B1006" s="18"/>
    </row>
    <row r="1007" spans="1:2">
      <c r="A1007" s="19">
        <v>37065984725</v>
      </c>
      <c r="B1007" s="18"/>
    </row>
    <row r="1008" spans="1:2">
      <c r="A1008" s="19">
        <v>37067536539</v>
      </c>
      <c r="B1008" s="18"/>
    </row>
    <row r="1009" spans="1:2">
      <c r="A1009" s="19">
        <v>37068757641</v>
      </c>
      <c r="B1009" s="18"/>
    </row>
    <row r="1010" spans="1:2">
      <c r="A1010" s="19">
        <v>37120191229</v>
      </c>
      <c r="B1010" s="18"/>
    </row>
    <row r="1011" spans="1:2">
      <c r="A1011" s="19">
        <v>37120225857</v>
      </c>
      <c r="B1011" s="18"/>
    </row>
    <row r="1012" spans="1:2">
      <c r="A1012" s="19">
        <v>37120672104</v>
      </c>
      <c r="B1012" s="18"/>
    </row>
    <row r="1013" spans="1:2">
      <c r="A1013" s="19">
        <v>37122148805</v>
      </c>
      <c r="B1013" s="18"/>
    </row>
    <row r="1014" spans="1:2">
      <c r="A1014" s="19">
        <v>37122374680</v>
      </c>
      <c r="B1014" s="18"/>
    </row>
    <row r="1015" spans="1:2">
      <c r="A1015" s="19">
        <v>37122405458</v>
      </c>
      <c r="B1015" s="18"/>
    </row>
    <row r="1016" spans="1:2">
      <c r="A1016" s="19">
        <v>37122551551</v>
      </c>
      <c r="B1016" s="18"/>
    </row>
    <row r="1017" spans="1:2">
      <c r="A1017" s="19">
        <v>37124973339</v>
      </c>
      <c r="B1017" s="18"/>
    </row>
    <row r="1018" spans="1:2">
      <c r="A1018" s="19">
        <v>37126061852</v>
      </c>
      <c r="B1018" s="18"/>
    </row>
    <row r="1019" spans="1:2">
      <c r="A1019" s="19">
        <v>37126160695</v>
      </c>
      <c r="B1019" s="18"/>
    </row>
    <row r="1020" spans="1:2">
      <c r="A1020" s="19">
        <v>37126172166</v>
      </c>
      <c r="B1020" s="18"/>
    </row>
    <row r="1021" spans="1:2">
      <c r="A1021" s="19">
        <v>37126423269</v>
      </c>
      <c r="B1021" s="18"/>
    </row>
    <row r="1022" spans="1:2">
      <c r="A1022" s="19">
        <v>37126489299</v>
      </c>
      <c r="B1022" s="18"/>
    </row>
    <row r="1023" spans="1:2">
      <c r="A1023" s="19">
        <v>37126569795</v>
      </c>
      <c r="B1023" s="18"/>
    </row>
    <row r="1024" spans="1:2">
      <c r="A1024" s="19">
        <v>37126593787</v>
      </c>
      <c r="B1024" s="18"/>
    </row>
    <row r="1025" spans="1:2">
      <c r="A1025" s="19">
        <v>37126812993</v>
      </c>
      <c r="B1025" s="18"/>
    </row>
    <row r="1026" spans="1:2">
      <c r="A1026" s="19">
        <v>37126841019</v>
      </c>
      <c r="B1026" s="18"/>
    </row>
    <row r="1027" spans="1:2">
      <c r="A1027" s="19">
        <v>37127115515</v>
      </c>
      <c r="B1027" s="18"/>
    </row>
    <row r="1028" spans="1:2">
      <c r="A1028" s="19">
        <v>37128330108</v>
      </c>
      <c r="B1028" s="18"/>
    </row>
    <row r="1029" spans="1:2">
      <c r="A1029" s="19">
        <v>37128682870</v>
      </c>
      <c r="B1029" s="18"/>
    </row>
    <row r="1030" spans="1:2">
      <c r="A1030" s="19">
        <v>37128769265</v>
      </c>
      <c r="B1030" s="18"/>
    </row>
    <row r="1031" spans="1:2">
      <c r="A1031" s="19">
        <v>37129197225</v>
      </c>
      <c r="B1031" s="18"/>
    </row>
    <row r="1032" spans="1:2">
      <c r="A1032" s="19">
        <v>37129213099</v>
      </c>
      <c r="B1032" s="18"/>
    </row>
    <row r="1033" spans="1:2">
      <c r="A1033" s="19">
        <v>37129361122</v>
      </c>
      <c r="B1033" s="18"/>
    </row>
    <row r="1034" spans="1:2">
      <c r="A1034" s="19">
        <v>37129461575</v>
      </c>
      <c r="B1034" s="18"/>
    </row>
    <row r="1035" spans="1:2">
      <c r="A1035" s="19">
        <v>37129488824</v>
      </c>
      <c r="B1035" s="18"/>
    </row>
    <row r="1036" spans="1:2">
      <c r="A1036" s="19">
        <v>37253311770</v>
      </c>
      <c r="B1036" s="18"/>
    </row>
    <row r="1037" spans="1:2">
      <c r="A1037" s="19">
        <v>37256817468</v>
      </c>
      <c r="B1037" s="18"/>
    </row>
    <row r="1038" spans="1:2">
      <c r="A1038" s="19">
        <v>37258589928</v>
      </c>
      <c r="B1038" s="18"/>
    </row>
    <row r="1039" spans="1:2">
      <c r="A1039" s="19">
        <v>37291621001</v>
      </c>
      <c r="B1039" s="18"/>
    </row>
    <row r="1040" spans="1:2">
      <c r="A1040" s="19">
        <v>37367388333</v>
      </c>
      <c r="B1040" s="18"/>
    </row>
    <row r="1041" spans="1:2">
      <c r="A1041" s="24">
        <v>37377767771</v>
      </c>
      <c r="B1041" s="18"/>
    </row>
    <row r="1042" spans="1:2">
      <c r="A1042" s="19">
        <v>37378217625</v>
      </c>
      <c r="B1042" s="18"/>
    </row>
    <row r="1043" spans="1:2">
      <c r="A1043" s="19">
        <v>37455624464</v>
      </c>
      <c r="B1043" s="18"/>
    </row>
    <row r="1044" spans="1:2">
      <c r="A1044" s="19">
        <v>37496517317</v>
      </c>
      <c r="B1044" s="18"/>
    </row>
    <row r="1045" spans="1:2">
      <c r="A1045" s="19">
        <v>38067345754</v>
      </c>
      <c r="B1045" s="18"/>
    </row>
    <row r="1046" spans="1:2">
      <c r="A1046" s="19">
        <v>38269109516</v>
      </c>
      <c r="B1046" s="18"/>
    </row>
    <row r="1047" spans="1:2">
      <c r="A1047" s="19">
        <v>41775103654</v>
      </c>
      <c r="B1047" s="18"/>
    </row>
    <row r="1048" spans="1:2">
      <c r="A1048" s="19">
        <v>48502740046</v>
      </c>
      <c r="B1048" s="18"/>
    </row>
    <row r="1049" spans="1:2">
      <c r="A1049" s="19">
        <v>48607165777</v>
      </c>
      <c r="B1049" s="18"/>
    </row>
    <row r="1050" spans="1:2">
      <c r="A1050" s="19">
        <v>48608520250</v>
      </c>
      <c r="B1050" s="18"/>
    </row>
    <row r="1051" spans="1:2">
      <c r="A1051" s="19">
        <v>48660316165</v>
      </c>
      <c r="B1051" s="18"/>
    </row>
    <row r="1052" spans="1:2">
      <c r="A1052" s="19">
        <v>48664286139</v>
      </c>
      <c r="B1052" s="18"/>
    </row>
    <row r="1053" spans="1:2">
      <c r="A1053" s="19">
        <v>48880168221</v>
      </c>
      <c r="B1053" s="18"/>
    </row>
    <row r="1054" spans="1:2">
      <c r="A1054" s="19">
        <v>64212108000</v>
      </c>
      <c r="B1054" s="18"/>
    </row>
    <row r="1055" spans="1:2">
      <c r="A1055" s="19">
        <v>70133556799</v>
      </c>
      <c r="B1055" s="18"/>
    </row>
    <row r="1056" spans="1:2">
      <c r="A1056" s="19">
        <v>72228883333</v>
      </c>
      <c r="B1056" s="18"/>
    </row>
    <row r="1057" spans="1:2">
      <c r="A1057" s="19">
        <v>74158199151</v>
      </c>
      <c r="B1057" s="18"/>
    </row>
    <row r="1058" spans="1:2">
      <c r="A1058" s="19">
        <v>77001929392</v>
      </c>
      <c r="B1058" s="18"/>
    </row>
    <row r="1059" spans="1:2">
      <c r="A1059" s="19">
        <v>77004282868</v>
      </c>
      <c r="B1059" s="18"/>
    </row>
    <row r="1060" spans="1:2">
      <c r="A1060" s="19">
        <v>77006319101</v>
      </c>
      <c r="B1060" s="18"/>
    </row>
    <row r="1061" spans="1:2">
      <c r="A1061" s="19">
        <v>77010594715</v>
      </c>
      <c r="B1061" s="18"/>
    </row>
    <row r="1062" spans="1:2">
      <c r="A1062" s="19">
        <v>77011877676</v>
      </c>
      <c r="B1062" s="18"/>
    </row>
    <row r="1063" spans="1:2">
      <c r="A1063" s="19">
        <v>77012031771</v>
      </c>
      <c r="B1063" s="18"/>
    </row>
    <row r="1064" spans="1:2">
      <c r="A1064" s="19">
        <v>77012223520</v>
      </c>
      <c r="B1064" s="18"/>
    </row>
    <row r="1065" spans="1:2">
      <c r="A1065" s="19">
        <v>77013375107</v>
      </c>
      <c r="B1065" s="18"/>
    </row>
    <row r="1066" spans="1:2">
      <c r="A1066" s="19">
        <v>77013700250</v>
      </c>
      <c r="B1066" s="18"/>
    </row>
    <row r="1067" spans="1:2">
      <c r="A1067" s="19">
        <v>77014030237</v>
      </c>
      <c r="B1067" s="18"/>
    </row>
    <row r="1068" spans="1:2">
      <c r="A1068" s="19">
        <v>77015558774</v>
      </c>
      <c r="B1068" s="18"/>
    </row>
    <row r="1069" spans="1:2">
      <c r="A1069" s="19">
        <v>77016580165</v>
      </c>
      <c r="B1069" s="18"/>
    </row>
    <row r="1070" spans="1:2">
      <c r="A1070" s="19">
        <v>77017123000</v>
      </c>
      <c r="B1070" s="18"/>
    </row>
    <row r="1071" spans="1:2">
      <c r="A1071" s="19">
        <v>77017457574</v>
      </c>
      <c r="B1071" s="18"/>
    </row>
    <row r="1072" spans="1:2">
      <c r="A1072" s="19">
        <v>77017707712</v>
      </c>
      <c r="B1072" s="18"/>
    </row>
    <row r="1073" spans="1:2">
      <c r="A1073" s="19">
        <v>77017890838</v>
      </c>
      <c r="B1073" s="18"/>
    </row>
    <row r="1074" spans="1:2">
      <c r="A1074" s="19">
        <v>77019129977</v>
      </c>
      <c r="B1074" s="18"/>
    </row>
    <row r="1075" spans="1:2">
      <c r="A1075" s="19">
        <v>77019405655</v>
      </c>
      <c r="B1075" s="18"/>
    </row>
    <row r="1076" spans="1:2">
      <c r="A1076" s="19">
        <v>77021811288</v>
      </c>
      <c r="B1076" s="18"/>
    </row>
    <row r="1077" spans="1:2">
      <c r="A1077" s="19">
        <v>77023494249</v>
      </c>
      <c r="B1077" s="18"/>
    </row>
    <row r="1078" spans="1:2">
      <c r="A1078" s="19">
        <v>77023688717</v>
      </c>
      <c r="B1078" s="18"/>
    </row>
    <row r="1079" spans="1:2">
      <c r="A1079" s="19">
        <v>77024093007</v>
      </c>
      <c r="B1079" s="18"/>
    </row>
    <row r="1080" spans="1:2">
      <c r="A1080" s="19">
        <v>77027778083</v>
      </c>
      <c r="B1080" s="18"/>
    </row>
    <row r="1081" spans="1:2">
      <c r="A1081" s="19">
        <v>77029434002</v>
      </c>
      <c r="B1081" s="18"/>
    </row>
    <row r="1082" spans="1:2">
      <c r="A1082" s="19">
        <v>77051406613</v>
      </c>
      <c r="B1082" s="18"/>
    </row>
    <row r="1083" spans="1:2">
      <c r="A1083" s="19">
        <v>77052216617</v>
      </c>
      <c r="B1083" s="18"/>
    </row>
    <row r="1084" spans="1:2">
      <c r="A1084" s="19">
        <v>77052216648</v>
      </c>
      <c r="B1084" s="18"/>
    </row>
    <row r="1085" spans="1:2">
      <c r="A1085" s="19">
        <v>77052549696</v>
      </c>
      <c r="B1085" s="18"/>
    </row>
    <row r="1086" spans="1:2">
      <c r="A1086" s="19">
        <v>77055206340</v>
      </c>
      <c r="B1086" s="18"/>
    </row>
    <row r="1087" spans="1:2">
      <c r="A1087" s="19">
        <v>77055585333</v>
      </c>
      <c r="B1087" s="18"/>
    </row>
    <row r="1088" spans="1:2">
      <c r="A1088" s="19">
        <v>77056015477</v>
      </c>
      <c r="B1088" s="18"/>
    </row>
    <row r="1089" spans="1:2">
      <c r="A1089" s="19">
        <v>77057760253</v>
      </c>
      <c r="B1089" s="18"/>
    </row>
    <row r="1090" spans="1:2">
      <c r="A1090" s="19">
        <v>77071947087</v>
      </c>
      <c r="B1090" s="18"/>
    </row>
    <row r="1091" spans="1:2">
      <c r="A1091" s="19">
        <v>77072788469</v>
      </c>
      <c r="B1091" s="18"/>
    </row>
    <row r="1092" spans="1:2">
      <c r="A1092" s="19">
        <v>77074808045</v>
      </c>
      <c r="B1092" s="18"/>
    </row>
    <row r="1093" spans="1:2">
      <c r="A1093" s="19">
        <v>77077532388</v>
      </c>
      <c r="B1093" s="18"/>
    </row>
    <row r="1094" spans="1:2">
      <c r="A1094" s="19">
        <v>77078098827</v>
      </c>
      <c r="B1094" s="18"/>
    </row>
    <row r="1095" spans="1:2">
      <c r="A1095" s="19">
        <v>77078183337</v>
      </c>
      <c r="B1095" s="18"/>
    </row>
    <row r="1096" spans="1:2">
      <c r="A1096" s="19">
        <v>77078625677</v>
      </c>
      <c r="B1096" s="18"/>
    </row>
    <row r="1097" spans="1:2">
      <c r="A1097" s="19">
        <v>77079412484</v>
      </c>
      <c r="B1097" s="18"/>
    </row>
    <row r="1098" spans="1:2">
      <c r="A1098" s="19">
        <v>77079986161</v>
      </c>
      <c r="B1098" s="18"/>
    </row>
    <row r="1099" spans="1:2">
      <c r="A1099" s="19">
        <v>77085088890</v>
      </c>
      <c r="B1099" s="18"/>
    </row>
    <row r="1100" spans="1:2">
      <c r="A1100" s="19">
        <v>77086891865</v>
      </c>
      <c r="B1100" s="18"/>
    </row>
    <row r="1101" spans="1:2">
      <c r="A1101" s="19">
        <v>77087027666</v>
      </c>
      <c r="B1101" s="18"/>
    </row>
    <row r="1102" spans="1:2">
      <c r="A1102" s="19">
        <v>77087070016</v>
      </c>
      <c r="B1102" s="18"/>
    </row>
    <row r="1103" spans="1:2">
      <c r="A1103" s="19">
        <v>77088001881</v>
      </c>
      <c r="B1103" s="18"/>
    </row>
    <row r="1104" spans="1:2">
      <c r="A1104" s="19">
        <v>77089698811</v>
      </c>
      <c r="B1104" s="18"/>
    </row>
    <row r="1105" spans="1:2">
      <c r="A1105" s="19">
        <v>77472385837</v>
      </c>
      <c r="B1105" s="18"/>
    </row>
    <row r="1106" spans="1:2">
      <c r="A1106" s="19">
        <v>77472449449</v>
      </c>
      <c r="B1106" s="18"/>
    </row>
    <row r="1107" spans="1:2">
      <c r="A1107" s="19">
        <v>77472515557</v>
      </c>
      <c r="B1107" s="18"/>
    </row>
    <row r="1108" spans="1:2">
      <c r="A1108" s="19">
        <v>77473499378</v>
      </c>
      <c r="B1108" s="18"/>
    </row>
    <row r="1109" spans="1:2">
      <c r="A1109" s="19">
        <v>77474223015</v>
      </c>
      <c r="B1109" s="18"/>
    </row>
    <row r="1110" spans="1:2">
      <c r="A1110" s="19">
        <v>77475556050</v>
      </c>
      <c r="B1110" s="18"/>
    </row>
    <row r="1111" spans="1:2">
      <c r="A1111" s="19">
        <v>77476812482</v>
      </c>
      <c r="B1111" s="18"/>
    </row>
    <row r="1112" spans="1:2">
      <c r="A1112" s="19">
        <v>77477859130</v>
      </c>
      <c r="B1112" s="18"/>
    </row>
    <row r="1113" spans="1:2">
      <c r="A1113" s="19">
        <v>77477881157</v>
      </c>
      <c r="B1113" s="18"/>
    </row>
    <row r="1114" spans="1:2">
      <c r="A1114" s="19">
        <v>77713269408</v>
      </c>
      <c r="B1114" s="18"/>
    </row>
    <row r="1115" spans="1:2">
      <c r="A1115" s="19">
        <v>77752199199</v>
      </c>
      <c r="B1115" s="18"/>
    </row>
    <row r="1116" spans="1:2">
      <c r="A1116" s="19">
        <v>77753209185</v>
      </c>
      <c r="B1116" s="18"/>
    </row>
    <row r="1117" spans="1:2">
      <c r="A1117" s="19">
        <v>77753337171</v>
      </c>
      <c r="B1117" s="18"/>
    </row>
    <row r="1118" spans="1:2">
      <c r="A1118" s="19">
        <v>77754631751</v>
      </c>
      <c r="B1118" s="18"/>
    </row>
    <row r="1119" spans="1:2">
      <c r="A1119" s="19">
        <v>77756745907</v>
      </c>
      <c r="B1119" s="18"/>
    </row>
    <row r="1120" spans="1:2">
      <c r="A1120" s="19">
        <v>77757474933</v>
      </c>
      <c r="B1120" s="18"/>
    </row>
    <row r="1121" spans="1:2">
      <c r="A1121" s="19">
        <v>77758246080</v>
      </c>
      <c r="B1121" s="18"/>
    </row>
    <row r="1122" spans="1:2">
      <c r="A1122" s="19">
        <v>77759431054</v>
      </c>
      <c r="B1122" s="18"/>
    </row>
    <row r="1123" spans="1:2">
      <c r="A1123" s="19">
        <v>77759509009</v>
      </c>
      <c r="B1123" s="18"/>
    </row>
    <row r="1124" spans="1:2">
      <c r="A1124" s="19">
        <v>77762161995</v>
      </c>
      <c r="B1124" s="18"/>
    </row>
    <row r="1125" spans="1:2">
      <c r="A1125" s="19">
        <v>77764003351</v>
      </c>
      <c r="B1125" s="18"/>
    </row>
    <row r="1126" spans="1:2">
      <c r="A1126" s="19">
        <v>77764274593</v>
      </c>
      <c r="B1126" s="18"/>
    </row>
    <row r="1127" spans="1:2">
      <c r="A1127" s="19">
        <v>77770219334</v>
      </c>
      <c r="B1127" s="18"/>
    </row>
    <row r="1128" spans="1:2">
      <c r="A1128" s="19">
        <v>77771372799</v>
      </c>
      <c r="B1128" s="18"/>
    </row>
    <row r="1129" spans="1:2">
      <c r="A1129" s="19">
        <v>77771722078</v>
      </c>
      <c r="B1129" s="18"/>
    </row>
    <row r="1130" spans="1:2">
      <c r="A1130" s="19">
        <v>77771968695</v>
      </c>
      <c r="B1130" s="18"/>
    </row>
    <row r="1131" spans="1:2">
      <c r="A1131" s="19">
        <v>77772727613</v>
      </c>
      <c r="B1131" s="18"/>
    </row>
    <row r="1132" spans="1:2">
      <c r="A1132" s="19">
        <v>77772845700</v>
      </c>
      <c r="B1132" s="18"/>
    </row>
    <row r="1133" spans="1:2">
      <c r="A1133" s="19">
        <v>77772868913</v>
      </c>
      <c r="B1133" s="18"/>
    </row>
    <row r="1134" spans="1:2">
      <c r="A1134" s="19">
        <v>77773305929</v>
      </c>
      <c r="B1134" s="18"/>
    </row>
    <row r="1135" spans="1:2">
      <c r="A1135" s="19">
        <v>77773476378</v>
      </c>
      <c r="B1135" s="18"/>
    </row>
    <row r="1136" spans="1:2">
      <c r="A1136" s="19">
        <v>77773609473</v>
      </c>
      <c r="B1136" s="18"/>
    </row>
    <row r="1137" spans="1:2">
      <c r="A1137" s="19">
        <v>77773888844</v>
      </c>
      <c r="B1137" s="18"/>
    </row>
    <row r="1138" spans="1:2">
      <c r="A1138" s="19">
        <v>77774789794</v>
      </c>
      <c r="B1138" s="18"/>
    </row>
    <row r="1139" spans="1:2">
      <c r="A1139" s="19">
        <v>77776104857</v>
      </c>
      <c r="B1139" s="18"/>
    </row>
    <row r="1140" spans="1:2">
      <c r="A1140" s="19">
        <v>77776257601</v>
      </c>
      <c r="B1140" s="18"/>
    </row>
    <row r="1141" spans="1:2">
      <c r="A1141" s="19">
        <v>77776906704</v>
      </c>
      <c r="B1141" s="18"/>
    </row>
    <row r="1142" spans="1:2">
      <c r="A1142" s="19">
        <v>77779915520</v>
      </c>
      <c r="B1142" s="18"/>
    </row>
    <row r="1143" spans="1:2">
      <c r="A1143" s="19">
        <v>77785971749</v>
      </c>
      <c r="B1143" s="18"/>
    </row>
    <row r="1144" spans="1:2">
      <c r="A1144" s="19">
        <v>77786200816</v>
      </c>
      <c r="B1144" s="18"/>
    </row>
    <row r="1145" spans="1:2">
      <c r="A1145" s="19">
        <v>79000097169</v>
      </c>
      <c r="B1145" s="18"/>
    </row>
    <row r="1146" spans="1:2">
      <c r="A1146" s="19">
        <v>79000891454</v>
      </c>
      <c r="B1146" s="18"/>
    </row>
    <row r="1147" spans="1:2">
      <c r="A1147" s="19">
        <v>79000914623</v>
      </c>
      <c r="B1147" s="18"/>
    </row>
    <row r="1148" spans="1:2">
      <c r="A1148" s="19">
        <v>79003067090</v>
      </c>
      <c r="B1148" s="18"/>
    </row>
    <row r="1149" spans="1:2">
      <c r="A1149" s="19">
        <v>79003320509</v>
      </c>
      <c r="B1149" s="18"/>
    </row>
    <row r="1150" spans="1:2">
      <c r="A1150" s="19">
        <v>79005375735</v>
      </c>
      <c r="B1150" s="18"/>
    </row>
    <row r="1151" spans="1:2">
      <c r="A1151" s="19">
        <v>79005973405</v>
      </c>
      <c r="B1151" s="18"/>
    </row>
    <row r="1152" spans="1:2">
      <c r="A1152" s="19">
        <v>79006266762</v>
      </c>
      <c r="B1152" s="18"/>
    </row>
    <row r="1153" spans="1:2">
      <c r="A1153" s="36">
        <v>37258595708</v>
      </c>
      <c r="B1153" s="25" t="s">
        <v>12464</v>
      </c>
    </row>
    <row r="1154" spans="1:2">
      <c r="A1154" s="36">
        <v>79039818387</v>
      </c>
      <c r="B1154" s="18"/>
    </row>
    <row r="1155" spans="1:2">
      <c r="A1155" s="36">
        <v>79043884656</v>
      </c>
      <c r="B1155" s="18"/>
    </row>
    <row r="1156" spans="1:2">
      <c r="A1156" s="36">
        <v>79139930687</v>
      </c>
      <c r="B1156" s="18"/>
    </row>
    <row r="1157" spans="1:2">
      <c r="A1157" s="36">
        <v>79265631651</v>
      </c>
      <c r="B1157" s="18"/>
    </row>
    <row r="1158" spans="1:2">
      <c r="A1158" s="36">
        <v>79643349246</v>
      </c>
      <c r="B1158" s="18"/>
    </row>
    <row r="1159" spans="1:2">
      <c r="A1159" s="36">
        <v>79643860810</v>
      </c>
      <c r="B1159" s="18"/>
    </row>
    <row r="1160" spans="1:2">
      <c r="A1160" s="36">
        <v>79670630970</v>
      </c>
      <c r="B1160" s="18"/>
    </row>
    <row r="1161" spans="1:2">
      <c r="A1161" s="36">
        <v>79817937395</v>
      </c>
      <c r="B1161" s="18"/>
    </row>
    <row r="1162" spans="1:2">
      <c r="A1162" s="36">
        <v>87027665551</v>
      </c>
      <c r="B1162" s="18"/>
    </row>
    <row r="1163" spans="1:2">
      <c r="A1163" s="36">
        <v>89605674523</v>
      </c>
      <c r="B1163" s="18"/>
    </row>
    <row r="1164" spans="1:2">
      <c r="A1164" s="36">
        <v>89658421313</v>
      </c>
      <c r="B1164" s="18"/>
    </row>
    <row r="1165" spans="1:2">
      <c r="A1165" s="36">
        <v>79876100190</v>
      </c>
      <c r="B1165" s="25" t="s">
        <v>12465</v>
      </c>
    </row>
    <row r="1166" spans="1:2">
      <c r="A1166" s="36">
        <v>79870325755</v>
      </c>
      <c r="B1166" s="18"/>
    </row>
    <row r="1167" spans="1:2">
      <c r="A1167" s="36">
        <v>79874938503</v>
      </c>
      <c r="B1167" s="18"/>
    </row>
    <row r="1168" spans="1:2">
      <c r="A1168" s="36">
        <v>79870334212</v>
      </c>
      <c r="B1168" s="18"/>
    </row>
    <row r="1169" spans="1:2">
      <c r="A1169" s="36">
        <v>79173708633</v>
      </c>
      <c r="B1169" s="18"/>
    </row>
    <row r="1170" spans="1:2">
      <c r="A1170" s="36">
        <v>79279322153</v>
      </c>
      <c r="B1170" s="18"/>
    </row>
    <row r="1171" spans="1:2" ht="15" thickBot="1">
      <c r="A1171" s="36">
        <v>79166824011</v>
      </c>
      <c r="B1171" s="18"/>
    </row>
    <row r="1172" spans="1:2" ht="15" thickBot="1">
      <c r="A1172" s="23">
        <v>79371630888</v>
      </c>
      <c r="B1172" s="18"/>
    </row>
    <row r="1173" spans="1:2" ht="15" thickBot="1">
      <c r="A1173" s="23">
        <v>79874865533</v>
      </c>
      <c r="B1173" s="18"/>
    </row>
    <row r="1174" spans="1:2" ht="15" thickBot="1">
      <c r="A1174" s="23">
        <v>79528330715</v>
      </c>
      <c r="B1174" s="18"/>
    </row>
    <row r="1175" spans="1:2" ht="15" thickBot="1">
      <c r="A1175" s="23">
        <v>79177488606</v>
      </c>
      <c r="B1175" s="18"/>
    </row>
    <row r="1176" spans="1:2" ht="15" thickBot="1">
      <c r="A1176" s="23">
        <v>79373555108</v>
      </c>
      <c r="B1176" s="18"/>
    </row>
    <row r="1177" spans="1:2" ht="15" thickBot="1">
      <c r="A1177" s="23">
        <v>79273331189</v>
      </c>
      <c r="B1177" s="18"/>
    </row>
    <row r="1178" spans="1:2" ht="15" thickBot="1">
      <c r="A1178" s="23">
        <v>79899576163</v>
      </c>
      <c r="B1178" s="18"/>
    </row>
    <row r="1179" spans="1:2" ht="15" thickBot="1">
      <c r="A1179" s="23">
        <v>79177477795</v>
      </c>
      <c r="B1179" s="18"/>
    </row>
    <row r="1180" spans="1:2" ht="15" thickBot="1">
      <c r="A1180" s="23">
        <v>79656417169</v>
      </c>
      <c r="B1180" s="18"/>
    </row>
    <row r="1181" spans="1:2" ht="15" thickBot="1">
      <c r="A1181" s="23">
        <v>79876036009</v>
      </c>
      <c r="B1181" s="18"/>
    </row>
    <row r="1182" spans="1:2" ht="15" thickBot="1">
      <c r="A1182" s="23">
        <v>79063726668</v>
      </c>
      <c r="B1182" s="18"/>
    </row>
    <row r="1183" spans="1:2" ht="15" thickBot="1">
      <c r="A1183" s="23">
        <v>79264996079</v>
      </c>
      <c r="B1183" s="18"/>
    </row>
    <row r="1184" spans="1:2" ht="15" thickBot="1">
      <c r="A1184" s="36">
        <v>79173424328</v>
      </c>
      <c r="B1184" s="18"/>
    </row>
    <row r="1185" spans="1:2" ht="15" thickBot="1">
      <c r="A1185" s="23">
        <v>79173459059</v>
      </c>
      <c r="B1185" s="18"/>
    </row>
    <row r="1186" spans="1:2" ht="15" thickBot="1">
      <c r="A1186" s="23">
        <v>79177647088</v>
      </c>
      <c r="B1186" s="18"/>
    </row>
    <row r="1187" spans="1:2" ht="15" thickBot="1">
      <c r="A1187" s="23">
        <v>79174021873</v>
      </c>
      <c r="B1187" s="18"/>
    </row>
    <row r="1188" spans="1:2" ht="15" thickBot="1">
      <c r="A1188" s="23">
        <v>79173524043</v>
      </c>
      <c r="B1188" s="18"/>
    </row>
    <row r="1189" spans="1:2" ht="15" thickBot="1">
      <c r="A1189" s="23">
        <v>79191580978</v>
      </c>
      <c r="B1189" s="18"/>
    </row>
    <row r="1190" spans="1:2" ht="15" thickBot="1">
      <c r="A1190" s="23">
        <v>79869718723</v>
      </c>
      <c r="B1190" s="18"/>
    </row>
    <row r="1191" spans="1:2" ht="15" thickBot="1">
      <c r="A1191" s="23">
        <v>79033550684</v>
      </c>
      <c r="B1191" s="18"/>
    </row>
    <row r="1192" spans="1:2" ht="15" thickBot="1">
      <c r="A1192" s="23">
        <v>79626935043</v>
      </c>
      <c r="B1192" s="18"/>
    </row>
    <row r="1193" spans="1:2" ht="15" thickBot="1">
      <c r="A1193" s="23">
        <v>79899542123</v>
      </c>
      <c r="B1193" s="18"/>
    </row>
    <row r="1194" spans="1:2" ht="15" thickBot="1">
      <c r="A1194" s="23">
        <v>79659363888</v>
      </c>
      <c r="B1194" s="18"/>
    </row>
    <row r="1195" spans="1:2" ht="15" thickBot="1">
      <c r="A1195" s="23">
        <v>79174097009</v>
      </c>
      <c r="B1195" s="18"/>
    </row>
    <row r="1196" spans="1:2" ht="15" thickBot="1">
      <c r="A1196" s="23">
        <v>79191551431</v>
      </c>
      <c r="B1196" s="18"/>
    </row>
    <row r="1197" spans="1:2" ht="15" thickBot="1">
      <c r="A1197" s="23">
        <v>79270856947</v>
      </c>
      <c r="B1197" s="18"/>
    </row>
    <row r="1198" spans="1:2" ht="15" thickBot="1">
      <c r="A1198" s="23">
        <v>79867048657</v>
      </c>
      <c r="B1198" s="18"/>
    </row>
    <row r="1199" spans="1:2" ht="15" thickBot="1">
      <c r="A1199" s="23">
        <v>79378372261</v>
      </c>
      <c r="B1199" s="18"/>
    </row>
    <row r="1200" spans="1:2" ht="15" thickBot="1">
      <c r="A1200" s="23">
        <v>79631436957</v>
      </c>
      <c r="B1200" s="18"/>
    </row>
    <row r="1201" spans="1:2" ht="15" thickBot="1">
      <c r="A1201" s="23">
        <v>79625373087</v>
      </c>
      <c r="B1201" s="18"/>
    </row>
    <row r="1202" spans="1:2" ht="15" thickBot="1">
      <c r="A1202" s="23">
        <v>79603983337</v>
      </c>
      <c r="B1202" s="18"/>
    </row>
    <row r="1203" spans="1:2" ht="15" thickBot="1">
      <c r="A1203" s="21">
        <v>79170422615</v>
      </c>
      <c r="B1203" s="18"/>
    </row>
    <row r="1204" spans="1:2" ht="15" thickBot="1">
      <c r="A1204" s="21">
        <v>79159445138</v>
      </c>
      <c r="B1204" s="18"/>
    </row>
    <row r="1205" spans="1:2" ht="15" thickBot="1">
      <c r="A1205" s="21">
        <v>79279444415</v>
      </c>
      <c r="B1205" s="18"/>
    </row>
    <row r="1206" spans="1:2" ht="15" thickBot="1">
      <c r="A1206" s="21">
        <v>79172622697</v>
      </c>
      <c r="B1206" s="18"/>
    </row>
    <row r="1207" spans="1:2" ht="15" thickBot="1">
      <c r="A1207" s="23">
        <v>79173010645</v>
      </c>
      <c r="B1207" s="18"/>
    </row>
    <row r="1208" spans="1:2" ht="15" thickBot="1">
      <c r="A1208" s="23">
        <v>79625331400</v>
      </c>
      <c r="B1208" s="18"/>
    </row>
    <row r="1209" spans="1:2" ht="15" thickBot="1">
      <c r="A1209" s="23">
        <v>79279442785</v>
      </c>
      <c r="B1209" s="18"/>
    </row>
    <row r="1210" spans="1:2" ht="15" thickBot="1">
      <c r="A1210" s="23">
        <v>79174459363</v>
      </c>
      <c r="B1210" s="18"/>
    </row>
    <row r="1211" spans="1:2" ht="15" thickBot="1">
      <c r="A1211" s="23">
        <v>79177662330</v>
      </c>
      <c r="B1211" s="18"/>
    </row>
    <row r="1212" spans="1:2" ht="15" thickBot="1">
      <c r="A1212" s="23">
        <v>79964031445</v>
      </c>
      <c r="B1212" s="18"/>
    </row>
    <row r="1213" spans="1:2" ht="15" thickBot="1">
      <c r="A1213" s="21">
        <v>79103865585</v>
      </c>
      <c r="B1213" s="18"/>
    </row>
    <row r="1214" spans="1:2" ht="15" thickBot="1">
      <c r="A1214" s="21">
        <v>79677964871</v>
      </c>
      <c r="B1214" s="18"/>
    </row>
    <row r="1215" spans="1:2" ht="15" thickBot="1">
      <c r="A1215" s="21">
        <v>79107953383</v>
      </c>
      <c r="B1215" s="18"/>
    </row>
    <row r="1216" spans="1:2" ht="15" thickBot="1">
      <c r="A1216" s="23">
        <v>79874795259</v>
      </c>
      <c r="B1216" s="18"/>
    </row>
    <row r="1217" spans="1:2" ht="15" thickBot="1">
      <c r="A1217" s="23">
        <v>79631441826</v>
      </c>
      <c r="B1217" s="18"/>
    </row>
    <row r="1218" spans="1:2" ht="15" thickBot="1">
      <c r="A1218" s="23">
        <v>79177334010</v>
      </c>
      <c r="B1218" s="18"/>
    </row>
    <row r="1219" spans="1:2" ht="15" thickBot="1">
      <c r="A1219" s="23">
        <v>79191553324</v>
      </c>
      <c r="B1219" s="18"/>
    </row>
    <row r="1220" spans="1:2" ht="15" thickBot="1">
      <c r="A1220" s="23">
        <v>89136354861</v>
      </c>
      <c r="B1220" s="18"/>
    </row>
    <row r="1221" spans="1:2" ht="15" thickBot="1">
      <c r="A1221" s="23">
        <v>99222887803</v>
      </c>
      <c r="B1221" s="18"/>
    </row>
    <row r="1222" spans="1:2" ht="15" thickBot="1">
      <c r="A1222" s="23">
        <v>89278836821</v>
      </c>
      <c r="B1222" s="18"/>
    </row>
    <row r="1223" spans="1:2" ht="15" thickBot="1">
      <c r="A1223" s="23">
        <v>89515246557</v>
      </c>
      <c r="B1223" s="18"/>
    </row>
    <row r="1224" spans="1:2" ht="15" thickBot="1">
      <c r="A1224" s="23">
        <v>79028473224</v>
      </c>
      <c r="B1224" s="18"/>
    </row>
    <row r="1225" spans="1:2" ht="15" thickBot="1">
      <c r="A1225" s="37">
        <v>89999602086</v>
      </c>
      <c r="B1225" s="34" t="s">
        <v>13848</v>
      </c>
    </row>
    <row r="1226" spans="1:2" ht="15" thickBot="1">
      <c r="A1226" s="37">
        <v>89673571238</v>
      </c>
      <c r="B1226" s="18"/>
    </row>
    <row r="1227" spans="1:2" ht="15" thickBot="1">
      <c r="A1227" s="37">
        <v>89632617119</v>
      </c>
      <c r="B1227" s="18"/>
    </row>
    <row r="1228" spans="1:2" ht="15" thickBot="1">
      <c r="A1228" s="37">
        <v>89631973308</v>
      </c>
      <c r="B1228" s="18"/>
    </row>
    <row r="1229" spans="1:2" ht="15" thickBot="1">
      <c r="A1229" s="37">
        <v>89513388932</v>
      </c>
      <c r="B1229" s="18"/>
    </row>
    <row r="1230" spans="1:2" ht="15" thickBot="1">
      <c r="A1230" s="37">
        <v>89501273168</v>
      </c>
      <c r="B1230" s="18"/>
    </row>
    <row r="1231" spans="1:2" ht="15" thickBot="1">
      <c r="A1231" s="37">
        <v>89326125801</v>
      </c>
      <c r="B1231" s="18"/>
    </row>
    <row r="1232" spans="1:2" ht="15" thickBot="1">
      <c r="A1232" s="37">
        <v>89303495574</v>
      </c>
      <c r="B1232" s="18"/>
    </row>
    <row r="1233" spans="1:2" ht="15" thickBot="1">
      <c r="A1233" s="37">
        <v>89295400326</v>
      </c>
      <c r="B1233" s="18"/>
    </row>
    <row r="1234" spans="1:2" ht="15" thickBot="1">
      <c r="A1234" s="37">
        <v>89246743387</v>
      </c>
      <c r="B1234" s="18"/>
    </row>
    <row r="1235" spans="1:2" ht="15" thickBot="1">
      <c r="A1235" s="37">
        <v>89219342707</v>
      </c>
      <c r="B1235" s="18"/>
    </row>
    <row r="1236" spans="1:2" ht="15" thickBot="1">
      <c r="A1236" s="37">
        <v>89207440808</v>
      </c>
      <c r="B1236" s="18"/>
    </row>
    <row r="1237" spans="1:2" ht="15" thickBot="1">
      <c r="A1237" s="37">
        <v>89183785617</v>
      </c>
      <c r="B1237" s="18"/>
    </row>
    <row r="1238" spans="1:2" ht="15" thickBot="1">
      <c r="A1238" s="37">
        <v>89182247085</v>
      </c>
      <c r="B1238" s="18"/>
    </row>
    <row r="1239" spans="1:2" ht="15" thickBot="1">
      <c r="A1239" s="37">
        <v>89180976093</v>
      </c>
      <c r="B1239" s="18"/>
    </row>
    <row r="1240" spans="1:2" ht="15" thickBot="1">
      <c r="A1240" s="37">
        <v>89169132065</v>
      </c>
      <c r="B1240" s="18"/>
    </row>
    <row r="1241" spans="1:2" ht="15" thickBot="1">
      <c r="A1241" s="37">
        <v>89155880967</v>
      </c>
      <c r="B1241" s="18"/>
    </row>
    <row r="1242" spans="1:2" ht="15" thickBot="1">
      <c r="A1242" s="37">
        <v>89152623085</v>
      </c>
      <c r="B1242" s="18"/>
    </row>
    <row r="1243" spans="1:2" ht="15" thickBot="1">
      <c r="A1243" s="37">
        <v>89150650016</v>
      </c>
      <c r="B1243" s="18"/>
    </row>
    <row r="1244" spans="1:2" ht="15" thickBot="1">
      <c r="A1244" s="37">
        <v>89141774574</v>
      </c>
      <c r="B1244" s="18"/>
    </row>
    <row r="1245" spans="1:2" ht="15" thickBot="1">
      <c r="A1245" s="37">
        <v>89109468666</v>
      </c>
      <c r="B1245" s="18"/>
    </row>
    <row r="1246" spans="1:2" ht="15" thickBot="1">
      <c r="A1246" s="37">
        <v>89090056789</v>
      </c>
      <c r="B1246" s="18"/>
    </row>
    <row r="1247" spans="1:2" ht="15" thickBot="1">
      <c r="A1247" s="37">
        <v>89089179050</v>
      </c>
      <c r="B1247" s="18"/>
    </row>
    <row r="1248" spans="1:2" ht="15" thickBot="1">
      <c r="A1248" s="37">
        <v>89063377704</v>
      </c>
      <c r="B1248" s="18"/>
    </row>
    <row r="1249" spans="1:2" ht="15" thickBot="1">
      <c r="A1249" s="37">
        <v>89049860544</v>
      </c>
      <c r="B1249" s="18"/>
    </row>
    <row r="1250" spans="1:2">
      <c r="A1250" s="33">
        <v>89041476505</v>
      </c>
      <c r="B1250" s="18"/>
    </row>
    <row r="1251" spans="1:2">
      <c r="A1251" s="33">
        <v>87760046665</v>
      </c>
      <c r="B1251" s="18"/>
    </row>
    <row r="1252" spans="1:2">
      <c r="A1252" s="33">
        <v>87052260987</v>
      </c>
      <c r="B1252" s="18"/>
    </row>
    <row r="1253" spans="1:2">
      <c r="A1253" s="33">
        <v>87023068592</v>
      </c>
      <c r="B1253" s="18"/>
    </row>
    <row r="1254" spans="1:2">
      <c r="A1254" s="33">
        <v>80993137535</v>
      </c>
      <c r="B1254" s="18"/>
    </row>
    <row r="1255" spans="1:2">
      <c r="A1255" s="33">
        <v>79999342837</v>
      </c>
      <c r="B1255" s="18"/>
    </row>
    <row r="1256" spans="1:2">
      <c r="A1256" s="33">
        <v>79999284364</v>
      </c>
      <c r="B1256" s="18"/>
    </row>
    <row r="1257" spans="1:2">
      <c r="A1257" s="33">
        <v>79900063152</v>
      </c>
      <c r="B1257" s="18"/>
    </row>
    <row r="1258" spans="1:2">
      <c r="A1258" s="33">
        <v>79851181860</v>
      </c>
      <c r="B1258" s="18"/>
    </row>
    <row r="1259" spans="1:2">
      <c r="A1259" s="33">
        <v>79825313810</v>
      </c>
      <c r="B1259" s="18"/>
    </row>
    <row r="1260" spans="1:2">
      <c r="A1260" s="33">
        <v>79788544421</v>
      </c>
      <c r="B1260" s="18"/>
    </row>
    <row r="1261" spans="1:2">
      <c r="A1261" s="33">
        <v>79780114378</v>
      </c>
      <c r="B1261" s="18"/>
    </row>
    <row r="1262" spans="1:2">
      <c r="A1262" s="33">
        <v>79780110027</v>
      </c>
      <c r="B1262" s="18"/>
    </row>
    <row r="1263" spans="1:2">
      <c r="A1263" s="33">
        <v>79654044713</v>
      </c>
      <c r="B1263" s="18"/>
    </row>
    <row r="1264" spans="1:2">
      <c r="A1264" s="33">
        <v>79632712673</v>
      </c>
      <c r="B1264" s="18"/>
    </row>
    <row r="1265" spans="1:2">
      <c r="A1265" s="33">
        <v>79630415751</v>
      </c>
      <c r="B1265" s="18"/>
    </row>
    <row r="1266" spans="1:2">
      <c r="A1266" s="33">
        <v>79629156250</v>
      </c>
      <c r="B1266" s="18"/>
    </row>
    <row r="1267" spans="1:2">
      <c r="A1267" s="33">
        <v>79625002621</v>
      </c>
      <c r="B1267" s="18"/>
    </row>
    <row r="1268" spans="1:2">
      <c r="A1268" s="33">
        <v>79622914397</v>
      </c>
      <c r="B1268" s="18"/>
    </row>
    <row r="1269" spans="1:2">
      <c r="A1269" s="33">
        <v>79621197143</v>
      </c>
      <c r="B1269" s="18"/>
    </row>
    <row r="1270" spans="1:2">
      <c r="A1270" s="33">
        <v>79608136455</v>
      </c>
      <c r="B1270" s="18"/>
    </row>
    <row r="1271" spans="1:2">
      <c r="A1271" s="33">
        <v>79606479187</v>
      </c>
      <c r="B1271" s="18"/>
    </row>
    <row r="1272" spans="1:2">
      <c r="A1272" s="33">
        <v>79603608663</v>
      </c>
      <c r="B1272" s="18"/>
    </row>
    <row r="1273" spans="1:2">
      <c r="A1273" s="33">
        <v>79529587676</v>
      </c>
      <c r="B1273" s="18"/>
    </row>
    <row r="1274" spans="1:2">
      <c r="A1274" s="33">
        <v>79525428440</v>
      </c>
      <c r="B1274" s="18"/>
    </row>
    <row r="1275" spans="1:2">
      <c r="A1275" s="33">
        <v>79518098960</v>
      </c>
      <c r="B1275" s="18"/>
    </row>
    <row r="1276" spans="1:2">
      <c r="A1276" s="33">
        <v>79506573541</v>
      </c>
      <c r="B1276" s="18"/>
    </row>
    <row r="1277" spans="1:2">
      <c r="A1277" s="33">
        <v>79504046428</v>
      </c>
      <c r="B1277" s="18"/>
    </row>
    <row r="1278" spans="1:2">
      <c r="A1278" s="33">
        <v>79501780407</v>
      </c>
      <c r="B1278" s="18"/>
    </row>
    <row r="1279" spans="1:2">
      <c r="A1279" s="33">
        <v>79298398571</v>
      </c>
      <c r="B1279" s="18"/>
    </row>
    <row r="1280" spans="1:2">
      <c r="A1280" s="33">
        <v>79281303151</v>
      </c>
      <c r="B1280" s="18"/>
    </row>
    <row r="1281" spans="1:2">
      <c r="A1281" s="33">
        <v>79278925062</v>
      </c>
      <c r="B1281" s="18"/>
    </row>
    <row r="1282" spans="1:2">
      <c r="A1282" s="33">
        <v>79258322591</v>
      </c>
      <c r="B1282" s="18"/>
    </row>
    <row r="1283" spans="1:2">
      <c r="A1283" s="33">
        <v>79246203177</v>
      </c>
      <c r="B1283" s="18"/>
    </row>
    <row r="1284" spans="1:2">
      <c r="A1284" s="33">
        <v>79195739759</v>
      </c>
      <c r="B1284" s="18"/>
    </row>
    <row r="1285" spans="1:2">
      <c r="A1285" s="33">
        <v>79174088353</v>
      </c>
      <c r="B1285" s="18"/>
    </row>
    <row r="1286" spans="1:2">
      <c r="A1286" s="33">
        <v>79165677778</v>
      </c>
      <c r="B1286" s="18"/>
    </row>
    <row r="1287" spans="1:2">
      <c r="A1287" s="33">
        <v>79164701248</v>
      </c>
      <c r="B1287" s="18"/>
    </row>
    <row r="1288" spans="1:2">
      <c r="A1288" s="33">
        <v>79164377430</v>
      </c>
      <c r="B1288" s="18"/>
    </row>
    <row r="1289" spans="1:2">
      <c r="A1289" s="33">
        <v>79161261902</v>
      </c>
      <c r="B1289" s="18"/>
    </row>
    <row r="1290" spans="1:2">
      <c r="A1290" s="33">
        <v>79159084833</v>
      </c>
      <c r="B1290" s="18"/>
    </row>
    <row r="1291" spans="1:2">
      <c r="A1291" s="33">
        <v>79153351519</v>
      </c>
      <c r="B1291" s="18"/>
    </row>
    <row r="1292" spans="1:2">
      <c r="A1292" s="33">
        <v>79153046029</v>
      </c>
      <c r="B1292" s="18"/>
    </row>
    <row r="1293" spans="1:2">
      <c r="A1293" s="33">
        <v>79145756712</v>
      </c>
      <c r="B1293" s="18"/>
    </row>
    <row r="1294" spans="1:2">
      <c r="A1294" s="33">
        <v>79139884542</v>
      </c>
      <c r="B1294" s="18"/>
    </row>
    <row r="1295" spans="1:2">
      <c r="A1295" s="33">
        <v>79137132796</v>
      </c>
    </row>
    <row r="1296" spans="1:2">
      <c r="A1296" s="33">
        <v>79135073870</v>
      </c>
    </row>
    <row r="1297" spans="1:1">
      <c r="A1297" s="33">
        <v>79122077491</v>
      </c>
    </row>
    <row r="1298" spans="1:1">
      <c r="A1298" s="33">
        <v>79119517174</v>
      </c>
    </row>
    <row r="1299" spans="1:1">
      <c r="A1299" s="33">
        <v>79111773448</v>
      </c>
    </row>
    <row r="1300" spans="1:1">
      <c r="A1300" s="33">
        <v>79099016208</v>
      </c>
    </row>
    <row r="1301" spans="1:1">
      <c r="A1301" s="33">
        <v>79091752677</v>
      </c>
    </row>
    <row r="1302" spans="1:1">
      <c r="A1302" s="33">
        <v>79089452525</v>
      </c>
    </row>
    <row r="1303" spans="1:1">
      <c r="A1303" s="33">
        <v>79088637935</v>
      </c>
    </row>
    <row r="1304" spans="1:1">
      <c r="A1304" s="33">
        <v>79087810264</v>
      </c>
    </row>
    <row r="1305" spans="1:1">
      <c r="A1305" s="33">
        <v>79068227554</v>
      </c>
    </row>
    <row r="1306" spans="1:1">
      <c r="A1306" s="33">
        <v>79062716413</v>
      </c>
    </row>
    <row r="1307" spans="1:1">
      <c r="A1307" s="33">
        <v>79061000742</v>
      </c>
    </row>
    <row r="1308" spans="1:1">
      <c r="A1308" s="33">
        <v>79057027340</v>
      </c>
    </row>
    <row r="1309" spans="1:1">
      <c r="A1309" s="33">
        <v>79055554400</v>
      </c>
    </row>
    <row r="1310" spans="1:1">
      <c r="A1310" s="33">
        <v>79055068468</v>
      </c>
    </row>
    <row r="1311" spans="1:1">
      <c r="A1311" s="33">
        <v>79053103909</v>
      </c>
    </row>
    <row r="1312" spans="1:1">
      <c r="A1312" s="33">
        <v>79050171506</v>
      </c>
    </row>
    <row r="1313" spans="1:1">
      <c r="A1313" s="33">
        <v>79031987374</v>
      </c>
    </row>
    <row r="1314" spans="1:1">
      <c r="A1314" s="33">
        <v>77777777777</v>
      </c>
    </row>
    <row r="1315" spans="1:1">
      <c r="A1315" s="33">
        <v>77771827788</v>
      </c>
    </row>
    <row r="1316" spans="1:1">
      <c r="A1316" s="33">
        <v>77083722971</v>
      </c>
    </row>
    <row r="1317" spans="1:1">
      <c r="A1317" s="33">
        <v>77078789041</v>
      </c>
    </row>
    <row r="1318" spans="1:1">
      <c r="A1318" s="33">
        <v>77017677023</v>
      </c>
    </row>
    <row r="1319" spans="1:1">
      <c r="A1319" s="33">
        <v>74954002567</v>
      </c>
    </row>
    <row r="1320" spans="1:1">
      <c r="A1320" s="33">
        <v>48883280234</v>
      </c>
    </row>
    <row r="1321" spans="1:1">
      <c r="A1321" s="33">
        <v>48733852520</v>
      </c>
    </row>
    <row r="1322" spans="1:1">
      <c r="A1322" s="33">
        <v>48664645568</v>
      </c>
    </row>
    <row r="1323" spans="1:1">
      <c r="A1323" s="33">
        <v>48510099150</v>
      </c>
    </row>
    <row r="1324" spans="1:1">
      <c r="A1324" s="33">
        <v>41797668872</v>
      </c>
    </row>
    <row r="1325" spans="1:1">
      <c r="A1325" s="33">
        <v>41767568703</v>
      </c>
    </row>
    <row r="1326" spans="1:1">
      <c r="A1326" s="33">
        <v>38267669371</v>
      </c>
    </row>
    <row r="1327" spans="1:1">
      <c r="A1327" s="33">
        <v>37379731346</v>
      </c>
    </row>
    <row r="1328" spans="1:1">
      <c r="A1328" s="33">
        <v>37379509965</v>
      </c>
    </row>
    <row r="1329" spans="1:1">
      <c r="A1329" s="33">
        <v>37378362653</v>
      </c>
    </row>
    <row r="1330" spans="1:1">
      <c r="A1330" s="33">
        <v>37377993398</v>
      </c>
    </row>
    <row r="1331" spans="1:1">
      <c r="A1331" s="33">
        <v>37369972328</v>
      </c>
    </row>
    <row r="1332" spans="1:1">
      <c r="A1332" s="33">
        <v>37369244744</v>
      </c>
    </row>
    <row r="1333" spans="1:1">
      <c r="A1333" s="33">
        <v>37369194228</v>
      </c>
    </row>
    <row r="1334" spans="1:1">
      <c r="A1334" s="33">
        <v>37369007731</v>
      </c>
    </row>
    <row r="1335" spans="1:1">
      <c r="A1335" s="33">
        <v>37368088370</v>
      </c>
    </row>
    <row r="1336" spans="1:1">
      <c r="A1336" s="33">
        <v>37367321746</v>
      </c>
    </row>
    <row r="1337" spans="1:1">
      <c r="A1337" s="33">
        <v>37258958027</v>
      </c>
    </row>
    <row r="1338" spans="1:1">
      <c r="A1338" s="33">
        <v>37256830265</v>
      </c>
    </row>
    <row r="1339" spans="1:1">
      <c r="A1339" s="33">
        <v>37129878847</v>
      </c>
    </row>
    <row r="1340" spans="1:1">
      <c r="A1340" s="33">
        <v>37126527374</v>
      </c>
    </row>
    <row r="1341" spans="1:1">
      <c r="A1341" s="33">
        <v>37124426011</v>
      </c>
    </row>
    <row r="1342" spans="1:1">
      <c r="A1342" s="33">
        <v>37062946194</v>
      </c>
    </row>
    <row r="1343" spans="1:1">
      <c r="A1343" s="33">
        <v>36307445592</v>
      </c>
    </row>
    <row r="1344" spans="1:1">
      <c r="A1344" s="33">
        <v>33628348660</v>
      </c>
    </row>
    <row r="1345" spans="1:1">
      <c r="A1345" s="33">
        <v>15066087923</v>
      </c>
    </row>
    <row r="1346" spans="1:1">
      <c r="A1346" s="33">
        <v>13103845302</v>
      </c>
    </row>
    <row r="1347" spans="1:1">
      <c r="A1347" s="35">
        <v>89997864342</v>
      </c>
    </row>
    <row r="1348" spans="1:1">
      <c r="A1348" s="35">
        <v>89585673388</v>
      </c>
    </row>
    <row r="1349" spans="1:1">
      <c r="A1349" s="35">
        <v>89531862595</v>
      </c>
    </row>
    <row r="1350" spans="1:1">
      <c r="A1350" s="35">
        <v>89254981575</v>
      </c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</sheetData>
  <sortState ref="A1:B1780">
    <sortCondition ref="B1289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61"/>
  <sheetViews>
    <sheetView topLeftCell="A180" workbookViewId="0">
      <selection activeCell="D204" sqref="D190:D204"/>
    </sheetView>
  </sheetViews>
  <sheetFormatPr defaultRowHeight="14.25"/>
  <cols>
    <col min="1" max="1" width="31.125" customWidth="1"/>
    <col min="4" max="4" width="31.75" customWidth="1"/>
    <col min="5" max="5" width="20.25" customWidth="1"/>
  </cols>
  <sheetData>
    <row r="1" spans="1:5" ht="15" thickBot="1">
      <c r="A1" s="26" t="s">
        <v>12466</v>
      </c>
      <c r="B1" s="26" t="s">
        <v>12467</v>
      </c>
      <c r="C1" s="26" t="s">
        <v>12468</v>
      </c>
      <c r="D1" s="26" t="s">
        <v>12469</v>
      </c>
    </row>
    <row r="2" spans="1:5" ht="51.75" thickBot="1">
      <c r="A2" s="21"/>
      <c r="B2" s="21" t="s">
        <v>12474</v>
      </c>
      <c r="C2" s="21" t="s">
        <v>12475</v>
      </c>
      <c r="D2" s="23">
        <v>4915906238889</v>
      </c>
      <c r="E2">
        <f t="shared" ref="E2:E65" si="0">IF(A2&lt;1,D2,)</f>
        <v>4915906238889</v>
      </c>
    </row>
    <row r="3" spans="1:5" ht="15" thickBot="1">
      <c r="A3" s="21"/>
      <c r="B3" s="21" t="s">
        <v>9488</v>
      </c>
      <c r="C3" s="21" t="s">
        <v>8431</v>
      </c>
      <c r="D3" s="23">
        <v>4915208553930</v>
      </c>
      <c r="E3">
        <f t="shared" si="0"/>
        <v>4915208553930</v>
      </c>
    </row>
    <row r="4" spans="1:5" ht="39" thickBot="1">
      <c r="A4" s="21"/>
      <c r="B4" s="21" t="s">
        <v>12715</v>
      </c>
      <c r="C4" s="21" t="s">
        <v>12716</v>
      </c>
      <c r="D4" s="23">
        <v>998991380089</v>
      </c>
      <c r="E4">
        <f t="shared" si="0"/>
        <v>998991380089</v>
      </c>
    </row>
    <row r="5" spans="1:5" ht="39" thickBot="1">
      <c r="A5" s="21"/>
      <c r="B5" s="21" t="s">
        <v>12724</v>
      </c>
      <c r="C5" s="21" t="s">
        <v>12725</v>
      </c>
      <c r="D5" s="23">
        <v>998973445060</v>
      </c>
      <c r="E5">
        <f t="shared" si="0"/>
        <v>998973445060</v>
      </c>
    </row>
    <row r="6" spans="1:5" ht="26.25" thickBot="1">
      <c r="A6" s="27"/>
      <c r="B6" s="27" t="s">
        <v>12704</v>
      </c>
      <c r="C6" s="27" t="s">
        <v>12705</v>
      </c>
      <c r="D6" s="28">
        <v>998972344004</v>
      </c>
      <c r="E6">
        <f t="shared" si="0"/>
        <v>998972344004</v>
      </c>
    </row>
    <row r="7" spans="1:5" ht="26.25" thickBot="1">
      <c r="A7" s="21"/>
      <c r="B7" s="21" t="s">
        <v>13715</v>
      </c>
      <c r="C7" s="21" t="s">
        <v>13716</v>
      </c>
      <c r="D7" s="21">
        <v>998951716225</v>
      </c>
      <c r="E7">
        <f t="shared" si="0"/>
        <v>998951716225</v>
      </c>
    </row>
    <row r="8" spans="1:5" ht="15" thickBot="1">
      <c r="A8" s="21"/>
      <c r="B8" s="21" t="s">
        <v>10920</v>
      </c>
      <c r="C8" s="21" t="s">
        <v>10920</v>
      </c>
      <c r="D8" s="23">
        <v>998946043841</v>
      </c>
      <c r="E8">
        <f t="shared" si="0"/>
        <v>998946043841</v>
      </c>
    </row>
    <row r="9" spans="1:5" ht="26.25" thickBot="1">
      <c r="A9" s="21"/>
      <c r="B9" s="21" t="s">
        <v>12659</v>
      </c>
      <c r="C9" s="21" t="s">
        <v>12660</v>
      </c>
      <c r="D9" s="21">
        <v>998944268558</v>
      </c>
      <c r="E9">
        <f t="shared" si="0"/>
        <v>998944268558</v>
      </c>
    </row>
    <row r="10" spans="1:5" ht="51.75" thickBot="1">
      <c r="A10" s="21"/>
      <c r="B10" s="21" t="s">
        <v>10703</v>
      </c>
      <c r="C10" s="21" t="s">
        <v>13172</v>
      </c>
      <c r="D10" s="21">
        <v>998935361971</v>
      </c>
      <c r="E10">
        <f t="shared" si="0"/>
        <v>998935361971</v>
      </c>
    </row>
    <row r="11" spans="1:5" ht="26.25" thickBot="1">
      <c r="A11" s="21"/>
      <c r="B11" s="21" t="s">
        <v>12599</v>
      </c>
      <c r="C11" s="21" t="s">
        <v>8579</v>
      </c>
      <c r="D11" s="23">
        <v>998918998545</v>
      </c>
      <c r="E11">
        <f t="shared" si="0"/>
        <v>998918998545</v>
      </c>
    </row>
    <row r="12" spans="1:5" ht="39" thickBot="1">
      <c r="A12" s="21"/>
      <c r="B12" s="21" t="s">
        <v>13192</v>
      </c>
      <c r="C12" s="21" t="s">
        <v>8773</v>
      </c>
      <c r="D12" s="23">
        <v>998917757580</v>
      </c>
      <c r="E12">
        <f t="shared" si="0"/>
        <v>998917757580</v>
      </c>
    </row>
    <row r="13" spans="1:5" ht="26.25" thickBot="1">
      <c r="A13" s="27"/>
      <c r="B13" s="27" t="s">
        <v>12706</v>
      </c>
      <c r="C13" s="27" t="s">
        <v>12707</v>
      </c>
      <c r="D13" s="28">
        <v>998915567746</v>
      </c>
      <c r="E13">
        <f t="shared" si="0"/>
        <v>998915567746</v>
      </c>
    </row>
    <row r="14" spans="1:5" ht="15" thickBot="1">
      <c r="A14" s="21"/>
      <c r="B14" s="21" t="s">
        <v>12736</v>
      </c>
      <c r="C14" s="21" t="s">
        <v>10654</v>
      </c>
      <c r="D14" s="23">
        <v>998915516588</v>
      </c>
      <c r="E14">
        <f t="shared" si="0"/>
        <v>998915516588</v>
      </c>
    </row>
    <row r="15" spans="1:5" ht="15" thickBot="1">
      <c r="A15" s="21"/>
      <c r="B15" s="23" t="s">
        <v>13311</v>
      </c>
      <c r="C15" s="21" t="s">
        <v>8581</v>
      </c>
      <c r="D15" s="23">
        <v>998911756294</v>
      </c>
      <c r="E15">
        <f t="shared" si="0"/>
        <v>998911756294</v>
      </c>
    </row>
    <row r="16" spans="1:5" ht="15" thickBot="1">
      <c r="A16" s="21"/>
      <c r="B16" s="21" t="s">
        <v>11022</v>
      </c>
      <c r="C16" s="21" t="s">
        <v>11193</v>
      </c>
      <c r="D16" s="21">
        <v>998909002670</v>
      </c>
      <c r="E16">
        <f t="shared" si="0"/>
        <v>998909002670</v>
      </c>
    </row>
    <row r="17" spans="1:5" ht="26.25" thickBot="1">
      <c r="A17" s="21"/>
      <c r="B17" s="21" t="s">
        <v>12694</v>
      </c>
      <c r="C17" s="21" t="s">
        <v>12695</v>
      </c>
      <c r="D17" s="23">
        <v>998907464733</v>
      </c>
      <c r="E17">
        <f t="shared" si="0"/>
        <v>998907464733</v>
      </c>
    </row>
    <row r="18" spans="1:5" ht="39" thickBot="1">
      <c r="A18" s="21"/>
      <c r="B18" s="21" t="s">
        <v>13442</v>
      </c>
      <c r="C18" s="21" t="s">
        <v>8431</v>
      </c>
      <c r="D18" s="23">
        <v>998905933129</v>
      </c>
      <c r="E18">
        <f t="shared" si="0"/>
        <v>998905933129</v>
      </c>
    </row>
    <row r="19" spans="1:5" ht="26.25" thickBot="1">
      <c r="A19" s="21"/>
      <c r="B19" s="21" t="s">
        <v>4398</v>
      </c>
      <c r="C19" s="21" t="s">
        <v>8717</v>
      </c>
      <c r="D19" s="23">
        <v>998903253241</v>
      </c>
      <c r="E19">
        <f t="shared" si="0"/>
        <v>998903253241</v>
      </c>
    </row>
    <row r="20" spans="1:5" ht="15" thickBot="1">
      <c r="A20" s="21"/>
      <c r="B20" s="21" t="s">
        <v>13212</v>
      </c>
      <c r="C20" s="21" t="s">
        <v>13213</v>
      </c>
      <c r="D20" s="23">
        <v>998902294807</v>
      </c>
      <c r="E20">
        <f t="shared" si="0"/>
        <v>998902294807</v>
      </c>
    </row>
    <row r="21" spans="1:5" ht="15" thickBot="1">
      <c r="A21" s="21"/>
      <c r="B21" s="21" t="s">
        <v>9358</v>
      </c>
      <c r="C21" s="21" t="s">
        <v>9358</v>
      </c>
      <c r="D21" s="21">
        <v>998901872869</v>
      </c>
      <c r="E21">
        <f t="shared" si="0"/>
        <v>998901872869</v>
      </c>
    </row>
    <row r="22" spans="1:5" ht="26.25" thickBot="1">
      <c r="A22" s="21"/>
      <c r="B22" s="21" t="s">
        <v>13117</v>
      </c>
      <c r="C22" s="21" t="s">
        <v>13118</v>
      </c>
      <c r="D22" s="23">
        <v>998900220908</v>
      </c>
      <c r="E22">
        <f t="shared" si="0"/>
        <v>998900220908</v>
      </c>
    </row>
    <row r="23" spans="1:5" ht="15" thickBot="1">
      <c r="A23" s="21"/>
      <c r="B23" s="21" t="s">
        <v>12930</v>
      </c>
      <c r="C23" s="21" t="s">
        <v>12931</v>
      </c>
      <c r="D23" s="21">
        <v>996773543081</v>
      </c>
      <c r="E23">
        <f t="shared" si="0"/>
        <v>996773543081</v>
      </c>
    </row>
    <row r="24" spans="1:5" ht="39" thickBot="1">
      <c r="A24" s="21"/>
      <c r="B24" s="21" t="s">
        <v>12656</v>
      </c>
      <c r="C24" s="21" t="s">
        <v>12657</v>
      </c>
      <c r="D24" s="23">
        <v>994557447653</v>
      </c>
      <c r="E24">
        <f t="shared" si="0"/>
        <v>994557447653</v>
      </c>
    </row>
    <row r="25" spans="1:5" ht="15" thickBot="1">
      <c r="A25" s="21"/>
      <c r="B25" s="21" t="s">
        <v>13786</v>
      </c>
      <c r="C25" s="21" t="s">
        <v>8604</v>
      </c>
      <c r="D25" s="23">
        <v>905395056020</v>
      </c>
      <c r="E25">
        <f t="shared" si="0"/>
        <v>905395056020</v>
      </c>
    </row>
    <row r="26" spans="1:5" ht="39" thickBot="1">
      <c r="A26" s="21"/>
      <c r="B26" s="21" t="s">
        <v>13518</v>
      </c>
      <c r="C26" s="21" t="s">
        <v>13519</v>
      </c>
      <c r="D26" s="23">
        <v>818042769555</v>
      </c>
      <c r="E26">
        <f t="shared" si="0"/>
        <v>818042769555</v>
      </c>
    </row>
    <row r="27" spans="1:5" ht="39" thickBot="1">
      <c r="A27" s="21"/>
      <c r="B27" s="21" t="s">
        <v>12830</v>
      </c>
      <c r="C27" s="21" t="s">
        <v>12831</v>
      </c>
      <c r="D27" s="23">
        <v>491626177227</v>
      </c>
      <c r="E27">
        <f t="shared" si="0"/>
        <v>491626177227</v>
      </c>
    </row>
    <row r="28" spans="1:5" ht="64.5" thickBot="1">
      <c r="A28" s="21"/>
      <c r="B28" s="21" t="s">
        <v>12795</v>
      </c>
      <c r="C28" s="21" t="s">
        <v>12796</v>
      </c>
      <c r="D28" s="23">
        <v>491606555888</v>
      </c>
      <c r="E28">
        <f t="shared" si="0"/>
        <v>491606555888</v>
      </c>
    </row>
    <row r="29" spans="1:5" ht="15" thickBot="1">
      <c r="A29" s="21"/>
      <c r="B29" s="21" t="s">
        <v>12722</v>
      </c>
      <c r="C29" s="21" t="s">
        <v>7768</v>
      </c>
      <c r="D29" s="23">
        <v>447511204733</v>
      </c>
      <c r="E29">
        <f t="shared" si="0"/>
        <v>447511204733</v>
      </c>
    </row>
    <row r="30" spans="1:5" ht="39" thickBot="1">
      <c r="A30" s="21"/>
      <c r="B30" s="21" t="s">
        <v>13183</v>
      </c>
      <c r="C30" s="21" t="s">
        <v>8283</v>
      </c>
      <c r="D30" s="23">
        <v>420775372388</v>
      </c>
      <c r="E30">
        <f t="shared" si="0"/>
        <v>420775372388</v>
      </c>
    </row>
    <row r="31" spans="1:5" ht="15" thickBot="1">
      <c r="A31" s="21"/>
      <c r="B31" s="21" t="s">
        <v>13026</v>
      </c>
      <c r="C31" s="21" t="s">
        <v>8694</v>
      </c>
      <c r="D31" s="23">
        <v>420608356995</v>
      </c>
      <c r="E31">
        <f t="shared" si="0"/>
        <v>420608356995</v>
      </c>
    </row>
    <row r="32" spans="1:5" ht="15" thickBot="1">
      <c r="A32" s="21"/>
      <c r="B32" s="21" t="s">
        <v>9562</v>
      </c>
      <c r="C32" s="21" t="s">
        <v>8283</v>
      </c>
      <c r="D32" s="23">
        <v>380995531389</v>
      </c>
      <c r="E32">
        <f t="shared" si="0"/>
        <v>380995531389</v>
      </c>
    </row>
    <row r="33" spans="1:5" ht="26.25" thickBot="1">
      <c r="A33" s="21"/>
      <c r="B33" s="21" t="s">
        <v>13496</v>
      </c>
      <c r="C33" s="21" t="s">
        <v>13497</v>
      </c>
      <c r="D33" s="23">
        <v>380993129713</v>
      </c>
      <c r="E33">
        <f t="shared" si="0"/>
        <v>380993129713</v>
      </c>
    </row>
    <row r="34" spans="1:5" ht="26.25" thickBot="1">
      <c r="A34" s="27"/>
      <c r="B34" s="27" t="s">
        <v>12770</v>
      </c>
      <c r="C34" s="27" t="s">
        <v>10656</v>
      </c>
      <c r="D34" s="28">
        <v>380971453324</v>
      </c>
      <c r="E34">
        <f t="shared" si="0"/>
        <v>380971453324</v>
      </c>
    </row>
    <row r="35" spans="1:5" ht="26.25" thickBot="1">
      <c r="A35" s="21"/>
      <c r="B35" s="21" t="s">
        <v>13754</v>
      </c>
      <c r="C35" s="21" t="s">
        <v>8643</v>
      </c>
      <c r="D35" s="21">
        <v>380966456679</v>
      </c>
      <c r="E35">
        <f t="shared" si="0"/>
        <v>380966456679</v>
      </c>
    </row>
    <row r="36" spans="1:5" ht="15" thickBot="1">
      <c r="A36" s="21"/>
      <c r="B36" s="21" t="s">
        <v>8206</v>
      </c>
      <c r="C36" s="21" t="s">
        <v>8206</v>
      </c>
      <c r="D36" s="23">
        <v>380965824845</v>
      </c>
      <c r="E36">
        <f t="shared" si="0"/>
        <v>380965824845</v>
      </c>
    </row>
    <row r="37" spans="1:5" ht="15" thickBot="1">
      <c r="A37" s="27"/>
      <c r="B37" s="28">
        <v>761921856490</v>
      </c>
      <c r="C37" s="27" t="s">
        <v>12773</v>
      </c>
      <c r="D37" s="28">
        <v>380960928245</v>
      </c>
      <c r="E37">
        <f t="shared" si="0"/>
        <v>380960928245</v>
      </c>
    </row>
    <row r="38" spans="1:5" ht="15" thickBot="1">
      <c r="A38" s="21"/>
      <c r="B38" s="21" t="s">
        <v>13355</v>
      </c>
      <c r="C38" s="21" t="s">
        <v>8895</v>
      </c>
      <c r="D38" s="23">
        <v>380960527931</v>
      </c>
      <c r="E38">
        <f t="shared" si="0"/>
        <v>380960527931</v>
      </c>
    </row>
    <row r="39" spans="1:5" ht="26.25" thickBot="1">
      <c r="A39" s="29"/>
      <c r="B39" s="29" t="s">
        <v>12592</v>
      </c>
      <c r="C39" s="29" t="s">
        <v>8862</v>
      </c>
      <c r="D39" s="30">
        <v>380958638531</v>
      </c>
      <c r="E39">
        <f t="shared" si="0"/>
        <v>380958638531</v>
      </c>
    </row>
    <row r="40" spans="1:5" ht="26.25" thickBot="1">
      <c r="A40" s="21"/>
      <c r="B40" s="21" t="s">
        <v>13270</v>
      </c>
      <c r="C40" s="21" t="s">
        <v>8717</v>
      </c>
      <c r="D40" s="21">
        <v>380955371768</v>
      </c>
      <c r="E40">
        <f t="shared" si="0"/>
        <v>380955371768</v>
      </c>
    </row>
    <row r="41" spans="1:5" ht="64.5" thickBot="1">
      <c r="A41" s="21"/>
      <c r="B41" s="21" t="s">
        <v>8479</v>
      </c>
      <c r="C41" s="21" t="s">
        <v>13547</v>
      </c>
      <c r="D41" s="23">
        <v>380953222994</v>
      </c>
      <c r="E41">
        <f t="shared" si="0"/>
        <v>380953222994</v>
      </c>
    </row>
    <row r="42" spans="1:5" ht="15" thickBot="1">
      <c r="A42" s="21"/>
      <c r="B42" s="21" t="s">
        <v>12487</v>
      </c>
      <c r="C42" s="21" t="s">
        <v>10442</v>
      </c>
      <c r="D42" s="23">
        <v>380950362813</v>
      </c>
      <c r="E42">
        <f t="shared" si="0"/>
        <v>380950362813</v>
      </c>
    </row>
    <row r="43" spans="1:5" ht="15" thickBot="1">
      <c r="A43" s="21"/>
      <c r="B43" s="21" t="s">
        <v>13359</v>
      </c>
      <c r="C43" s="21" t="s">
        <v>9210</v>
      </c>
      <c r="D43" s="23">
        <v>380937931946</v>
      </c>
      <c r="E43">
        <f t="shared" si="0"/>
        <v>380937931946</v>
      </c>
    </row>
    <row r="44" spans="1:5" ht="15" thickBot="1">
      <c r="A44" s="21"/>
      <c r="B44" s="21" t="s">
        <v>8206</v>
      </c>
      <c r="C44" s="21" t="s">
        <v>8206</v>
      </c>
      <c r="D44" s="23">
        <v>380931076032</v>
      </c>
      <c r="E44">
        <f t="shared" si="0"/>
        <v>380931076032</v>
      </c>
    </row>
    <row r="45" spans="1:5" ht="26.25" thickBot="1">
      <c r="A45" s="21"/>
      <c r="B45" s="21" t="s">
        <v>12822</v>
      </c>
      <c r="C45" s="21" t="s">
        <v>8325</v>
      </c>
      <c r="D45" s="23">
        <v>380737307077</v>
      </c>
      <c r="E45">
        <f t="shared" si="0"/>
        <v>380737307077</v>
      </c>
    </row>
    <row r="46" spans="1:5" ht="39" thickBot="1">
      <c r="A46" s="21"/>
      <c r="B46" s="21" t="s">
        <v>13638</v>
      </c>
      <c r="C46" s="21" t="s">
        <v>8365</v>
      </c>
      <c r="D46" s="23">
        <v>380731175870</v>
      </c>
      <c r="E46">
        <f t="shared" si="0"/>
        <v>380731175870</v>
      </c>
    </row>
    <row r="47" spans="1:5" ht="26.25" thickBot="1">
      <c r="A47" s="21"/>
      <c r="B47" s="21" t="s">
        <v>13380</v>
      </c>
      <c r="C47" s="21" t="s">
        <v>11431</v>
      </c>
      <c r="D47" s="23">
        <v>380689805575</v>
      </c>
      <c r="E47">
        <f t="shared" si="0"/>
        <v>380689805575</v>
      </c>
    </row>
    <row r="48" spans="1:5" ht="26.25" thickBot="1">
      <c r="A48" s="21"/>
      <c r="B48" s="21" t="s">
        <v>12594</v>
      </c>
      <c r="C48" s="21" t="s">
        <v>8434</v>
      </c>
      <c r="D48" s="23">
        <v>380688067121</v>
      </c>
      <c r="E48">
        <f t="shared" si="0"/>
        <v>380688067121</v>
      </c>
    </row>
    <row r="49" spans="1:5" ht="26.25" thickBot="1">
      <c r="A49" s="21"/>
      <c r="B49" s="21" t="s">
        <v>13455</v>
      </c>
      <c r="C49" s="21" t="s">
        <v>8304</v>
      </c>
      <c r="D49" s="21">
        <v>380677777618</v>
      </c>
      <c r="E49">
        <f t="shared" si="0"/>
        <v>380677777618</v>
      </c>
    </row>
    <row r="50" spans="1:5" ht="15" thickBot="1">
      <c r="A50" s="21"/>
      <c r="B50" s="21" t="s">
        <v>8186</v>
      </c>
      <c r="C50" s="21" t="s">
        <v>8186</v>
      </c>
      <c r="D50" s="23">
        <v>380675673764</v>
      </c>
      <c r="E50">
        <f t="shared" si="0"/>
        <v>380675673764</v>
      </c>
    </row>
    <row r="51" spans="1:5" ht="15" thickBot="1">
      <c r="A51" s="21"/>
      <c r="B51" s="21" t="s">
        <v>8479</v>
      </c>
      <c r="C51" s="21" t="s">
        <v>8479</v>
      </c>
      <c r="D51" s="23">
        <v>380660187037</v>
      </c>
      <c r="E51">
        <f t="shared" si="0"/>
        <v>380660187037</v>
      </c>
    </row>
    <row r="52" spans="1:5" ht="26.25" thickBot="1">
      <c r="A52" s="21"/>
      <c r="B52" s="21" t="s">
        <v>13744</v>
      </c>
      <c r="C52" s="21" t="s">
        <v>13010</v>
      </c>
      <c r="D52" s="23">
        <v>380636743349</v>
      </c>
      <c r="E52">
        <f t="shared" si="0"/>
        <v>380636743349</v>
      </c>
    </row>
    <row r="53" spans="1:5" ht="64.5" thickBot="1">
      <c r="A53" s="21"/>
      <c r="B53" s="21" t="s">
        <v>12800</v>
      </c>
      <c r="C53" s="21" t="s">
        <v>12801</v>
      </c>
      <c r="D53" s="23">
        <v>380509452811</v>
      </c>
      <c r="E53">
        <f t="shared" si="0"/>
        <v>380509452811</v>
      </c>
    </row>
    <row r="54" spans="1:5" ht="15" thickBot="1">
      <c r="A54" s="21"/>
      <c r="B54" s="21" t="s">
        <v>9358</v>
      </c>
      <c r="C54" s="21" t="s">
        <v>9358</v>
      </c>
      <c r="D54" s="23">
        <v>380508349881</v>
      </c>
      <c r="E54">
        <f t="shared" si="0"/>
        <v>380508349881</v>
      </c>
    </row>
    <row r="55" spans="1:5" ht="15" thickBot="1">
      <c r="A55" s="21"/>
      <c r="B55" s="21" t="s">
        <v>13045</v>
      </c>
      <c r="C55" s="21" t="s">
        <v>8479</v>
      </c>
      <c r="D55" s="23">
        <v>380502650449</v>
      </c>
      <c r="E55">
        <f t="shared" si="0"/>
        <v>380502650449</v>
      </c>
    </row>
    <row r="56" spans="1:5" ht="15" thickBot="1">
      <c r="A56" s="21"/>
      <c r="B56" s="21" t="s">
        <v>11908</v>
      </c>
      <c r="C56" s="21" t="s">
        <v>8304</v>
      </c>
      <c r="D56" s="23">
        <v>375299609420</v>
      </c>
      <c r="E56">
        <f t="shared" si="0"/>
        <v>375299609420</v>
      </c>
    </row>
    <row r="57" spans="1:5" ht="26.25" thickBot="1">
      <c r="A57" s="27"/>
      <c r="B57" s="27" t="s">
        <v>12758</v>
      </c>
      <c r="C57" s="27" t="s">
        <v>11346</v>
      </c>
      <c r="D57" s="28">
        <v>375297989198</v>
      </c>
      <c r="E57">
        <f t="shared" si="0"/>
        <v>375297989198</v>
      </c>
    </row>
    <row r="58" spans="1:5" ht="26.25" thickBot="1">
      <c r="A58" s="21"/>
      <c r="B58" s="21" t="s">
        <v>13358</v>
      </c>
      <c r="C58" s="21" t="s">
        <v>8431</v>
      </c>
      <c r="D58" s="23">
        <v>375297229547</v>
      </c>
      <c r="E58">
        <f t="shared" si="0"/>
        <v>375297229547</v>
      </c>
    </row>
    <row r="59" spans="1:5" ht="15" thickBot="1">
      <c r="A59" s="27"/>
      <c r="B59" s="27" t="s">
        <v>8479</v>
      </c>
      <c r="C59" s="27" t="s">
        <v>8479</v>
      </c>
      <c r="D59" s="28">
        <v>375296254312</v>
      </c>
      <c r="E59">
        <f t="shared" si="0"/>
        <v>375296254312</v>
      </c>
    </row>
    <row r="60" spans="1:5" ht="26.25" thickBot="1">
      <c r="A60" s="21"/>
      <c r="B60" s="21" t="s">
        <v>12669</v>
      </c>
      <c r="C60" s="21" t="s">
        <v>8479</v>
      </c>
      <c r="D60" s="23">
        <v>375293718137</v>
      </c>
      <c r="E60">
        <f t="shared" si="0"/>
        <v>375293718137</v>
      </c>
    </row>
    <row r="61" spans="1:5" ht="26.25" thickBot="1">
      <c r="A61" s="21"/>
      <c r="B61" s="21" t="s">
        <v>13283</v>
      </c>
      <c r="C61" s="21" t="s">
        <v>13284</v>
      </c>
      <c r="D61" s="23">
        <v>359898653739</v>
      </c>
      <c r="E61">
        <f t="shared" si="0"/>
        <v>359898653739</v>
      </c>
    </row>
    <row r="62" spans="1:5" ht="26.25" thickBot="1">
      <c r="A62" s="21"/>
      <c r="B62" s="21" t="s">
        <v>12693</v>
      </c>
      <c r="C62" s="21" t="s">
        <v>8579</v>
      </c>
      <c r="D62" s="23">
        <v>359879326245</v>
      </c>
      <c r="E62">
        <f t="shared" si="0"/>
        <v>359879326245</v>
      </c>
    </row>
    <row r="63" spans="1:5" ht="15" thickBot="1">
      <c r="A63" s="27"/>
      <c r="B63" s="27" t="s">
        <v>12684</v>
      </c>
      <c r="C63" s="27" t="s">
        <v>10029</v>
      </c>
      <c r="D63" s="28">
        <v>359879033495</v>
      </c>
      <c r="E63">
        <f t="shared" si="0"/>
        <v>359879033495</v>
      </c>
    </row>
    <row r="64" spans="1:5" ht="15" thickBot="1">
      <c r="A64" s="21">
        <v>0</v>
      </c>
      <c r="B64" s="21" t="s">
        <v>12473</v>
      </c>
      <c r="C64" s="21" t="s">
        <v>12473</v>
      </c>
      <c r="D64" s="23">
        <v>89999602086</v>
      </c>
      <c r="E64">
        <f t="shared" si="0"/>
        <v>89999602086</v>
      </c>
    </row>
    <row r="65" spans="1:5" ht="15" thickBot="1">
      <c r="A65" s="21"/>
      <c r="B65" s="21" t="s">
        <v>8283</v>
      </c>
      <c r="C65" s="21" t="s">
        <v>8283</v>
      </c>
      <c r="D65" s="23">
        <v>89673571238</v>
      </c>
      <c r="E65">
        <f t="shared" si="0"/>
        <v>89673571238</v>
      </c>
    </row>
    <row r="66" spans="1:5" ht="64.5" thickBot="1">
      <c r="A66" s="21"/>
      <c r="B66" s="21" t="s">
        <v>13659</v>
      </c>
      <c r="C66" s="21" t="s">
        <v>13660</v>
      </c>
      <c r="D66" s="23">
        <v>89632617119</v>
      </c>
      <c r="E66">
        <f t="shared" ref="E66:E129" si="1">IF(A66&lt;1,D66,)</f>
        <v>89632617119</v>
      </c>
    </row>
    <row r="67" spans="1:5" ht="15" thickBot="1">
      <c r="A67" s="21"/>
      <c r="B67" s="21" t="s">
        <v>12678</v>
      </c>
      <c r="C67" s="21" t="s">
        <v>8365</v>
      </c>
      <c r="D67" s="21">
        <v>89631973308</v>
      </c>
      <c r="E67">
        <f t="shared" si="1"/>
        <v>89631973308</v>
      </c>
    </row>
    <row r="68" spans="1:5" ht="26.25" thickBot="1">
      <c r="A68" s="27"/>
      <c r="B68" s="27" t="s">
        <v>12493</v>
      </c>
      <c r="C68" s="27" t="s">
        <v>12494</v>
      </c>
      <c r="D68" s="28">
        <v>89513388932</v>
      </c>
      <c r="E68">
        <f t="shared" si="1"/>
        <v>89513388932</v>
      </c>
    </row>
    <row r="69" spans="1:5" ht="15" thickBot="1">
      <c r="A69" s="21"/>
      <c r="B69" s="21" t="s">
        <v>8206</v>
      </c>
      <c r="C69" s="21" t="s">
        <v>8206</v>
      </c>
      <c r="D69" s="23">
        <v>89501273168</v>
      </c>
      <c r="E69">
        <f t="shared" si="1"/>
        <v>89501273168</v>
      </c>
    </row>
    <row r="70" spans="1:5" ht="26.25" thickBot="1">
      <c r="A70" s="21"/>
      <c r="B70" s="21" t="s">
        <v>12642</v>
      </c>
      <c r="C70" s="21" t="s">
        <v>9358</v>
      </c>
      <c r="D70" s="23">
        <v>89326125801</v>
      </c>
      <c r="E70">
        <f t="shared" si="1"/>
        <v>89326125801</v>
      </c>
    </row>
    <row r="71" spans="1:5" ht="15" thickBot="1">
      <c r="A71" s="21"/>
      <c r="B71" s="21" t="s">
        <v>9358</v>
      </c>
      <c r="C71" s="21" t="s">
        <v>9358</v>
      </c>
      <c r="D71" s="21">
        <v>89303495574</v>
      </c>
      <c r="E71">
        <f t="shared" si="1"/>
        <v>89303495574</v>
      </c>
    </row>
    <row r="72" spans="1:5" ht="51.75" thickBot="1">
      <c r="A72" s="21"/>
      <c r="B72" s="21" t="s">
        <v>13810</v>
      </c>
      <c r="C72" s="21" t="s">
        <v>8431</v>
      </c>
      <c r="D72" s="23">
        <v>89295400326</v>
      </c>
      <c r="E72">
        <f t="shared" si="1"/>
        <v>89295400326</v>
      </c>
    </row>
    <row r="73" spans="1:5" ht="51.75" thickBot="1">
      <c r="A73" s="21"/>
      <c r="B73" s="21" t="s">
        <v>12639</v>
      </c>
      <c r="C73" s="21" t="s">
        <v>12640</v>
      </c>
      <c r="D73" s="23">
        <v>89246743387</v>
      </c>
      <c r="E73">
        <f t="shared" si="1"/>
        <v>89246743387</v>
      </c>
    </row>
    <row r="74" spans="1:5" ht="39" thickBot="1">
      <c r="A74" s="21"/>
      <c r="B74" s="21" t="s">
        <v>12488</v>
      </c>
      <c r="C74" s="21" t="s">
        <v>8325</v>
      </c>
      <c r="D74" s="23">
        <v>89219342707</v>
      </c>
      <c r="E74">
        <f t="shared" si="1"/>
        <v>89219342707</v>
      </c>
    </row>
    <row r="75" spans="1:5" ht="15" thickBot="1">
      <c r="A75" s="21"/>
      <c r="B75" s="21" t="s">
        <v>12679</v>
      </c>
      <c r="C75" s="21" t="s">
        <v>9437</v>
      </c>
      <c r="D75" s="21">
        <v>89207440808</v>
      </c>
      <c r="E75">
        <f t="shared" si="1"/>
        <v>89207440808</v>
      </c>
    </row>
    <row r="76" spans="1:5" ht="26.25" thickBot="1">
      <c r="A76" s="21"/>
      <c r="B76" s="21" t="s">
        <v>12926</v>
      </c>
      <c r="C76" s="21" t="s">
        <v>9358</v>
      </c>
      <c r="D76" s="23">
        <v>89183785617</v>
      </c>
      <c r="E76">
        <f t="shared" si="1"/>
        <v>89183785617</v>
      </c>
    </row>
    <row r="77" spans="1:5" ht="15" thickBot="1">
      <c r="A77" s="21"/>
      <c r="B77" s="21" t="s">
        <v>7919</v>
      </c>
      <c r="C77" s="21" t="s">
        <v>7919</v>
      </c>
      <c r="D77" s="21">
        <v>89182247085</v>
      </c>
      <c r="E77">
        <f t="shared" si="1"/>
        <v>89182247085</v>
      </c>
    </row>
    <row r="78" spans="1:5" ht="15" thickBot="1">
      <c r="A78" s="27"/>
      <c r="B78" s="27" t="s">
        <v>12746</v>
      </c>
      <c r="C78" s="27" t="s">
        <v>9581</v>
      </c>
      <c r="D78" s="28">
        <v>89180976093</v>
      </c>
      <c r="E78">
        <f t="shared" si="1"/>
        <v>89180976093</v>
      </c>
    </row>
    <row r="79" spans="1:5" ht="26.25" thickBot="1">
      <c r="A79" s="21"/>
      <c r="B79" s="21" t="s">
        <v>13602</v>
      </c>
      <c r="C79" s="21" t="s">
        <v>8479</v>
      </c>
      <c r="D79" s="23">
        <v>89169132065</v>
      </c>
      <c r="E79">
        <f t="shared" si="1"/>
        <v>89169132065</v>
      </c>
    </row>
    <row r="80" spans="1:5" ht="26.25" thickBot="1">
      <c r="A80" s="21"/>
      <c r="B80" s="21" t="s">
        <v>13650</v>
      </c>
      <c r="C80" s="21" t="s">
        <v>13651</v>
      </c>
      <c r="D80" s="23">
        <v>89155880967</v>
      </c>
      <c r="E80">
        <f t="shared" si="1"/>
        <v>89155880967</v>
      </c>
    </row>
    <row r="81" spans="1:5" ht="15" thickBot="1">
      <c r="A81" s="21"/>
      <c r="B81" s="21" t="s">
        <v>8581</v>
      </c>
      <c r="C81" s="21" t="s">
        <v>8581</v>
      </c>
      <c r="D81" s="23">
        <v>89152623085</v>
      </c>
      <c r="E81">
        <f t="shared" si="1"/>
        <v>89152623085</v>
      </c>
    </row>
    <row r="82" spans="1:5" ht="64.5" thickBot="1">
      <c r="A82" s="21"/>
      <c r="B82" s="21" t="s">
        <v>8479</v>
      </c>
      <c r="C82" s="21" t="s">
        <v>13643</v>
      </c>
      <c r="D82" s="23">
        <v>89150650016</v>
      </c>
      <c r="E82">
        <f t="shared" si="1"/>
        <v>89150650016</v>
      </c>
    </row>
    <row r="83" spans="1:5" ht="26.25" thickBot="1">
      <c r="A83" s="21"/>
      <c r="B83" s="21" t="s">
        <v>8866</v>
      </c>
      <c r="C83" s="21" t="s">
        <v>12961</v>
      </c>
      <c r="D83" s="23">
        <v>89141774574</v>
      </c>
      <c r="E83">
        <f t="shared" si="1"/>
        <v>89141774574</v>
      </c>
    </row>
    <row r="84" spans="1:5" ht="26.25" thickBot="1">
      <c r="A84" s="21"/>
      <c r="B84" s="21" t="s">
        <v>12933</v>
      </c>
      <c r="C84" s="21" t="s">
        <v>12934</v>
      </c>
      <c r="D84" s="21">
        <v>89109468666</v>
      </c>
      <c r="E84">
        <f t="shared" si="1"/>
        <v>89109468666</v>
      </c>
    </row>
    <row r="85" spans="1:5" ht="179.25" thickBot="1">
      <c r="A85" s="21"/>
      <c r="B85" s="21" t="s">
        <v>13506</v>
      </c>
      <c r="C85" s="21" t="s">
        <v>13507</v>
      </c>
      <c r="D85" s="23">
        <v>89090056789</v>
      </c>
      <c r="E85">
        <f t="shared" si="1"/>
        <v>89090056789</v>
      </c>
    </row>
    <row r="86" spans="1:5" ht="39" thickBot="1">
      <c r="A86" s="21"/>
      <c r="B86" s="21" t="s">
        <v>13066</v>
      </c>
      <c r="C86" s="21" t="s">
        <v>13067</v>
      </c>
      <c r="D86" s="23">
        <v>89089179050</v>
      </c>
      <c r="E86">
        <f t="shared" si="1"/>
        <v>89089179050</v>
      </c>
    </row>
    <row r="87" spans="1:5" ht="26.25" thickBot="1">
      <c r="A87" s="27"/>
      <c r="B87" s="27" t="s">
        <v>12769</v>
      </c>
      <c r="C87" s="27" t="s">
        <v>8206</v>
      </c>
      <c r="D87" s="28">
        <v>89063377704</v>
      </c>
      <c r="E87">
        <f t="shared" si="1"/>
        <v>89063377704</v>
      </c>
    </row>
    <row r="88" spans="1:5" ht="51.75" thickBot="1">
      <c r="A88" s="21"/>
      <c r="B88" s="21" t="s">
        <v>230</v>
      </c>
      <c r="C88" s="21" t="s">
        <v>12877</v>
      </c>
      <c r="D88" s="21">
        <v>89049860544</v>
      </c>
      <c r="E88">
        <f t="shared" si="1"/>
        <v>89049860544</v>
      </c>
    </row>
    <row r="89" spans="1:5" ht="51.75" thickBot="1">
      <c r="A89" s="21"/>
      <c r="B89" s="21" t="s">
        <v>12744</v>
      </c>
      <c r="C89" s="21" t="s">
        <v>12745</v>
      </c>
      <c r="D89" s="23">
        <v>89041476505</v>
      </c>
      <c r="E89">
        <f t="shared" si="1"/>
        <v>89041476505</v>
      </c>
    </row>
    <row r="90" spans="1:5" ht="64.5" thickBot="1">
      <c r="A90" s="21"/>
      <c r="B90" s="21" t="s">
        <v>12680</v>
      </c>
      <c r="C90" s="21" t="s">
        <v>12681</v>
      </c>
      <c r="D90" s="21">
        <v>87760046665</v>
      </c>
      <c r="E90">
        <f t="shared" si="1"/>
        <v>87760046665</v>
      </c>
    </row>
    <row r="91" spans="1:5" ht="15" thickBot="1">
      <c r="A91" s="27"/>
      <c r="B91" s="27" t="s">
        <v>10907</v>
      </c>
      <c r="C91" s="27" t="s">
        <v>8771</v>
      </c>
      <c r="D91" s="28">
        <v>87052260987</v>
      </c>
      <c r="E91">
        <f t="shared" si="1"/>
        <v>87052260987</v>
      </c>
    </row>
    <row r="92" spans="1:5" ht="26.25" thickBot="1">
      <c r="A92" s="21"/>
      <c r="B92" s="21" t="s">
        <v>12987</v>
      </c>
      <c r="C92" s="21" t="s">
        <v>12705</v>
      </c>
      <c r="D92" s="23">
        <v>87023068592</v>
      </c>
      <c r="E92">
        <f t="shared" si="1"/>
        <v>87023068592</v>
      </c>
    </row>
    <row r="93" spans="1:5" ht="26.25" thickBot="1">
      <c r="A93" s="21"/>
      <c r="B93" s="21" t="s">
        <v>12602</v>
      </c>
      <c r="C93" s="21" t="s">
        <v>8581</v>
      </c>
      <c r="D93" s="23">
        <v>80993137535</v>
      </c>
      <c r="E93">
        <f t="shared" si="1"/>
        <v>80993137535</v>
      </c>
    </row>
    <row r="94" spans="1:5" ht="26.25" thickBot="1">
      <c r="A94" s="21"/>
      <c r="B94" s="21" t="s">
        <v>13310</v>
      </c>
      <c r="C94" s="21" t="s">
        <v>9197</v>
      </c>
      <c r="D94" s="23">
        <v>79999342837</v>
      </c>
      <c r="E94">
        <f t="shared" si="1"/>
        <v>79999342837</v>
      </c>
    </row>
    <row r="95" spans="1:5" ht="39" thickBot="1">
      <c r="A95" s="21"/>
      <c r="B95" s="21" t="s">
        <v>13403</v>
      </c>
      <c r="C95" s="21" t="s">
        <v>13404</v>
      </c>
      <c r="D95" s="23">
        <v>79999284364</v>
      </c>
      <c r="E95">
        <f t="shared" si="1"/>
        <v>79999284364</v>
      </c>
    </row>
    <row r="96" spans="1:5" ht="39" thickBot="1">
      <c r="A96" s="21"/>
      <c r="B96" s="21" t="s">
        <v>13838</v>
      </c>
      <c r="C96" s="21" t="s">
        <v>8283</v>
      </c>
      <c r="D96" s="23">
        <v>79900063152</v>
      </c>
      <c r="E96">
        <f t="shared" si="1"/>
        <v>79900063152</v>
      </c>
    </row>
    <row r="97" spans="1:5" ht="26.25" thickBot="1">
      <c r="A97" s="21"/>
      <c r="B97" s="21" t="s">
        <v>12533</v>
      </c>
      <c r="C97" s="21" t="s">
        <v>8431</v>
      </c>
      <c r="D97" s="23">
        <v>79851181860</v>
      </c>
      <c r="E97">
        <f t="shared" si="1"/>
        <v>79851181860</v>
      </c>
    </row>
    <row r="98" spans="1:5" ht="39" thickBot="1">
      <c r="A98" s="21"/>
      <c r="B98" s="21" t="s">
        <v>7768</v>
      </c>
      <c r="C98" s="21" t="s">
        <v>13068</v>
      </c>
      <c r="D98" s="23">
        <v>79825313810</v>
      </c>
      <c r="E98">
        <f t="shared" si="1"/>
        <v>79825313810</v>
      </c>
    </row>
    <row r="99" spans="1:5" ht="26.25" thickBot="1">
      <c r="A99" s="21"/>
      <c r="B99" s="21" t="s">
        <v>12794</v>
      </c>
      <c r="C99" s="21" t="s">
        <v>8619</v>
      </c>
      <c r="D99" s="23">
        <v>79788544421</v>
      </c>
      <c r="E99">
        <f t="shared" si="1"/>
        <v>79788544421</v>
      </c>
    </row>
    <row r="100" spans="1:5" ht="26.25" thickBot="1">
      <c r="A100" s="21"/>
      <c r="B100" s="21" t="s">
        <v>13546</v>
      </c>
      <c r="C100" s="21" t="s">
        <v>7919</v>
      </c>
      <c r="D100" s="23">
        <v>79780114378</v>
      </c>
      <c r="E100">
        <f t="shared" si="1"/>
        <v>79780114378</v>
      </c>
    </row>
    <row r="101" spans="1:5" ht="26.25" thickBot="1">
      <c r="A101" s="21"/>
      <c r="B101" s="21" t="s">
        <v>12823</v>
      </c>
      <c r="C101" s="21" t="s">
        <v>8643</v>
      </c>
      <c r="D101" s="21">
        <v>79780110027</v>
      </c>
      <c r="E101">
        <f t="shared" si="1"/>
        <v>79780110027</v>
      </c>
    </row>
    <row r="102" spans="1:5" ht="15" thickBot="1">
      <c r="A102" s="21"/>
      <c r="B102" s="21" t="s">
        <v>8431</v>
      </c>
      <c r="C102" s="21" t="s">
        <v>9188</v>
      </c>
      <c r="D102" s="23">
        <v>79654044713</v>
      </c>
      <c r="E102">
        <f t="shared" si="1"/>
        <v>79654044713</v>
      </c>
    </row>
    <row r="103" spans="1:5" ht="26.25" thickBot="1">
      <c r="A103" s="21"/>
      <c r="B103" s="21" t="s">
        <v>13021</v>
      </c>
      <c r="C103" s="21" t="s">
        <v>8410</v>
      </c>
      <c r="D103" s="23">
        <v>79632712673</v>
      </c>
      <c r="E103">
        <f t="shared" si="1"/>
        <v>79632712673</v>
      </c>
    </row>
    <row r="104" spans="1:5" ht="39" thickBot="1">
      <c r="A104" s="21"/>
      <c r="B104" s="21" t="s">
        <v>12897</v>
      </c>
      <c r="C104" s="21" t="s">
        <v>7768</v>
      </c>
      <c r="D104" s="21">
        <v>79630415751</v>
      </c>
      <c r="E104">
        <f t="shared" si="1"/>
        <v>79630415751</v>
      </c>
    </row>
    <row r="105" spans="1:5" ht="51.75" thickBot="1">
      <c r="A105" s="21"/>
      <c r="B105" s="21" t="s">
        <v>7399</v>
      </c>
      <c r="C105" s="21" t="s">
        <v>13533</v>
      </c>
      <c r="D105" s="23">
        <v>79629156250</v>
      </c>
      <c r="E105">
        <f t="shared" si="1"/>
        <v>79629156250</v>
      </c>
    </row>
    <row r="106" spans="1:5" ht="26.25" thickBot="1">
      <c r="A106" s="21"/>
      <c r="B106" s="21" t="s">
        <v>13591</v>
      </c>
      <c r="C106" s="21" t="s">
        <v>8206</v>
      </c>
      <c r="D106" s="23">
        <v>79625002621</v>
      </c>
      <c r="E106">
        <f t="shared" si="1"/>
        <v>79625002621</v>
      </c>
    </row>
    <row r="107" spans="1:5" ht="15" thickBot="1">
      <c r="A107" s="21"/>
      <c r="B107" s="21" t="s">
        <v>8431</v>
      </c>
      <c r="C107" s="21" t="s">
        <v>8431</v>
      </c>
      <c r="D107" s="23">
        <v>79622914397</v>
      </c>
      <c r="E107">
        <f t="shared" si="1"/>
        <v>79622914397</v>
      </c>
    </row>
    <row r="108" spans="1:5" ht="39" thickBot="1">
      <c r="A108" s="21"/>
      <c r="B108" s="21" t="s">
        <v>13238</v>
      </c>
      <c r="C108" s="21" t="s">
        <v>8479</v>
      </c>
      <c r="D108" s="21">
        <v>79621197143</v>
      </c>
      <c r="E108">
        <f t="shared" si="1"/>
        <v>79621197143</v>
      </c>
    </row>
    <row r="109" spans="1:5" ht="26.25" thickBot="1">
      <c r="A109" s="21"/>
      <c r="B109" s="21" t="s">
        <v>13316</v>
      </c>
      <c r="C109" s="21" t="s">
        <v>13317</v>
      </c>
      <c r="D109" s="23">
        <v>79608136455</v>
      </c>
      <c r="E109">
        <f t="shared" si="1"/>
        <v>79608136455</v>
      </c>
    </row>
    <row r="110" spans="1:5" ht="15" thickBot="1">
      <c r="A110" s="21"/>
      <c r="B110" s="21" t="s">
        <v>10682</v>
      </c>
      <c r="C110" s="21" t="s">
        <v>10682</v>
      </c>
      <c r="D110" s="23">
        <v>79606479187</v>
      </c>
      <c r="E110">
        <f t="shared" si="1"/>
        <v>79606479187</v>
      </c>
    </row>
    <row r="111" spans="1:5" ht="15" thickBot="1">
      <c r="A111" s="21"/>
      <c r="B111" s="21" t="s">
        <v>10115</v>
      </c>
      <c r="C111" s="21" t="s">
        <v>8304</v>
      </c>
      <c r="D111" s="23">
        <v>79603608663</v>
      </c>
      <c r="E111">
        <f t="shared" si="1"/>
        <v>79603608663</v>
      </c>
    </row>
    <row r="112" spans="1:5" ht="39" thickBot="1">
      <c r="A112" s="21"/>
      <c r="B112" s="21" t="s">
        <v>8903</v>
      </c>
      <c r="C112" s="21" t="s">
        <v>12759</v>
      </c>
      <c r="D112" s="23">
        <v>79529587676</v>
      </c>
      <c r="E112">
        <f t="shared" si="1"/>
        <v>79529587676</v>
      </c>
    </row>
    <row r="113" spans="1:5" ht="26.25" thickBot="1">
      <c r="A113" s="21"/>
      <c r="B113" s="21" t="s">
        <v>13613</v>
      </c>
      <c r="C113" s="21" t="s">
        <v>9194</v>
      </c>
      <c r="D113" s="23">
        <v>79525428440</v>
      </c>
      <c r="E113">
        <f t="shared" si="1"/>
        <v>79525428440</v>
      </c>
    </row>
    <row r="114" spans="1:5" ht="26.25" thickBot="1">
      <c r="A114" s="21"/>
      <c r="B114" s="21" t="s">
        <v>13048</v>
      </c>
      <c r="C114" s="21" t="s">
        <v>8206</v>
      </c>
      <c r="D114" s="23">
        <v>79518098960</v>
      </c>
      <c r="E114">
        <f t="shared" si="1"/>
        <v>79518098960</v>
      </c>
    </row>
    <row r="115" spans="1:5" ht="15" thickBot="1">
      <c r="A115" s="21"/>
      <c r="B115" s="21" t="s">
        <v>8304</v>
      </c>
      <c r="C115" s="21" t="s">
        <v>8304</v>
      </c>
      <c r="D115" s="23">
        <v>79506573541</v>
      </c>
      <c r="E115">
        <f t="shared" si="1"/>
        <v>79506573541</v>
      </c>
    </row>
    <row r="116" spans="1:5" ht="39" thickBot="1">
      <c r="A116" s="21"/>
      <c r="B116" s="21" t="s">
        <v>13377</v>
      </c>
      <c r="C116" s="21" t="s">
        <v>7768</v>
      </c>
      <c r="D116" s="23">
        <v>79504046428</v>
      </c>
      <c r="E116">
        <f t="shared" si="1"/>
        <v>79504046428</v>
      </c>
    </row>
    <row r="117" spans="1:5" ht="15" thickBot="1">
      <c r="A117" s="21"/>
      <c r="B117" s="21" t="s">
        <v>9285</v>
      </c>
      <c r="C117" s="21" t="s">
        <v>9285</v>
      </c>
      <c r="D117" s="21">
        <v>79501780407</v>
      </c>
      <c r="E117">
        <f t="shared" si="1"/>
        <v>79501780407</v>
      </c>
    </row>
    <row r="118" spans="1:5" ht="15" thickBot="1">
      <c r="A118" s="21"/>
      <c r="B118" s="21" t="s">
        <v>8206</v>
      </c>
      <c r="C118" s="21" t="s">
        <v>8206</v>
      </c>
      <c r="D118" s="21">
        <v>79298398571</v>
      </c>
      <c r="E118">
        <f t="shared" si="1"/>
        <v>79298398571</v>
      </c>
    </row>
    <row r="119" spans="1:5" ht="15" thickBot="1">
      <c r="A119" s="27"/>
      <c r="B119" s="27" t="s">
        <v>10946</v>
      </c>
      <c r="C119" s="27" t="s">
        <v>9505</v>
      </c>
      <c r="D119" s="28">
        <v>79281303151</v>
      </c>
      <c r="E119">
        <f t="shared" si="1"/>
        <v>79281303151</v>
      </c>
    </row>
    <row r="120" spans="1:5" ht="39" thickBot="1">
      <c r="A120" s="21"/>
      <c r="B120" s="21" t="s">
        <v>13722</v>
      </c>
      <c r="C120" s="21" t="s">
        <v>13723</v>
      </c>
      <c r="D120" s="23">
        <v>79278925062</v>
      </c>
      <c r="E120">
        <f t="shared" si="1"/>
        <v>79278925062</v>
      </c>
    </row>
    <row r="121" spans="1:5" ht="15" thickBot="1">
      <c r="A121" s="21"/>
      <c r="B121" s="21" t="s">
        <v>12506</v>
      </c>
      <c r="C121" s="21" t="s">
        <v>12507</v>
      </c>
      <c r="D121" s="23">
        <v>79265631651</v>
      </c>
      <c r="E121">
        <f t="shared" si="1"/>
        <v>79265631651</v>
      </c>
    </row>
    <row r="122" spans="1:5" ht="26.25" thickBot="1">
      <c r="A122" s="21"/>
      <c r="B122" s="21" t="s">
        <v>13646</v>
      </c>
      <c r="C122" s="21" t="s">
        <v>13647</v>
      </c>
      <c r="D122" s="23">
        <v>79258322591</v>
      </c>
      <c r="E122">
        <f t="shared" si="1"/>
        <v>79258322591</v>
      </c>
    </row>
    <row r="123" spans="1:5" ht="26.25" thickBot="1">
      <c r="A123" s="21"/>
      <c r="B123" s="21" t="s">
        <v>12799</v>
      </c>
      <c r="C123" s="21" t="s">
        <v>8619</v>
      </c>
      <c r="D123" s="23">
        <v>79246203177</v>
      </c>
      <c r="E123">
        <f t="shared" si="1"/>
        <v>79246203177</v>
      </c>
    </row>
    <row r="124" spans="1:5" ht="26.25" thickBot="1">
      <c r="A124" s="21"/>
      <c r="B124" s="21" t="s">
        <v>12524</v>
      </c>
      <c r="C124" s="21" t="s">
        <v>7768</v>
      </c>
      <c r="D124" s="23">
        <v>79195739759</v>
      </c>
      <c r="E124">
        <f t="shared" si="1"/>
        <v>79195739759</v>
      </c>
    </row>
    <row r="125" spans="1:5" ht="15" thickBot="1">
      <c r="A125" s="27"/>
      <c r="B125" s="27" t="s">
        <v>7399</v>
      </c>
      <c r="C125" s="27" t="s">
        <v>7399</v>
      </c>
      <c r="D125" s="28">
        <v>79174088353</v>
      </c>
      <c r="E125">
        <f t="shared" si="1"/>
        <v>79174088353</v>
      </c>
    </row>
    <row r="126" spans="1:5" ht="15" thickBot="1">
      <c r="A126" s="21"/>
      <c r="B126" s="21" t="s">
        <v>13022</v>
      </c>
      <c r="C126" s="21" t="s">
        <v>8206</v>
      </c>
      <c r="D126" s="21">
        <v>79165677778</v>
      </c>
      <c r="E126">
        <f t="shared" si="1"/>
        <v>79165677778</v>
      </c>
    </row>
    <row r="127" spans="1:5" ht="15" thickBot="1">
      <c r="A127" s="27"/>
      <c r="B127" s="27" t="s">
        <v>7399</v>
      </c>
      <c r="C127" s="27" t="s">
        <v>7399</v>
      </c>
      <c r="D127" s="28">
        <v>79164701248</v>
      </c>
      <c r="E127">
        <f t="shared" si="1"/>
        <v>79164701248</v>
      </c>
    </row>
    <row r="128" spans="1:5" ht="15" thickBot="1">
      <c r="A128" s="21"/>
      <c r="B128" s="21" t="s">
        <v>12942</v>
      </c>
      <c r="C128" s="21" t="s">
        <v>8186</v>
      </c>
      <c r="D128" s="23">
        <v>79164377430</v>
      </c>
      <c r="E128">
        <f t="shared" si="1"/>
        <v>79164377430</v>
      </c>
    </row>
    <row r="129" spans="1:5" ht="26.25" thickBot="1">
      <c r="A129" s="21"/>
      <c r="B129" s="21" t="s">
        <v>13511</v>
      </c>
      <c r="C129" s="21" t="s">
        <v>8186</v>
      </c>
      <c r="D129" s="23">
        <v>79161261902</v>
      </c>
      <c r="E129">
        <f t="shared" si="1"/>
        <v>79161261902</v>
      </c>
    </row>
    <row r="130" spans="1:5" ht="39" thickBot="1">
      <c r="A130" s="21"/>
      <c r="B130" s="21" t="s">
        <v>12703</v>
      </c>
      <c r="C130" s="21" t="s">
        <v>8753</v>
      </c>
      <c r="D130" s="23">
        <v>79159084833</v>
      </c>
      <c r="E130">
        <f t="shared" ref="E130:E193" si="2">IF(A130&lt;1,D130,)</f>
        <v>79159084833</v>
      </c>
    </row>
    <row r="131" spans="1:5" ht="39" thickBot="1">
      <c r="A131" s="21"/>
      <c r="B131" s="21" t="s">
        <v>13205</v>
      </c>
      <c r="C131" s="21" t="s">
        <v>8581</v>
      </c>
      <c r="D131" s="23">
        <v>79153351519</v>
      </c>
      <c r="E131">
        <f t="shared" si="2"/>
        <v>79153351519</v>
      </c>
    </row>
    <row r="132" spans="1:5" ht="15" thickBot="1">
      <c r="A132" s="21"/>
      <c r="B132" s="21" t="s">
        <v>8479</v>
      </c>
      <c r="C132" s="21" t="s">
        <v>8479</v>
      </c>
      <c r="D132" s="23">
        <v>79153046029</v>
      </c>
      <c r="E132">
        <f t="shared" si="2"/>
        <v>79153046029</v>
      </c>
    </row>
    <row r="133" spans="1:5" ht="39" thickBot="1">
      <c r="A133" s="21"/>
      <c r="B133" s="21" t="s">
        <v>12938</v>
      </c>
      <c r="C133" s="21" t="s">
        <v>8581</v>
      </c>
      <c r="D133" s="23">
        <v>79145756712</v>
      </c>
      <c r="E133">
        <f t="shared" si="2"/>
        <v>79145756712</v>
      </c>
    </row>
    <row r="134" spans="1:5" ht="15" thickBot="1">
      <c r="A134" s="21"/>
      <c r="B134" s="21" t="s">
        <v>13495</v>
      </c>
      <c r="C134" s="21" t="s">
        <v>11769</v>
      </c>
      <c r="D134" s="23">
        <v>79139930687</v>
      </c>
      <c r="E134">
        <f t="shared" si="2"/>
        <v>79139930687</v>
      </c>
    </row>
    <row r="135" spans="1:5" ht="26.25" thickBot="1">
      <c r="A135" s="21"/>
      <c r="B135" s="21" t="s">
        <v>13378</v>
      </c>
      <c r="C135" s="21" t="s">
        <v>8479</v>
      </c>
      <c r="D135" s="21">
        <v>79139884542</v>
      </c>
      <c r="E135">
        <f t="shared" si="2"/>
        <v>79139884542</v>
      </c>
    </row>
    <row r="136" spans="1:5" ht="15" thickBot="1">
      <c r="A136" s="27"/>
      <c r="B136" s="27" t="s">
        <v>8866</v>
      </c>
      <c r="C136" s="27" t="s">
        <v>8866</v>
      </c>
      <c r="D136" s="28">
        <v>79137132796</v>
      </c>
      <c r="E136">
        <f t="shared" si="2"/>
        <v>79137132796</v>
      </c>
    </row>
    <row r="137" spans="1:5" ht="26.25" thickBot="1">
      <c r="A137" s="21"/>
      <c r="B137" s="21" t="s">
        <v>13187</v>
      </c>
      <c r="C137" s="21" t="s">
        <v>13188</v>
      </c>
      <c r="D137" s="23">
        <v>79135073870</v>
      </c>
      <c r="E137">
        <f t="shared" si="2"/>
        <v>79135073870</v>
      </c>
    </row>
    <row r="138" spans="1:5" ht="15" thickBot="1">
      <c r="A138" s="21"/>
      <c r="B138" s="21" t="s">
        <v>8304</v>
      </c>
      <c r="C138" s="21" t="s">
        <v>8304</v>
      </c>
      <c r="D138" s="23">
        <v>79122077491</v>
      </c>
      <c r="E138">
        <f t="shared" si="2"/>
        <v>79122077491</v>
      </c>
    </row>
    <row r="139" spans="1:5" ht="15" thickBot="1">
      <c r="A139" s="21"/>
      <c r="B139" s="21" t="s">
        <v>8682</v>
      </c>
      <c r="C139" s="21" t="s">
        <v>7768</v>
      </c>
      <c r="D139" s="23">
        <v>79119517174</v>
      </c>
      <c r="E139">
        <f t="shared" si="2"/>
        <v>79119517174</v>
      </c>
    </row>
    <row r="140" spans="1:5" ht="26.25" thickBot="1">
      <c r="A140" s="21"/>
      <c r="B140" s="21" t="s">
        <v>12661</v>
      </c>
      <c r="C140" s="21" t="s">
        <v>8717</v>
      </c>
      <c r="D140" s="23">
        <v>79111773448</v>
      </c>
      <c r="E140">
        <f t="shared" si="2"/>
        <v>79111773448</v>
      </c>
    </row>
    <row r="141" spans="1:5" ht="39" thickBot="1">
      <c r="A141" s="21"/>
      <c r="B141" s="21" t="s">
        <v>13690</v>
      </c>
      <c r="C141" s="21" t="s">
        <v>8903</v>
      </c>
      <c r="D141" s="21">
        <v>79099016208</v>
      </c>
      <c r="E141">
        <f t="shared" si="2"/>
        <v>79099016208</v>
      </c>
    </row>
    <row r="142" spans="1:5" ht="15" thickBot="1">
      <c r="A142" s="21"/>
      <c r="B142" s="21" t="s">
        <v>12776</v>
      </c>
      <c r="C142" s="21" t="s">
        <v>8206</v>
      </c>
      <c r="D142" s="23">
        <v>79091752677</v>
      </c>
      <c r="E142">
        <f t="shared" si="2"/>
        <v>79091752677</v>
      </c>
    </row>
    <row r="143" spans="1:5" ht="15" thickBot="1">
      <c r="A143" s="21"/>
      <c r="B143" s="21" t="s">
        <v>7399</v>
      </c>
      <c r="C143" s="21" t="s">
        <v>7399</v>
      </c>
      <c r="D143" s="23">
        <v>79089452525</v>
      </c>
      <c r="E143">
        <f t="shared" si="2"/>
        <v>79089452525</v>
      </c>
    </row>
    <row r="144" spans="1:5" ht="39" thickBot="1">
      <c r="A144" s="21"/>
      <c r="B144" s="21" t="s">
        <v>13842</v>
      </c>
      <c r="C144" s="21" t="s">
        <v>8304</v>
      </c>
      <c r="D144" s="23">
        <v>79088637935</v>
      </c>
      <c r="E144">
        <f t="shared" si="2"/>
        <v>79088637935</v>
      </c>
    </row>
    <row r="145" spans="1:5" ht="26.25" thickBot="1">
      <c r="A145" s="21"/>
      <c r="B145" s="21" t="s">
        <v>12900</v>
      </c>
      <c r="C145" s="21" t="s">
        <v>8444</v>
      </c>
      <c r="D145" s="21">
        <v>79087810264</v>
      </c>
      <c r="E145">
        <f t="shared" si="2"/>
        <v>79087810264</v>
      </c>
    </row>
    <row r="146" spans="1:5" ht="26.25" thickBot="1">
      <c r="A146" s="21"/>
      <c r="B146" s="21" t="s">
        <v>12764</v>
      </c>
      <c r="C146" s="21" t="s">
        <v>8365</v>
      </c>
      <c r="D146" s="23">
        <v>79068227554</v>
      </c>
      <c r="E146">
        <f t="shared" si="2"/>
        <v>79068227554</v>
      </c>
    </row>
    <row r="147" spans="1:5" ht="26.25" thickBot="1">
      <c r="A147" s="21"/>
      <c r="B147" s="21" t="s">
        <v>6403</v>
      </c>
      <c r="C147" s="21" t="s">
        <v>7768</v>
      </c>
      <c r="D147" s="23">
        <v>79062716413</v>
      </c>
      <c r="E147">
        <f t="shared" si="2"/>
        <v>79062716413</v>
      </c>
    </row>
    <row r="148" spans="1:5" ht="15" thickBot="1">
      <c r="A148" s="21"/>
      <c r="B148" s="21" t="s">
        <v>8513</v>
      </c>
      <c r="C148" s="21" t="s">
        <v>8229</v>
      </c>
      <c r="D148" s="21">
        <v>79061000742</v>
      </c>
      <c r="E148">
        <f t="shared" si="2"/>
        <v>79061000742</v>
      </c>
    </row>
    <row r="149" spans="1:5" ht="15" thickBot="1">
      <c r="A149" s="21"/>
      <c r="B149" s="21" t="s">
        <v>8304</v>
      </c>
      <c r="C149" s="21" t="s">
        <v>8304</v>
      </c>
      <c r="D149" s="23">
        <v>79057027340</v>
      </c>
      <c r="E149">
        <f t="shared" si="2"/>
        <v>79057027340</v>
      </c>
    </row>
    <row r="150" spans="1:5" ht="15" thickBot="1">
      <c r="A150" s="21"/>
      <c r="B150" s="21" t="s">
        <v>13498</v>
      </c>
      <c r="C150" s="21" t="s">
        <v>8325</v>
      </c>
      <c r="D150" s="23">
        <v>79055554400</v>
      </c>
      <c r="E150">
        <f t="shared" si="2"/>
        <v>79055554400</v>
      </c>
    </row>
    <row r="151" spans="1:5" ht="26.25" thickBot="1">
      <c r="A151" s="21"/>
      <c r="B151" s="21" t="s">
        <v>13479</v>
      </c>
      <c r="C151" s="21" t="s">
        <v>8172</v>
      </c>
      <c r="D151" s="23">
        <v>79055068468</v>
      </c>
      <c r="E151">
        <f t="shared" si="2"/>
        <v>79055068468</v>
      </c>
    </row>
    <row r="152" spans="1:5" ht="15" thickBot="1">
      <c r="A152" s="21"/>
      <c r="B152" s="21" t="s">
        <v>13582</v>
      </c>
      <c r="C152" s="21" t="s">
        <v>8717</v>
      </c>
      <c r="D152" s="23">
        <v>79053103909</v>
      </c>
      <c r="E152">
        <f t="shared" si="2"/>
        <v>79053103909</v>
      </c>
    </row>
    <row r="153" spans="1:5" ht="15" thickBot="1">
      <c r="A153" s="21"/>
      <c r="B153" s="21" t="s">
        <v>13475</v>
      </c>
      <c r="C153" s="21" t="s">
        <v>8717</v>
      </c>
      <c r="D153" s="23">
        <v>79050171506</v>
      </c>
      <c r="E153">
        <f t="shared" si="2"/>
        <v>79050171506</v>
      </c>
    </row>
    <row r="154" spans="1:5" ht="39" thickBot="1">
      <c r="A154" s="21"/>
      <c r="B154" s="21" t="s">
        <v>10758</v>
      </c>
      <c r="C154" s="21" t="s">
        <v>12864</v>
      </c>
      <c r="D154" s="23">
        <v>79039818387</v>
      </c>
      <c r="E154">
        <f t="shared" si="2"/>
        <v>79039818387</v>
      </c>
    </row>
    <row r="155" spans="1:5" ht="51.75" thickBot="1">
      <c r="A155" s="21"/>
      <c r="B155" s="21" t="s">
        <v>12797</v>
      </c>
      <c r="C155" s="21" t="s">
        <v>12798</v>
      </c>
      <c r="D155" s="23">
        <v>79031987374</v>
      </c>
      <c r="E155">
        <f t="shared" si="2"/>
        <v>79031987374</v>
      </c>
    </row>
    <row r="156" spans="1:5" ht="15" thickBot="1">
      <c r="A156" s="21"/>
      <c r="B156" s="21" t="s">
        <v>13279</v>
      </c>
      <c r="C156" s="21" t="s">
        <v>13280</v>
      </c>
      <c r="D156" s="23">
        <v>77777777777</v>
      </c>
      <c r="E156">
        <f t="shared" si="2"/>
        <v>77777777777</v>
      </c>
    </row>
    <row r="157" spans="1:5" ht="15" thickBot="1">
      <c r="A157" s="21"/>
      <c r="B157" s="21" t="s">
        <v>13414</v>
      </c>
      <c r="C157" s="21" t="s">
        <v>13414</v>
      </c>
      <c r="D157" s="23">
        <v>77771827788</v>
      </c>
      <c r="E157">
        <f t="shared" si="2"/>
        <v>77771827788</v>
      </c>
    </row>
    <row r="158" spans="1:5" ht="39" thickBot="1">
      <c r="A158" s="21"/>
      <c r="B158" s="21" t="s">
        <v>13445</v>
      </c>
      <c r="C158" s="21" t="s">
        <v>9640</v>
      </c>
      <c r="D158" s="23">
        <v>77713269408</v>
      </c>
      <c r="E158">
        <f t="shared" si="2"/>
        <v>77713269408</v>
      </c>
    </row>
    <row r="159" spans="1:5" ht="15" thickBot="1">
      <c r="A159" s="21"/>
      <c r="B159" s="21" t="s">
        <v>13773</v>
      </c>
      <c r="C159" s="21" t="s">
        <v>13774</v>
      </c>
      <c r="D159" s="21">
        <v>77083722971</v>
      </c>
      <c r="E159">
        <f t="shared" si="2"/>
        <v>77083722971</v>
      </c>
    </row>
    <row r="160" spans="1:5" ht="15" thickBot="1">
      <c r="A160" s="21"/>
      <c r="B160" s="21" t="s">
        <v>13579</v>
      </c>
      <c r="C160" s="21" t="s">
        <v>8969</v>
      </c>
      <c r="D160" s="23">
        <v>77078789041</v>
      </c>
      <c r="E160">
        <f t="shared" si="2"/>
        <v>77078789041</v>
      </c>
    </row>
    <row r="161" spans="1:5" ht="15" thickBot="1">
      <c r="A161" s="27"/>
      <c r="B161" s="27" t="s">
        <v>12729</v>
      </c>
      <c r="C161" s="27" t="s">
        <v>10608</v>
      </c>
      <c r="D161" s="28">
        <v>77017677023</v>
      </c>
      <c r="E161">
        <f t="shared" si="2"/>
        <v>77017677023</v>
      </c>
    </row>
    <row r="162" spans="1:5" ht="15" thickBot="1">
      <c r="A162" s="21"/>
      <c r="B162" s="21" t="s">
        <v>13006</v>
      </c>
      <c r="C162" s="21" t="s">
        <v>9700</v>
      </c>
      <c r="D162" s="21">
        <v>74954002567</v>
      </c>
      <c r="E162">
        <f t="shared" si="2"/>
        <v>74954002567</v>
      </c>
    </row>
    <row r="163" spans="1:5" ht="15" thickBot="1">
      <c r="A163" s="21"/>
      <c r="B163" s="21" t="s">
        <v>13760</v>
      </c>
      <c r="C163" s="21" t="s">
        <v>8304</v>
      </c>
      <c r="D163" s="23">
        <v>48883280234</v>
      </c>
      <c r="E163">
        <f t="shared" si="2"/>
        <v>48883280234</v>
      </c>
    </row>
    <row r="164" spans="1:5" ht="51.75" thickBot="1">
      <c r="A164" s="21"/>
      <c r="B164" s="21" t="s">
        <v>13292</v>
      </c>
      <c r="C164" s="21" t="s">
        <v>13293</v>
      </c>
      <c r="D164" s="21">
        <v>48733852520</v>
      </c>
      <c r="E164">
        <f t="shared" si="2"/>
        <v>48733852520</v>
      </c>
    </row>
    <row r="165" spans="1:5" ht="26.25" thickBot="1">
      <c r="A165" s="27"/>
      <c r="B165" s="27" t="s">
        <v>9157</v>
      </c>
      <c r="C165" s="27" t="s">
        <v>9157</v>
      </c>
      <c r="D165" s="28">
        <v>48664645568</v>
      </c>
      <c r="E165">
        <f t="shared" si="2"/>
        <v>48664645568</v>
      </c>
    </row>
    <row r="166" spans="1:5" ht="15" thickBot="1">
      <c r="A166" s="21"/>
      <c r="B166" s="21" t="s">
        <v>13009</v>
      </c>
      <c r="C166" s="21" t="s">
        <v>13010</v>
      </c>
      <c r="D166" s="21">
        <v>48510099150</v>
      </c>
      <c r="E166">
        <f t="shared" si="2"/>
        <v>48510099150</v>
      </c>
    </row>
    <row r="167" spans="1:5" ht="15" thickBot="1">
      <c r="A167" s="27"/>
      <c r="B167" s="27" t="s">
        <v>8697</v>
      </c>
      <c r="C167" s="27" t="s">
        <v>10045</v>
      </c>
      <c r="D167" s="28">
        <v>41797668872</v>
      </c>
      <c r="E167">
        <f t="shared" si="2"/>
        <v>41797668872</v>
      </c>
    </row>
    <row r="168" spans="1:5" ht="64.5" thickBot="1">
      <c r="A168" s="21"/>
      <c r="B168" s="21" t="s">
        <v>12781</v>
      </c>
      <c r="C168" s="21" t="s">
        <v>12782</v>
      </c>
      <c r="D168" s="23">
        <v>41767568703</v>
      </c>
      <c r="E168">
        <f t="shared" si="2"/>
        <v>41767568703</v>
      </c>
    </row>
    <row r="169" spans="1:5" ht="15" thickBot="1">
      <c r="A169" s="27"/>
      <c r="B169" s="27" t="s">
        <v>12749</v>
      </c>
      <c r="C169" s="27" t="s">
        <v>8760</v>
      </c>
      <c r="D169" s="28">
        <v>38267669371</v>
      </c>
      <c r="E169">
        <f t="shared" si="2"/>
        <v>38267669371</v>
      </c>
    </row>
    <row r="170" spans="1:5" ht="15" thickBot="1">
      <c r="A170" s="21"/>
      <c r="B170" s="21" t="s">
        <v>13150</v>
      </c>
      <c r="C170" s="21" t="s">
        <v>13151</v>
      </c>
      <c r="D170" s="23">
        <v>37379731346</v>
      </c>
      <c r="E170">
        <f t="shared" si="2"/>
        <v>37379731346</v>
      </c>
    </row>
    <row r="171" spans="1:5" ht="15" thickBot="1">
      <c r="A171" s="21"/>
      <c r="B171" s="21" t="s">
        <v>8304</v>
      </c>
      <c r="C171" s="21" t="s">
        <v>8304</v>
      </c>
      <c r="D171" s="21">
        <v>37379509965</v>
      </c>
      <c r="E171">
        <f t="shared" si="2"/>
        <v>37379509965</v>
      </c>
    </row>
    <row r="172" spans="1:5" ht="15" thickBot="1">
      <c r="A172" s="27"/>
      <c r="B172" s="27" t="s">
        <v>12730</v>
      </c>
      <c r="C172" s="27" t="s">
        <v>8895</v>
      </c>
      <c r="D172" s="28">
        <v>37378362653</v>
      </c>
      <c r="E172">
        <f t="shared" si="2"/>
        <v>37378362653</v>
      </c>
    </row>
    <row r="173" spans="1:5" ht="15" thickBot="1">
      <c r="A173" s="21"/>
      <c r="B173" s="21" t="s">
        <v>11297</v>
      </c>
      <c r="C173" s="21" t="s">
        <v>11297</v>
      </c>
      <c r="D173" s="23">
        <v>37377993398</v>
      </c>
      <c r="E173">
        <f t="shared" si="2"/>
        <v>37377993398</v>
      </c>
    </row>
    <row r="174" spans="1:5" ht="26.25" thickBot="1">
      <c r="A174" s="21"/>
      <c r="B174" s="21" t="s">
        <v>12601</v>
      </c>
      <c r="C174" s="21" t="s">
        <v>9026</v>
      </c>
      <c r="D174" s="21">
        <v>37369972328</v>
      </c>
      <c r="E174">
        <f t="shared" si="2"/>
        <v>37369972328</v>
      </c>
    </row>
    <row r="175" spans="1:5" ht="26.25" thickBot="1">
      <c r="A175" s="21"/>
      <c r="B175" s="21" t="s">
        <v>13152</v>
      </c>
      <c r="C175" s="21" t="s">
        <v>10115</v>
      </c>
      <c r="D175" s="23">
        <v>37369244744</v>
      </c>
      <c r="E175">
        <f t="shared" si="2"/>
        <v>37369244744</v>
      </c>
    </row>
    <row r="176" spans="1:5" ht="26.25" thickBot="1">
      <c r="A176" s="21"/>
      <c r="B176" s="21" t="s">
        <v>13478</v>
      </c>
      <c r="C176" s="21" t="s">
        <v>8186</v>
      </c>
      <c r="D176" s="21">
        <v>37369194228</v>
      </c>
      <c r="E176">
        <f t="shared" si="2"/>
        <v>37369194228</v>
      </c>
    </row>
    <row r="177" spans="1:5" ht="15" thickBot="1">
      <c r="A177" s="21"/>
      <c r="B177" s="21" t="s">
        <v>8283</v>
      </c>
      <c r="C177" s="21" t="s">
        <v>8283</v>
      </c>
      <c r="D177" s="21">
        <v>37369007731</v>
      </c>
      <c r="E177">
        <f t="shared" si="2"/>
        <v>37369007731</v>
      </c>
    </row>
    <row r="178" spans="1:5" ht="15" thickBot="1">
      <c r="A178" s="27"/>
      <c r="B178" s="27" t="s">
        <v>12702</v>
      </c>
      <c r="C178" s="27" t="s">
        <v>8930</v>
      </c>
      <c r="D178" s="28">
        <v>37368088370</v>
      </c>
      <c r="E178">
        <f t="shared" si="2"/>
        <v>37368088370</v>
      </c>
    </row>
    <row r="179" spans="1:5" ht="15" thickBot="1">
      <c r="A179" s="21"/>
      <c r="B179" s="21" t="s">
        <v>12986</v>
      </c>
      <c r="C179" s="21" t="s">
        <v>8581</v>
      </c>
      <c r="D179" s="23">
        <v>37367321746</v>
      </c>
      <c r="E179">
        <f t="shared" si="2"/>
        <v>37367321746</v>
      </c>
    </row>
    <row r="180" spans="1:5" ht="26.25" thickBot="1">
      <c r="A180" s="21"/>
      <c r="B180" s="21" t="s">
        <v>13025</v>
      </c>
      <c r="C180" s="21" t="s">
        <v>8206</v>
      </c>
      <c r="D180" s="23">
        <v>37258958027</v>
      </c>
      <c r="E180">
        <f t="shared" si="2"/>
        <v>37258958027</v>
      </c>
    </row>
    <row r="181" spans="1:5" ht="15" thickBot="1">
      <c r="A181" s="21"/>
      <c r="B181" s="21" t="s">
        <v>9257</v>
      </c>
      <c r="C181" s="21" t="s">
        <v>9257</v>
      </c>
      <c r="D181" s="23">
        <v>37256830265</v>
      </c>
      <c r="E181">
        <f t="shared" si="2"/>
        <v>37256830265</v>
      </c>
    </row>
    <row r="182" spans="1:5" ht="26.25" thickBot="1">
      <c r="A182" s="21"/>
      <c r="B182" s="21" t="s">
        <v>12486</v>
      </c>
      <c r="C182" s="21" t="s">
        <v>8283</v>
      </c>
      <c r="D182" s="23">
        <v>37129878847</v>
      </c>
      <c r="E182">
        <f t="shared" si="2"/>
        <v>37129878847</v>
      </c>
    </row>
    <row r="183" spans="1:5" ht="26.25" thickBot="1">
      <c r="A183" s="21"/>
      <c r="B183" s="21" t="s">
        <v>12990</v>
      </c>
      <c r="C183" s="21" t="s">
        <v>12991</v>
      </c>
      <c r="D183" s="23">
        <v>37126527374</v>
      </c>
      <c r="E183">
        <f t="shared" si="2"/>
        <v>37126527374</v>
      </c>
    </row>
    <row r="184" spans="1:5" ht="15" thickBot="1">
      <c r="A184" s="21"/>
      <c r="B184" s="21" t="s">
        <v>13477</v>
      </c>
      <c r="C184" s="21" t="s">
        <v>13477</v>
      </c>
      <c r="D184" s="23">
        <v>37124426011</v>
      </c>
      <c r="E184">
        <f t="shared" si="2"/>
        <v>37124426011</v>
      </c>
    </row>
    <row r="185" spans="1:5" ht="39" thickBot="1">
      <c r="A185" s="21"/>
      <c r="B185" s="21" t="s">
        <v>13190</v>
      </c>
      <c r="C185" s="21" t="s">
        <v>8717</v>
      </c>
      <c r="D185" s="23">
        <v>37062946194</v>
      </c>
      <c r="E185">
        <f t="shared" si="2"/>
        <v>37062946194</v>
      </c>
    </row>
    <row r="186" spans="1:5" ht="15" thickBot="1">
      <c r="A186" s="27"/>
      <c r="B186" s="27" t="s">
        <v>12723</v>
      </c>
      <c r="C186" s="27" t="s">
        <v>8581</v>
      </c>
      <c r="D186" s="28">
        <v>36307445592</v>
      </c>
      <c r="E186">
        <f t="shared" si="2"/>
        <v>36307445592</v>
      </c>
    </row>
    <row r="187" spans="1:5" ht="15" thickBot="1">
      <c r="A187" s="21"/>
      <c r="B187" s="21" t="s">
        <v>13743</v>
      </c>
      <c r="C187" s="21" t="s">
        <v>11496</v>
      </c>
      <c r="D187" s="23">
        <v>33628348660</v>
      </c>
      <c r="E187">
        <f t="shared" si="2"/>
        <v>33628348660</v>
      </c>
    </row>
    <row r="188" spans="1:5" ht="26.25" thickBot="1">
      <c r="A188" s="27"/>
      <c r="B188" s="27" t="s">
        <v>12685</v>
      </c>
      <c r="C188" s="27" t="s">
        <v>8717</v>
      </c>
      <c r="D188" s="28">
        <v>15066087923</v>
      </c>
      <c r="E188">
        <f t="shared" si="2"/>
        <v>15066087923</v>
      </c>
    </row>
    <row r="189" spans="1:5" ht="26.25" thickBot="1">
      <c r="A189" s="21"/>
      <c r="B189" s="21" t="s">
        <v>13524</v>
      </c>
      <c r="C189" s="21" t="s">
        <v>8304</v>
      </c>
      <c r="D189" s="23">
        <v>13103845302</v>
      </c>
      <c r="E189">
        <f t="shared" si="2"/>
        <v>13103845302</v>
      </c>
    </row>
    <row r="190" spans="1:5" ht="15" thickBot="1">
      <c r="A190" s="21"/>
      <c r="B190" s="21" t="s">
        <v>12973</v>
      </c>
      <c r="C190" s="21" t="s">
        <v>8717</v>
      </c>
      <c r="D190" s="23">
        <v>89997864342</v>
      </c>
      <c r="E190">
        <f t="shared" si="2"/>
        <v>89997864342</v>
      </c>
    </row>
    <row r="191" spans="1:5" ht="15" thickBot="1">
      <c r="A191" s="27"/>
      <c r="B191" s="27" t="s">
        <v>8479</v>
      </c>
      <c r="C191" s="27" t="s">
        <v>8479</v>
      </c>
      <c r="D191" s="28">
        <v>89585673388</v>
      </c>
      <c r="E191">
        <f t="shared" si="2"/>
        <v>89585673388</v>
      </c>
    </row>
    <row r="192" spans="1:5" ht="15" thickBot="1">
      <c r="A192" s="21"/>
      <c r="B192" s="21" t="s">
        <v>13184</v>
      </c>
      <c r="C192" s="21" t="s">
        <v>8969</v>
      </c>
      <c r="D192" s="23">
        <v>89531862595</v>
      </c>
      <c r="E192">
        <f t="shared" si="2"/>
        <v>89531862595</v>
      </c>
    </row>
    <row r="193" spans="1:5" ht="15" thickBot="1">
      <c r="A193" s="21"/>
      <c r="B193" s="21" t="s">
        <v>8197</v>
      </c>
      <c r="C193" s="21" t="s">
        <v>8197</v>
      </c>
      <c r="D193" s="23">
        <v>89254981575</v>
      </c>
      <c r="E193">
        <f t="shared" si="2"/>
        <v>89254981575</v>
      </c>
    </row>
    <row r="194" spans="1:5" ht="51.75" thickBot="1">
      <c r="A194" s="21"/>
      <c r="B194" s="21" t="s">
        <v>12476</v>
      </c>
      <c r="C194" s="21" t="s">
        <v>12477</v>
      </c>
      <c r="D194" s="23">
        <v>4520492422</v>
      </c>
      <c r="E194">
        <f t="shared" ref="E194:E257" si="3">IF(A194&lt;1,D194,)</f>
        <v>4520492422</v>
      </c>
    </row>
    <row r="195" spans="1:5" ht="15" thickBot="1">
      <c r="A195" s="27"/>
      <c r="B195" s="27" t="s">
        <v>12753</v>
      </c>
      <c r="C195" s="27" t="s">
        <v>12754</v>
      </c>
      <c r="D195" s="28">
        <v>8998525986</v>
      </c>
      <c r="E195">
        <f t="shared" si="3"/>
        <v>8998525986</v>
      </c>
    </row>
    <row r="196" spans="1:5" ht="26.25" thickBot="1">
      <c r="A196" s="21"/>
      <c r="B196" s="21" t="s">
        <v>13467</v>
      </c>
      <c r="C196" s="21" t="s">
        <v>13468</v>
      </c>
      <c r="D196" s="23">
        <v>8994186910</v>
      </c>
      <c r="E196">
        <f t="shared" si="3"/>
        <v>8994186910</v>
      </c>
    </row>
    <row r="197" spans="1:5" ht="39" thickBot="1">
      <c r="A197" s="21"/>
      <c r="B197" s="21" t="s">
        <v>13466</v>
      </c>
      <c r="C197" s="21" t="s">
        <v>7399</v>
      </c>
      <c r="D197" s="21">
        <v>8987188256</v>
      </c>
      <c r="E197">
        <f t="shared" si="3"/>
        <v>8987188256</v>
      </c>
    </row>
    <row r="198" spans="1:5" ht="15" thickBot="1">
      <c r="A198" s="21"/>
      <c r="B198" s="21" t="s">
        <v>8581</v>
      </c>
      <c r="C198" s="21" t="s">
        <v>8581</v>
      </c>
      <c r="D198" s="23">
        <v>8980868886</v>
      </c>
      <c r="E198">
        <f t="shared" si="3"/>
        <v>8980868886</v>
      </c>
    </row>
    <row r="199" spans="1:5" ht="39" thickBot="1">
      <c r="A199" s="27"/>
      <c r="B199" s="27" t="s">
        <v>12720</v>
      </c>
      <c r="C199" s="27" t="s">
        <v>12721</v>
      </c>
      <c r="D199" s="28">
        <v>8974220238</v>
      </c>
      <c r="E199">
        <f t="shared" si="3"/>
        <v>8974220238</v>
      </c>
    </row>
    <row r="200" spans="1:5" ht="26.25" thickBot="1">
      <c r="A200" s="21"/>
      <c r="B200" s="21" t="s">
        <v>12533</v>
      </c>
      <c r="C200" s="21" t="s">
        <v>8431</v>
      </c>
      <c r="D200" s="23">
        <v>8973371400</v>
      </c>
      <c r="E200">
        <f t="shared" si="3"/>
        <v>8973371400</v>
      </c>
    </row>
    <row r="201" spans="1:5" ht="15" thickBot="1">
      <c r="A201" s="21"/>
      <c r="B201" s="21" t="s">
        <v>12579</v>
      </c>
      <c r="C201" s="21" t="s">
        <v>8674</v>
      </c>
      <c r="D201" s="23">
        <v>8939707048</v>
      </c>
      <c r="E201">
        <f t="shared" si="3"/>
        <v>8939707048</v>
      </c>
    </row>
    <row r="202" spans="1:5" ht="51.75" thickBot="1">
      <c r="A202" s="21"/>
      <c r="B202" s="21" t="s">
        <v>12843</v>
      </c>
      <c r="C202" s="21" t="s">
        <v>12844</v>
      </c>
      <c r="D202" s="21">
        <v>8906025164</v>
      </c>
      <c r="E202">
        <f t="shared" si="3"/>
        <v>8906025164</v>
      </c>
    </row>
    <row r="203" spans="1:5" ht="26.25" thickBot="1">
      <c r="A203" s="21"/>
      <c r="B203" s="21" t="s">
        <v>13019</v>
      </c>
      <c r="C203" s="21" t="s">
        <v>13010</v>
      </c>
      <c r="D203" s="21">
        <v>8730337753</v>
      </c>
      <c r="E203">
        <f t="shared" si="3"/>
        <v>8730337753</v>
      </c>
    </row>
    <row r="204" spans="1:5" ht="26.25" thickBot="1">
      <c r="A204" s="27"/>
      <c r="B204" s="27" t="s">
        <v>12665</v>
      </c>
      <c r="C204" s="27" t="s">
        <v>7919</v>
      </c>
      <c r="D204" s="28">
        <v>8682092129</v>
      </c>
      <c r="E204">
        <f t="shared" si="3"/>
        <v>8682092129</v>
      </c>
    </row>
    <row r="205" spans="1:5" ht="15" thickBot="1">
      <c r="A205" s="21"/>
      <c r="B205" s="21" t="s">
        <v>8717</v>
      </c>
      <c r="C205" s="21" t="s">
        <v>8717</v>
      </c>
      <c r="D205" s="23">
        <v>548643399</v>
      </c>
      <c r="E205">
        <f t="shared" si="3"/>
        <v>548643399</v>
      </c>
    </row>
    <row r="206" spans="1:5" ht="15" thickBot="1">
      <c r="A206" s="21"/>
      <c r="B206" s="21" t="s">
        <v>13387</v>
      </c>
      <c r="C206" s="21" t="s">
        <v>8369</v>
      </c>
      <c r="D206" s="23">
        <v>27886869</v>
      </c>
      <c r="E206">
        <f t="shared" si="3"/>
        <v>27886869</v>
      </c>
    </row>
    <row r="207" spans="1:5" ht="15" thickBot="1">
      <c r="A207" s="21" t="s">
        <v>12478</v>
      </c>
      <c r="B207" s="22" t="s">
        <v>12479</v>
      </c>
      <c r="C207" s="21"/>
      <c r="D207" s="21"/>
      <c r="E207">
        <f t="shared" si="3"/>
        <v>0</v>
      </c>
    </row>
    <row r="208" spans="1:5" ht="15" thickBot="1">
      <c r="A208" s="21"/>
      <c r="B208" s="21" t="s">
        <v>8206</v>
      </c>
      <c r="C208" s="21"/>
      <c r="D208" s="21"/>
      <c r="E208">
        <f t="shared" si="3"/>
        <v>0</v>
      </c>
    </row>
    <row r="209" spans="1:5" ht="26.25" thickBot="1">
      <c r="A209" s="21" t="s">
        <v>12480</v>
      </c>
      <c r="B209" s="21" t="s">
        <v>12481</v>
      </c>
      <c r="C209" s="21"/>
      <c r="D209" s="21"/>
      <c r="E209">
        <f t="shared" si="3"/>
        <v>0</v>
      </c>
    </row>
    <row r="210" spans="1:5" ht="26.25" thickBot="1">
      <c r="A210" s="21" t="s">
        <v>12482</v>
      </c>
      <c r="B210" s="21" t="s">
        <v>12483</v>
      </c>
      <c r="C210" s="21"/>
      <c r="D210" s="21"/>
      <c r="E210">
        <f t="shared" si="3"/>
        <v>0</v>
      </c>
    </row>
    <row r="211" spans="1:5" ht="15" thickBot="1">
      <c r="A211" s="21" t="s">
        <v>12484</v>
      </c>
      <c r="B211" s="21" t="s">
        <v>12485</v>
      </c>
      <c r="C211" s="21"/>
      <c r="D211" s="21"/>
      <c r="E211">
        <f t="shared" si="3"/>
        <v>0</v>
      </c>
    </row>
    <row r="212" spans="1:5" ht="26.25" thickBot="1">
      <c r="A212" s="21" t="s">
        <v>12489</v>
      </c>
      <c r="B212" s="21" t="s">
        <v>12490</v>
      </c>
      <c r="C212" s="21"/>
      <c r="D212" s="21"/>
      <c r="E212">
        <f t="shared" si="3"/>
        <v>0</v>
      </c>
    </row>
    <row r="213" spans="1:5" ht="26.25" thickBot="1">
      <c r="A213" s="21"/>
      <c r="B213" s="21" t="s">
        <v>12491</v>
      </c>
      <c r="C213" s="21"/>
      <c r="D213" s="21"/>
      <c r="E213">
        <f t="shared" si="3"/>
        <v>0</v>
      </c>
    </row>
    <row r="214" spans="1:5" ht="26.25" thickBot="1">
      <c r="A214" s="21"/>
      <c r="B214" s="21" t="s">
        <v>12492</v>
      </c>
      <c r="C214" s="21" t="s">
        <v>8365</v>
      </c>
      <c r="D214" s="21"/>
      <c r="E214">
        <f t="shared" si="3"/>
        <v>0</v>
      </c>
    </row>
    <row r="215" spans="1:5" ht="26.25" thickBot="1">
      <c r="A215" s="29" t="s">
        <v>12495</v>
      </c>
      <c r="B215" s="29" t="s">
        <v>12496</v>
      </c>
      <c r="C215" s="29"/>
      <c r="D215" s="29"/>
      <c r="E215">
        <f t="shared" si="3"/>
        <v>0</v>
      </c>
    </row>
    <row r="216" spans="1:5" ht="15" thickBot="1">
      <c r="A216" s="21" t="s">
        <v>12497</v>
      </c>
      <c r="B216" s="21" t="s">
        <v>7768</v>
      </c>
      <c r="C216" s="21"/>
      <c r="D216" s="21"/>
      <c r="E216">
        <f t="shared" si="3"/>
        <v>0</v>
      </c>
    </row>
    <row r="217" spans="1:5" ht="26.25" thickBot="1">
      <c r="A217" s="21" t="s">
        <v>12498</v>
      </c>
      <c r="B217" s="21" t="s">
        <v>12499</v>
      </c>
      <c r="C217" s="21"/>
      <c r="D217" s="21"/>
      <c r="E217">
        <f t="shared" si="3"/>
        <v>0</v>
      </c>
    </row>
    <row r="218" spans="1:5" ht="26.25" thickBot="1">
      <c r="A218" s="21" t="s">
        <v>12500</v>
      </c>
      <c r="B218" s="21" t="s">
        <v>12501</v>
      </c>
      <c r="C218" s="21" t="s">
        <v>8434</v>
      </c>
      <c r="D218" s="23">
        <v>79670630970</v>
      </c>
      <c r="E218">
        <f t="shared" si="3"/>
        <v>0</v>
      </c>
    </row>
    <row r="219" spans="1:5" ht="15" thickBot="1">
      <c r="A219" s="21" t="s">
        <v>12502</v>
      </c>
      <c r="B219" s="21" t="s">
        <v>12503</v>
      </c>
      <c r="C219" s="21"/>
      <c r="D219" s="21"/>
      <c r="E219">
        <f t="shared" si="3"/>
        <v>0</v>
      </c>
    </row>
    <row r="220" spans="1:5" ht="15" thickBot="1">
      <c r="A220" s="21" t="s">
        <v>12504</v>
      </c>
      <c r="B220" s="21" t="s">
        <v>12505</v>
      </c>
      <c r="C220" s="21"/>
      <c r="D220" s="21"/>
      <c r="E220">
        <f t="shared" si="3"/>
        <v>0</v>
      </c>
    </row>
    <row r="221" spans="1:5" ht="26.25" thickBot="1">
      <c r="A221" s="21" t="s">
        <v>12508</v>
      </c>
      <c r="B221" s="21" t="s">
        <v>12509</v>
      </c>
      <c r="C221" s="21"/>
      <c r="D221" s="21"/>
      <c r="E221">
        <f t="shared" si="3"/>
        <v>0</v>
      </c>
    </row>
    <row r="222" spans="1:5" ht="39" thickBot="1">
      <c r="A222" s="21" t="s">
        <v>12510</v>
      </c>
      <c r="B222" s="21" t="s">
        <v>12511</v>
      </c>
      <c r="C222" s="21"/>
      <c r="D222" s="21"/>
      <c r="E222">
        <f t="shared" si="3"/>
        <v>0</v>
      </c>
    </row>
    <row r="223" spans="1:5" ht="26.25" thickBot="1">
      <c r="A223" s="21"/>
      <c r="B223" s="21" t="s">
        <v>12512</v>
      </c>
      <c r="C223" s="21"/>
      <c r="D223" s="21"/>
      <c r="E223">
        <f t="shared" si="3"/>
        <v>0</v>
      </c>
    </row>
    <row r="224" spans="1:5" ht="15" thickBot="1">
      <c r="A224" s="21"/>
      <c r="B224" s="21" t="s">
        <v>11084</v>
      </c>
      <c r="C224" s="21"/>
      <c r="D224" s="21"/>
      <c r="E224">
        <f t="shared" si="3"/>
        <v>0</v>
      </c>
    </row>
    <row r="225" spans="1:5" ht="26.25" thickBot="1">
      <c r="A225" s="21" t="s">
        <v>12513</v>
      </c>
      <c r="B225" s="21" t="s">
        <v>12514</v>
      </c>
      <c r="C225" s="21"/>
      <c r="D225" s="21"/>
      <c r="E225">
        <f t="shared" si="3"/>
        <v>0</v>
      </c>
    </row>
    <row r="226" spans="1:5" ht="26.25" thickBot="1">
      <c r="A226" s="21"/>
      <c r="B226" s="21" t="s">
        <v>12515</v>
      </c>
      <c r="C226" s="21"/>
      <c r="D226" s="21"/>
      <c r="E226">
        <f t="shared" si="3"/>
        <v>0</v>
      </c>
    </row>
    <row r="227" spans="1:5" ht="26.25" thickBot="1">
      <c r="A227" s="21" t="s">
        <v>12516</v>
      </c>
      <c r="B227" s="21" t="s">
        <v>12517</v>
      </c>
      <c r="C227" s="21"/>
      <c r="D227" s="21"/>
      <c r="E227">
        <f t="shared" si="3"/>
        <v>0</v>
      </c>
    </row>
    <row r="228" spans="1:5" ht="39" thickBot="1">
      <c r="A228" s="21" t="s">
        <v>12518</v>
      </c>
      <c r="B228" s="21" t="s">
        <v>12519</v>
      </c>
      <c r="C228" s="21"/>
      <c r="D228" s="21"/>
      <c r="E228">
        <f t="shared" si="3"/>
        <v>0</v>
      </c>
    </row>
    <row r="229" spans="1:5" ht="26.25" thickBot="1">
      <c r="A229" s="21"/>
      <c r="B229" s="21" t="s">
        <v>12520</v>
      </c>
      <c r="C229" s="21"/>
      <c r="D229" s="21"/>
      <c r="E229">
        <f t="shared" si="3"/>
        <v>0</v>
      </c>
    </row>
    <row r="230" spans="1:5" ht="15" thickBot="1">
      <c r="A230" s="21" t="s">
        <v>12521</v>
      </c>
      <c r="B230" s="21" t="s">
        <v>8288</v>
      </c>
      <c r="C230" s="21"/>
      <c r="D230" s="21"/>
      <c r="E230">
        <f t="shared" si="3"/>
        <v>0</v>
      </c>
    </row>
    <row r="231" spans="1:5" ht="15" thickBot="1">
      <c r="A231" s="21" t="s">
        <v>12522</v>
      </c>
      <c r="B231" s="21" t="s">
        <v>12523</v>
      </c>
      <c r="C231" s="21"/>
      <c r="D231" s="21"/>
      <c r="E231">
        <f t="shared" si="3"/>
        <v>0</v>
      </c>
    </row>
    <row r="232" spans="1:5" ht="39" thickBot="1">
      <c r="A232" s="21" t="s">
        <v>12525</v>
      </c>
      <c r="B232" s="21" t="s">
        <v>12526</v>
      </c>
      <c r="C232" s="21"/>
      <c r="D232" s="21"/>
      <c r="E232">
        <f t="shared" si="3"/>
        <v>0</v>
      </c>
    </row>
    <row r="233" spans="1:5" ht="26.25" thickBot="1">
      <c r="A233" s="21" t="s">
        <v>12527</v>
      </c>
      <c r="B233" s="21" t="s">
        <v>12528</v>
      </c>
      <c r="C233" s="21"/>
      <c r="D233" s="21"/>
      <c r="E233">
        <f t="shared" si="3"/>
        <v>0</v>
      </c>
    </row>
    <row r="234" spans="1:5" ht="15" thickBot="1">
      <c r="A234" s="21"/>
      <c r="B234" s="21" t="s">
        <v>7919</v>
      </c>
      <c r="C234" s="21"/>
      <c r="D234" s="21"/>
      <c r="E234">
        <f t="shared" si="3"/>
        <v>0</v>
      </c>
    </row>
    <row r="235" spans="1:5" ht="39" thickBot="1">
      <c r="A235" s="21"/>
      <c r="B235" s="21" t="s">
        <v>12529</v>
      </c>
      <c r="C235" s="21"/>
      <c r="D235" s="21"/>
      <c r="E235">
        <f t="shared" si="3"/>
        <v>0</v>
      </c>
    </row>
    <row r="236" spans="1:5" ht="15" thickBot="1">
      <c r="A236" s="21" t="s">
        <v>12530</v>
      </c>
      <c r="B236" s="21" t="s">
        <v>12531</v>
      </c>
      <c r="C236" s="21"/>
      <c r="D236" s="21"/>
      <c r="E236">
        <f t="shared" si="3"/>
        <v>0</v>
      </c>
    </row>
    <row r="237" spans="1:5" ht="15" thickBot="1">
      <c r="A237" s="21"/>
      <c r="B237" s="21" t="s">
        <v>8172</v>
      </c>
      <c r="C237" s="21" t="s">
        <v>12532</v>
      </c>
      <c r="D237" s="21"/>
      <c r="E237">
        <f t="shared" si="3"/>
        <v>0</v>
      </c>
    </row>
    <row r="238" spans="1:5" ht="15" thickBot="1">
      <c r="A238" s="21"/>
      <c r="B238" s="21" t="s">
        <v>8431</v>
      </c>
      <c r="C238" s="22" t="s">
        <v>12534</v>
      </c>
      <c r="D238" s="21"/>
      <c r="E238">
        <f t="shared" si="3"/>
        <v>0</v>
      </c>
    </row>
    <row r="239" spans="1:5" ht="39" thickBot="1">
      <c r="A239" s="21" t="s">
        <v>12535</v>
      </c>
      <c r="B239" s="21" t="s">
        <v>12536</v>
      </c>
      <c r="C239" s="21"/>
      <c r="D239" s="21"/>
      <c r="E239">
        <f t="shared" si="3"/>
        <v>0</v>
      </c>
    </row>
    <row r="240" spans="1:5" ht="26.25" thickBot="1">
      <c r="A240" s="21" t="s">
        <v>12537</v>
      </c>
      <c r="B240" s="21" t="s">
        <v>12538</v>
      </c>
      <c r="C240" s="21"/>
      <c r="D240" s="21"/>
      <c r="E240">
        <f t="shared" si="3"/>
        <v>0</v>
      </c>
    </row>
    <row r="241" spans="1:5" ht="26.25" thickBot="1">
      <c r="A241" s="21" t="s">
        <v>12539</v>
      </c>
      <c r="B241" s="21" t="s">
        <v>12540</v>
      </c>
      <c r="C241" s="21"/>
      <c r="D241" s="21"/>
      <c r="E241">
        <f t="shared" si="3"/>
        <v>0</v>
      </c>
    </row>
    <row r="242" spans="1:5" ht="15" thickBot="1">
      <c r="A242" s="21" t="s">
        <v>12541</v>
      </c>
      <c r="B242" s="21" t="s">
        <v>8579</v>
      </c>
      <c r="C242" s="21"/>
      <c r="D242" s="21"/>
      <c r="E242">
        <f t="shared" si="3"/>
        <v>0</v>
      </c>
    </row>
    <row r="243" spans="1:5" ht="26.25" thickBot="1">
      <c r="A243" s="21" t="s">
        <v>12542</v>
      </c>
      <c r="B243" s="21" t="s">
        <v>12543</v>
      </c>
      <c r="C243" s="21"/>
      <c r="D243" s="21"/>
      <c r="E243">
        <f t="shared" si="3"/>
        <v>0</v>
      </c>
    </row>
    <row r="244" spans="1:5" ht="39" thickBot="1">
      <c r="A244" s="21"/>
      <c r="B244" s="21" t="s">
        <v>12544</v>
      </c>
      <c r="C244" s="21"/>
      <c r="D244" s="21"/>
      <c r="E244">
        <f t="shared" si="3"/>
        <v>0</v>
      </c>
    </row>
    <row r="245" spans="1:5" ht="39" thickBot="1">
      <c r="A245" s="21"/>
      <c r="B245" s="21" t="s">
        <v>12545</v>
      </c>
      <c r="C245" s="21"/>
      <c r="D245" s="21"/>
      <c r="E245">
        <f t="shared" si="3"/>
        <v>0</v>
      </c>
    </row>
    <row r="246" spans="1:5" ht="26.25" thickBot="1">
      <c r="A246" s="21" t="s">
        <v>12546</v>
      </c>
      <c r="B246" s="21" t="s">
        <v>12547</v>
      </c>
      <c r="C246" s="21"/>
      <c r="D246" s="21"/>
      <c r="E246">
        <f t="shared" si="3"/>
        <v>0</v>
      </c>
    </row>
    <row r="247" spans="1:5" ht="15" thickBot="1">
      <c r="A247" s="21" t="s">
        <v>12548</v>
      </c>
      <c r="B247" s="21" t="s">
        <v>12549</v>
      </c>
      <c r="C247" s="21"/>
      <c r="D247" s="21"/>
      <c r="E247">
        <f t="shared" si="3"/>
        <v>0</v>
      </c>
    </row>
    <row r="248" spans="1:5" ht="26.25" thickBot="1">
      <c r="A248" s="21" t="s">
        <v>12550</v>
      </c>
      <c r="B248" s="21" t="s">
        <v>815</v>
      </c>
      <c r="C248" s="21"/>
      <c r="D248" s="21"/>
      <c r="E248">
        <f t="shared" si="3"/>
        <v>0</v>
      </c>
    </row>
    <row r="249" spans="1:5" ht="15" thickBot="1">
      <c r="A249" s="21" t="s">
        <v>12551</v>
      </c>
      <c r="B249" s="21" t="s">
        <v>12552</v>
      </c>
      <c r="C249" s="21"/>
      <c r="D249" s="21"/>
      <c r="E249">
        <f t="shared" si="3"/>
        <v>0</v>
      </c>
    </row>
    <row r="250" spans="1:5" ht="15" thickBot="1">
      <c r="A250" s="21"/>
      <c r="B250" s="22" t="s">
        <v>12553</v>
      </c>
      <c r="C250" s="21"/>
      <c r="D250" s="21"/>
      <c r="E250">
        <f t="shared" si="3"/>
        <v>0</v>
      </c>
    </row>
    <row r="251" spans="1:5" ht="15" thickBot="1">
      <c r="A251" s="21" t="s">
        <v>12554</v>
      </c>
      <c r="B251" s="22" t="s">
        <v>12555</v>
      </c>
      <c r="C251" s="21"/>
      <c r="D251" s="21"/>
      <c r="E251">
        <f t="shared" si="3"/>
        <v>0</v>
      </c>
    </row>
    <row r="252" spans="1:5" ht="39" thickBot="1">
      <c r="A252" s="29" t="s">
        <v>12556</v>
      </c>
      <c r="B252" s="29" t="s">
        <v>12557</v>
      </c>
      <c r="C252" s="29"/>
      <c r="D252" s="29"/>
      <c r="E252">
        <f t="shared" si="3"/>
        <v>0</v>
      </c>
    </row>
    <row r="253" spans="1:5" ht="26.25" thickBot="1">
      <c r="A253" s="27"/>
      <c r="B253" s="27" t="s">
        <v>3112</v>
      </c>
      <c r="C253" s="27" t="s">
        <v>8206</v>
      </c>
      <c r="D253" s="27"/>
      <c r="E253">
        <f t="shared" si="3"/>
        <v>0</v>
      </c>
    </row>
    <row r="254" spans="1:5" ht="15" thickBot="1">
      <c r="A254" s="21" t="s">
        <v>12558</v>
      </c>
      <c r="B254" s="21" t="s">
        <v>8186</v>
      </c>
      <c r="C254" s="21"/>
      <c r="D254" s="21"/>
      <c r="E254">
        <f t="shared" si="3"/>
        <v>0</v>
      </c>
    </row>
    <row r="255" spans="1:5" ht="26.25" thickBot="1">
      <c r="A255" s="21"/>
      <c r="B255" s="21" t="s">
        <v>12559</v>
      </c>
      <c r="C255" s="22" t="s">
        <v>12560</v>
      </c>
      <c r="D255" s="21"/>
      <c r="E255">
        <f t="shared" si="3"/>
        <v>0</v>
      </c>
    </row>
    <row r="256" spans="1:5" ht="26.25" thickBot="1">
      <c r="A256" s="21" t="s">
        <v>12561</v>
      </c>
      <c r="B256" s="21" t="s">
        <v>12562</v>
      </c>
      <c r="C256" s="21"/>
      <c r="D256" s="21"/>
      <c r="E256">
        <f t="shared" si="3"/>
        <v>0</v>
      </c>
    </row>
    <row r="257" spans="1:5" ht="15" thickBot="1">
      <c r="A257" s="21" t="s">
        <v>8473</v>
      </c>
      <c r="B257" s="21" t="s">
        <v>12563</v>
      </c>
      <c r="C257" s="21"/>
      <c r="D257" s="21"/>
      <c r="E257">
        <f t="shared" si="3"/>
        <v>0</v>
      </c>
    </row>
    <row r="258" spans="1:5" ht="26.25" thickBot="1">
      <c r="A258" s="21" t="s">
        <v>12564</v>
      </c>
      <c r="B258" s="21" t="s">
        <v>12565</v>
      </c>
      <c r="C258" s="21"/>
      <c r="D258" s="21"/>
      <c r="E258">
        <f t="shared" ref="E258:E321" si="4">IF(A258&lt;1,D258,)</f>
        <v>0</v>
      </c>
    </row>
    <row r="259" spans="1:5" ht="26.25" thickBot="1">
      <c r="A259" s="21" t="s">
        <v>12566</v>
      </c>
      <c r="B259" s="21" t="s">
        <v>12567</v>
      </c>
      <c r="C259" s="21"/>
      <c r="D259" s="21"/>
      <c r="E259">
        <f t="shared" si="4"/>
        <v>0</v>
      </c>
    </row>
    <row r="260" spans="1:5" ht="15" thickBot="1">
      <c r="A260" s="21" t="s">
        <v>12568</v>
      </c>
      <c r="B260" s="21" t="s">
        <v>8304</v>
      </c>
      <c r="C260" s="21"/>
      <c r="D260" s="21"/>
      <c r="E260">
        <f t="shared" si="4"/>
        <v>0</v>
      </c>
    </row>
    <row r="261" spans="1:5" ht="26.25" thickBot="1">
      <c r="A261" s="21" t="s">
        <v>12569</v>
      </c>
      <c r="B261" s="21" t="s">
        <v>12570</v>
      </c>
      <c r="C261" s="21"/>
      <c r="D261" s="21"/>
      <c r="E261">
        <f t="shared" si="4"/>
        <v>0</v>
      </c>
    </row>
    <row r="262" spans="1:5" ht="26.25" thickBot="1">
      <c r="A262" s="21" t="s">
        <v>12571</v>
      </c>
      <c r="B262" s="21" t="s">
        <v>12572</v>
      </c>
      <c r="C262" s="21"/>
      <c r="D262" s="21"/>
      <c r="E262">
        <f t="shared" si="4"/>
        <v>0</v>
      </c>
    </row>
    <row r="263" spans="1:5" ht="26.25" thickBot="1">
      <c r="A263" s="21" t="s">
        <v>12573</v>
      </c>
      <c r="B263" s="21" t="s">
        <v>12574</v>
      </c>
      <c r="C263" s="21"/>
      <c r="D263" s="21"/>
      <c r="E263">
        <f t="shared" si="4"/>
        <v>0</v>
      </c>
    </row>
    <row r="264" spans="1:5" ht="15" thickBot="1">
      <c r="A264" s="21" t="s">
        <v>12575</v>
      </c>
      <c r="B264" s="21" t="s">
        <v>12576</v>
      </c>
      <c r="C264" s="21"/>
      <c r="D264" s="21"/>
      <c r="E264">
        <f t="shared" si="4"/>
        <v>0</v>
      </c>
    </row>
    <row r="265" spans="1:5" ht="26.25" thickBot="1">
      <c r="A265" s="21" t="s">
        <v>12577</v>
      </c>
      <c r="B265" s="21" t="s">
        <v>12578</v>
      </c>
      <c r="C265" s="21"/>
      <c r="D265" s="21"/>
      <c r="E265">
        <f t="shared" si="4"/>
        <v>0</v>
      </c>
    </row>
    <row r="266" spans="1:5" ht="26.25" thickBot="1">
      <c r="A266" s="21" t="s">
        <v>12580</v>
      </c>
      <c r="B266" s="21" t="s">
        <v>12581</v>
      </c>
      <c r="C266" s="21"/>
      <c r="D266" s="21"/>
      <c r="E266">
        <f t="shared" si="4"/>
        <v>0</v>
      </c>
    </row>
    <row r="267" spans="1:5" ht="26.25" thickBot="1">
      <c r="A267" s="21" t="s">
        <v>12582</v>
      </c>
      <c r="B267" s="21" t="s">
        <v>12583</v>
      </c>
      <c r="C267" s="21"/>
      <c r="D267" s="21"/>
      <c r="E267">
        <f t="shared" si="4"/>
        <v>0</v>
      </c>
    </row>
    <row r="268" spans="1:5" ht="15" thickBot="1">
      <c r="A268" s="21" t="s">
        <v>12584</v>
      </c>
      <c r="B268" s="21" t="s">
        <v>8479</v>
      </c>
      <c r="C268" s="21"/>
      <c r="D268" s="21"/>
      <c r="E268">
        <f t="shared" si="4"/>
        <v>0</v>
      </c>
    </row>
    <row r="269" spans="1:5" ht="15" thickBot="1">
      <c r="A269" s="21" t="s">
        <v>12585</v>
      </c>
      <c r="B269" s="22" t="s">
        <v>12586</v>
      </c>
      <c r="C269" s="21"/>
      <c r="D269" s="21"/>
      <c r="E269">
        <f t="shared" si="4"/>
        <v>0</v>
      </c>
    </row>
    <row r="270" spans="1:5" ht="26.25" thickBot="1">
      <c r="A270" s="21" t="s">
        <v>12587</v>
      </c>
      <c r="B270" s="21" t="s">
        <v>12588</v>
      </c>
      <c r="C270" s="21"/>
      <c r="D270" s="21"/>
      <c r="E270">
        <f t="shared" si="4"/>
        <v>0</v>
      </c>
    </row>
    <row r="271" spans="1:5" ht="15" thickBot="1">
      <c r="A271" s="21" t="s">
        <v>12589</v>
      </c>
      <c r="B271" s="21" t="s">
        <v>12590</v>
      </c>
      <c r="C271" s="21"/>
      <c r="D271" s="21"/>
      <c r="E271">
        <f t="shared" si="4"/>
        <v>0</v>
      </c>
    </row>
    <row r="272" spans="1:5" ht="26.25" thickBot="1">
      <c r="A272" s="21"/>
      <c r="B272" s="21" t="s">
        <v>12591</v>
      </c>
      <c r="C272" s="21"/>
      <c r="D272" s="21"/>
      <c r="E272">
        <f t="shared" si="4"/>
        <v>0</v>
      </c>
    </row>
    <row r="273" spans="1:5" ht="26.25" thickBot="1">
      <c r="A273" s="27"/>
      <c r="B273" s="27" t="s">
        <v>12593</v>
      </c>
      <c r="C273" s="27"/>
      <c r="D273" s="27"/>
      <c r="E273">
        <f t="shared" si="4"/>
        <v>0</v>
      </c>
    </row>
    <row r="274" spans="1:5" ht="26.25" thickBot="1">
      <c r="A274" s="21" t="s">
        <v>12595</v>
      </c>
      <c r="B274" s="21" t="s">
        <v>12596</v>
      </c>
      <c r="C274" s="21"/>
      <c r="D274" s="21"/>
      <c r="E274">
        <f t="shared" si="4"/>
        <v>0</v>
      </c>
    </row>
    <row r="275" spans="1:5" ht="39" thickBot="1">
      <c r="A275" s="21" t="s">
        <v>12597</v>
      </c>
      <c r="B275" s="21" t="s">
        <v>12598</v>
      </c>
      <c r="C275" s="21"/>
      <c r="D275" s="21"/>
      <c r="E275">
        <f t="shared" si="4"/>
        <v>0</v>
      </c>
    </row>
    <row r="276" spans="1:5" ht="15" thickBot="1">
      <c r="A276" s="21" t="s">
        <v>12600</v>
      </c>
      <c r="B276" s="21" t="s">
        <v>9074</v>
      </c>
      <c r="C276" s="21"/>
      <c r="D276" s="21"/>
      <c r="E276">
        <f t="shared" si="4"/>
        <v>0</v>
      </c>
    </row>
    <row r="277" spans="1:5" ht="26.25" thickBot="1">
      <c r="A277" s="21" t="s">
        <v>12603</v>
      </c>
      <c r="B277" s="21" t="s">
        <v>12604</v>
      </c>
      <c r="C277" s="21"/>
      <c r="D277" s="21"/>
      <c r="E277">
        <f t="shared" si="4"/>
        <v>0</v>
      </c>
    </row>
    <row r="278" spans="1:5" ht="15" thickBot="1">
      <c r="A278" s="21" t="s">
        <v>12605</v>
      </c>
      <c r="B278" s="21" t="s">
        <v>12606</v>
      </c>
      <c r="C278" s="21"/>
      <c r="D278" s="21"/>
      <c r="E278">
        <f t="shared" si="4"/>
        <v>0</v>
      </c>
    </row>
    <row r="279" spans="1:5" ht="15" thickBot="1">
      <c r="A279" s="21" t="s">
        <v>12607</v>
      </c>
      <c r="B279" s="22" t="s">
        <v>12608</v>
      </c>
      <c r="C279" s="21"/>
      <c r="D279" s="21"/>
      <c r="E279">
        <f t="shared" si="4"/>
        <v>0</v>
      </c>
    </row>
    <row r="280" spans="1:5" ht="26.25" thickBot="1">
      <c r="A280" s="21" t="s">
        <v>12609</v>
      </c>
      <c r="B280" s="21" t="s">
        <v>9157</v>
      </c>
      <c r="C280" s="21"/>
      <c r="D280" s="21"/>
      <c r="E280">
        <f t="shared" si="4"/>
        <v>0</v>
      </c>
    </row>
    <row r="281" spans="1:5" ht="26.25" thickBot="1">
      <c r="A281" s="21" t="s">
        <v>12610</v>
      </c>
      <c r="B281" s="21" t="s">
        <v>12611</v>
      </c>
      <c r="C281" s="21"/>
      <c r="D281" s="21"/>
      <c r="E281">
        <f t="shared" si="4"/>
        <v>0</v>
      </c>
    </row>
    <row r="282" spans="1:5" ht="15" thickBot="1">
      <c r="A282" s="21" t="s">
        <v>12612</v>
      </c>
      <c r="B282" s="22" t="s">
        <v>12613</v>
      </c>
      <c r="C282" s="21"/>
      <c r="D282" s="21"/>
      <c r="E282">
        <f t="shared" si="4"/>
        <v>0</v>
      </c>
    </row>
    <row r="283" spans="1:5" ht="26.25" thickBot="1">
      <c r="A283" s="21" t="s">
        <v>12614</v>
      </c>
      <c r="B283" s="21" t="s">
        <v>12615</v>
      </c>
      <c r="C283" s="21"/>
      <c r="D283" s="21"/>
      <c r="E283">
        <f t="shared" si="4"/>
        <v>0</v>
      </c>
    </row>
    <row r="284" spans="1:5" ht="39" thickBot="1">
      <c r="A284" s="21"/>
      <c r="B284" s="21" t="s">
        <v>12616</v>
      </c>
      <c r="C284" s="21"/>
      <c r="D284" s="21"/>
      <c r="E284">
        <f t="shared" si="4"/>
        <v>0</v>
      </c>
    </row>
    <row r="285" spans="1:5" ht="26.25" thickBot="1">
      <c r="A285" s="21" t="s">
        <v>12617</v>
      </c>
      <c r="B285" s="21" t="s">
        <v>12618</v>
      </c>
      <c r="C285" s="21"/>
      <c r="D285" s="21"/>
      <c r="E285">
        <f t="shared" si="4"/>
        <v>0</v>
      </c>
    </row>
    <row r="286" spans="1:5" ht="26.25" thickBot="1">
      <c r="A286" s="21" t="s">
        <v>12619</v>
      </c>
      <c r="B286" s="21" t="s">
        <v>12620</v>
      </c>
      <c r="C286" s="21"/>
      <c r="D286" s="21"/>
      <c r="E286">
        <f t="shared" si="4"/>
        <v>0</v>
      </c>
    </row>
    <row r="287" spans="1:5" ht="39" thickBot="1">
      <c r="A287" s="21"/>
      <c r="B287" s="21" t="s">
        <v>12621</v>
      </c>
      <c r="C287" s="21" t="s">
        <v>8304</v>
      </c>
      <c r="D287" s="21"/>
      <c r="E287">
        <f t="shared" si="4"/>
        <v>0</v>
      </c>
    </row>
    <row r="288" spans="1:5" ht="15" thickBot="1">
      <c r="A288" s="21" t="s">
        <v>12622</v>
      </c>
      <c r="B288" s="21" t="s">
        <v>12623</v>
      </c>
      <c r="C288" s="21"/>
      <c r="D288" s="21"/>
      <c r="E288">
        <f t="shared" si="4"/>
        <v>0</v>
      </c>
    </row>
    <row r="289" spans="1:5" ht="15" thickBot="1">
      <c r="A289" s="21"/>
      <c r="B289" s="21" t="s">
        <v>8373</v>
      </c>
      <c r="C289" s="21"/>
      <c r="D289" s="21"/>
      <c r="E289">
        <f t="shared" si="4"/>
        <v>0</v>
      </c>
    </row>
    <row r="290" spans="1:5" ht="26.25" thickBot="1">
      <c r="A290" s="29"/>
      <c r="B290" s="29" t="s">
        <v>6862</v>
      </c>
      <c r="C290" s="29"/>
      <c r="D290" s="29"/>
      <c r="E290">
        <f t="shared" si="4"/>
        <v>0</v>
      </c>
    </row>
    <row r="291" spans="1:5" ht="26.25" thickBot="1">
      <c r="A291" s="27" t="s">
        <v>12624</v>
      </c>
      <c r="B291" s="27" t="s">
        <v>12625</v>
      </c>
      <c r="C291" s="27"/>
      <c r="D291" s="27"/>
      <c r="E291">
        <f t="shared" si="4"/>
        <v>0</v>
      </c>
    </row>
    <row r="292" spans="1:5" ht="15" thickBot="1">
      <c r="A292" s="21"/>
      <c r="B292" s="21" t="s">
        <v>12626</v>
      </c>
      <c r="C292" s="21"/>
      <c r="D292" s="21"/>
      <c r="E292">
        <f t="shared" si="4"/>
        <v>0</v>
      </c>
    </row>
    <row r="293" spans="1:5" ht="26.25" thickBot="1">
      <c r="A293" s="21" t="s">
        <v>12627</v>
      </c>
      <c r="B293" s="21" t="s">
        <v>12628</v>
      </c>
      <c r="C293" s="21"/>
      <c r="D293" s="21"/>
      <c r="E293">
        <f t="shared" si="4"/>
        <v>0</v>
      </c>
    </row>
    <row r="294" spans="1:5" ht="15" thickBot="1">
      <c r="A294" s="31"/>
      <c r="B294" s="31" t="s">
        <v>12629</v>
      </c>
      <c r="C294" s="31"/>
      <c r="D294" s="31"/>
      <c r="E294">
        <f t="shared" si="4"/>
        <v>0</v>
      </c>
    </row>
    <row r="295" spans="1:5" ht="15" thickBot="1">
      <c r="A295" s="21"/>
      <c r="B295" s="21" t="s">
        <v>12629</v>
      </c>
      <c r="C295" s="21"/>
      <c r="D295" s="21"/>
      <c r="E295">
        <f t="shared" si="4"/>
        <v>0</v>
      </c>
    </row>
    <row r="296" spans="1:5" ht="26.25" thickBot="1">
      <c r="A296" s="21" t="s">
        <v>12630</v>
      </c>
      <c r="B296" s="21" t="s">
        <v>12631</v>
      </c>
      <c r="C296" s="21"/>
      <c r="D296" s="21"/>
      <c r="E296">
        <f t="shared" si="4"/>
        <v>0</v>
      </c>
    </row>
    <row r="297" spans="1:5" ht="15" thickBot="1">
      <c r="A297" s="21" t="s">
        <v>12632</v>
      </c>
      <c r="B297" s="21" t="s">
        <v>12633</v>
      </c>
      <c r="C297" s="21"/>
      <c r="D297" s="21"/>
      <c r="E297">
        <f t="shared" si="4"/>
        <v>0</v>
      </c>
    </row>
    <row r="298" spans="1:5" ht="15" thickBot="1">
      <c r="A298" s="21" t="s">
        <v>12634</v>
      </c>
      <c r="B298" s="21" t="s">
        <v>12635</v>
      </c>
      <c r="C298" s="21"/>
      <c r="D298" s="21"/>
      <c r="E298">
        <f t="shared" si="4"/>
        <v>0</v>
      </c>
    </row>
    <row r="299" spans="1:5" ht="15" thickBot="1">
      <c r="A299" s="21" t="s">
        <v>12636</v>
      </c>
      <c r="B299" s="21" t="s">
        <v>10723</v>
      </c>
      <c r="C299" s="21"/>
      <c r="D299" s="21"/>
      <c r="E299">
        <f t="shared" si="4"/>
        <v>0</v>
      </c>
    </row>
    <row r="300" spans="1:5" ht="15" thickBot="1">
      <c r="A300" s="21" t="s">
        <v>12637</v>
      </c>
      <c r="B300" s="21" t="s">
        <v>12638</v>
      </c>
      <c r="C300" s="21"/>
      <c r="D300" s="21"/>
      <c r="E300">
        <f t="shared" si="4"/>
        <v>0</v>
      </c>
    </row>
    <row r="301" spans="1:5" ht="39" thickBot="1">
      <c r="A301" s="21" t="s">
        <v>12641</v>
      </c>
      <c r="B301" s="21" t="s">
        <v>218</v>
      </c>
      <c r="C301" s="21"/>
      <c r="D301" s="21"/>
      <c r="E301">
        <f t="shared" si="4"/>
        <v>0</v>
      </c>
    </row>
    <row r="302" spans="1:5" ht="26.25" thickBot="1">
      <c r="A302" s="21" t="s">
        <v>12643</v>
      </c>
      <c r="B302" s="21" t="s">
        <v>12644</v>
      </c>
      <c r="C302" s="21"/>
      <c r="D302" s="21"/>
      <c r="E302">
        <f t="shared" si="4"/>
        <v>0</v>
      </c>
    </row>
    <row r="303" spans="1:5" ht="26.25" thickBot="1">
      <c r="A303" s="21" t="s">
        <v>12645</v>
      </c>
      <c r="B303" s="21" t="s">
        <v>12646</v>
      </c>
      <c r="C303" s="21"/>
      <c r="D303" s="21"/>
      <c r="E303">
        <f t="shared" si="4"/>
        <v>0</v>
      </c>
    </row>
    <row r="304" spans="1:5" ht="26.25" thickBot="1">
      <c r="A304" s="21" t="s">
        <v>12647</v>
      </c>
      <c r="B304" s="21" t="s">
        <v>12648</v>
      </c>
      <c r="C304" s="21"/>
      <c r="D304" s="21"/>
      <c r="E304">
        <f t="shared" si="4"/>
        <v>0</v>
      </c>
    </row>
    <row r="305" spans="1:5" ht="26.25" thickBot="1">
      <c r="A305" s="21" t="s">
        <v>12649</v>
      </c>
      <c r="B305" s="21" t="s">
        <v>12649</v>
      </c>
      <c r="C305" s="21"/>
      <c r="D305" s="21"/>
      <c r="E305">
        <f t="shared" si="4"/>
        <v>0</v>
      </c>
    </row>
    <row r="306" spans="1:5" ht="15" thickBot="1">
      <c r="A306" s="21"/>
      <c r="B306" s="21" t="s">
        <v>9861</v>
      </c>
      <c r="C306" s="22" t="s">
        <v>12650</v>
      </c>
      <c r="D306" s="21"/>
      <c r="E306">
        <f t="shared" si="4"/>
        <v>0</v>
      </c>
    </row>
    <row r="307" spans="1:5" ht="26.25" thickBot="1">
      <c r="A307" s="21" t="s">
        <v>12651</v>
      </c>
      <c r="B307" s="21" t="s">
        <v>2263</v>
      </c>
      <c r="C307" s="21"/>
      <c r="D307" s="21"/>
      <c r="E307">
        <f t="shared" si="4"/>
        <v>0</v>
      </c>
    </row>
    <row r="308" spans="1:5" ht="15" thickBot="1">
      <c r="A308" s="21"/>
      <c r="B308" s="21" t="s">
        <v>9431</v>
      </c>
      <c r="C308" s="21"/>
      <c r="D308" s="21"/>
      <c r="E308">
        <f t="shared" si="4"/>
        <v>0</v>
      </c>
    </row>
    <row r="309" spans="1:5" ht="26.25" thickBot="1">
      <c r="A309" s="21" t="s">
        <v>12652</v>
      </c>
      <c r="B309" s="21" t="s">
        <v>12653</v>
      </c>
      <c r="C309" s="21"/>
      <c r="D309" s="21"/>
      <c r="E309">
        <f t="shared" si="4"/>
        <v>0</v>
      </c>
    </row>
    <row r="310" spans="1:5" ht="15" thickBot="1">
      <c r="A310" s="21"/>
      <c r="B310" s="21" t="s">
        <v>8682</v>
      </c>
      <c r="C310" s="21"/>
      <c r="D310" s="21"/>
      <c r="E310">
        <f t="shared" si="4"/>
        <v>0</v>
      </c>
    </row>
    <row r="311" spans="1:5" ht="15" thickBot="1">
      <c r="A311" s="21"/>
      <c r="B311" s="21" t="s">
        <v>11713</v>
      </c>
      <c r="C311" s="21"/>
      <c r="D311" s="21"/>
      <c r="E311">
        <f t="shared" si="4"/>
        <v>0</v>
      </c>
    </row>
    <row r="312" spans="1:5" ht="15" thickBot="1">
      <c r="A312" s="29"/>
      <c r="B312" s="29" t="s">
        <v>10996</v>
      </c>
      <c r="C312" s="29"/>
      <c r="D312" s="29"/>
      <c r="E312">
        <f t="shared" si="4"/>
        <v>0</v>
      </c>
    </row>
    <row r="313" spans="1:5" ht="26.25" thickBot="1">
      <c r="A313" s="27" t="s">
        <v>12654</v>
      </c>
      <c r="B313" s="27" t="s">
        <v>12655</v>
      </c>
      <c r="C313" s="27"/>
      <c r="D313" s="27"/>
      <c r="E313">
        <f t="shared" si="4"/>
        <v>0</v>
      </c>
    </row>
    <row r="314" spans="1:5" ht="26.25" thickBot="1">
      <c r="A314" s="21" t="s">
        <v>12658</v>
      </c>
      <c r="B314" s="21" t="s">
        <v>1314</v>
      </c>
      <c r="C314" s="21"/>
      <c r="D314" s="21"/>
      <c r="E314">
        <f t="shared" si="4"/>
        <v>0</v>
      </c>
    </row>
    <row r="315" spans="1:5" ht="26.25" thickBot="1">
      <c r="A315" s="21" t="s">
        <v>12662</v>
      </c>
      <c r="B315" s="21" t="s">
        <v>12663</v>
      </c>
      <c r="C315" s="21" t="s">
        <v>12664</v>
      </c>
      <c r="D315" s="23">
        <v>79500417928</v>
      </c>
      <c r="E315">
        <f t="shared" si="4"/>
        <v>0</v>
      </c>
    </row>
    <row r="316" spans="1:5" ht="15" thickBot="1">
      <c r="A316" s="21"/>
      <c r="B316" s="21" t="s">
        <v>8760</v>
      </c>
      <c r="C316" s="21"/>
      <c r="D316" s="21"/>
      <c r="E316">
        <f t="shared" si="4"/>
        <v>0</v>
      </c>
    </row>
    <row r="317" spans="1:5" ht="26.25" thickBot="1">
      <c r="A317" s="21" t="s">
        <v>12666</v>
      </c>
      <c r="B317" s="21" t="s">
        <v>12667</v>
      </c>
      <c r="C317" s="21"/>
      <c r="D317" s="21"/>
      <c r="E317">
        <f t="shared" si="4"/>
        <v>0</v>
      </c>
    </row>
    <row r="318" spans="1:5" ht="15" thickBot="1">
      <c r="A318" s="21" t="s">
        <v>12668</v>
      </c>
      <c r="B318" s="21" t="s">
        <v>11229</v>
      </c>
      <c r="C318" s="21"/>
      <c r="D318" s="21"/>
      <c r="E318">
        <f t="shared" si="4"/>
        <v>0</v>
      </c>
    </row>
    <row r="319" spans="1:5" ht="15" thickBot="1">
      <c r="A319" s="21" t="s">
        <v>12670</v>
      </c>
      <c r="B319" s="21" t="s">
        <v>12671</v>
      </c>
      <c r="C319" s="21"/>
      <c r="D319" s="21"/>
      <c r="E319">
        <f t="shared" si="4"/>
        <v>0</v>
      </c>
    </row>
    <row r="320" spans="1:5" ht="15" thickBot="1">
      <c r="A320" s="21" t="s">
        <v>12672</v>
      </c>
      <c r="B320" s="21" t="s">
        <v>12673</v>
      </c>
      <c r="C320" s="21"/>
      <c r="D320" s="21"/>
      <c r="E320">
        <f t="shared" si="4"/>
        <v>0</v>
      </c>
    </row>
    <row r="321" spans="1:5" ht="15" thickBot="1">
      <c r="A321" s="27" t="s">
        <v>12674</v>
      </c>
      <c r="B321" s="27" t="s">
        <v>8172</v>
      </c>
      <c r="C321" s="27"/>
      <c r="D321" s="27"/>
      <c r="E321">
        <f t="shared" si="4"/>
        <v>0</v>
      </c>
    </row>
    <row r="322" spans="1:5" ht="15" thickBot="1">
      <c r="A322" s="27" t="s">
        <v>12675</v>
      </c>
      <c r="B322" s="27" t="s">
        <v>9505</v>
      </c>
      <c r="C322" s="27"/>
      <c r="D322" s="27"/>
      <c r="E322">
        <f t="shared" ref="E322:E385" si="5">IF(A322&lt;1,D322,)</f>
        <v>0</v>
      </c>
    </row>
    <row r="323" spans="1:5" ht="26.25" thickBot="1">
      <c r="A323" s="21" t="s">
        <v>12676</v>
      </c>
      <c r="B323" s="21" t="s">
        <v>12677</v>
      </c>
      <c r="C323" s="21"/>
      <c r="D323" s="21"/>
      <c r="E323">
        <f t="shared" si="5"/>
        <v>0</v>
      </c>
    </row>
    <row r="324" spans="1:5" ht="26.25" thickBot="1">
      <c r="A324" s="27" t="s">
        <v>12682</v>
      </c>
      <c r="B324" s="27" t="s">
        <v>12683</v>
      </c>
      <c r="C324" s="27"/>
      <c r="D324" s="27"/>
      <c r="E324">
        <f t="shared" si="5"/>
        <v>0</v>
      </c>
    </row>
    <row r="325" spans="1:5" ht="15" thickBot="1">
      <c r="A325" s="27" t="s">
        <v>12686</v>
      </c>
      <c r="B325" s="27" t="s">
        <v>12686</v>
      </c>
      <c r="C325" s="27"/>
      <c r="D325" s="27"/>
      <c r="E325">
        <f t="shared" si="5"/>
        <v>0</v>
      </c>
    </row>
    <row r="326" spans="1:5" ht="15" thickBot="1">
      <c r="A326" s="21" t="s">
        <v>12687</v>
      </c>
      <c r="B326" s="21" t="s">
        <v>12688</v>
      </c>
      <c r="C326" s="21"/>
      <c r="D326" s="21"/>
      <c r="E326">
        <f t="shared" si="5"/>
        <v>0</v>
      </c>
    </row>
    <row r="327" spans="1:5" ht="15" thickBot="1">
      <c r="A327" s="21" t="s">
        <v>12689</v>
      </c>
      <c r="B327" s="21" t="s">
        <v>12690</v>
      </c>
      <c r="C327" s="21"/>
      <c r="D327" s="21"/>
      <c r="E327">
        <f t="shared" si="5"/>
        <v>0</v>
      </c>
    </row>
    <row r="328" spans="1:5" ht="39" thickBot="1">
      <c r="A328" s="21" t="s">
        <v>12691</v>
      </c>
      <c r="B328" s="21" t="s">
        <v>12692</v>
      </c>
      <c r="C328" s="21"/>
      <c r="D328" s="21"/>
      <c r="E328">
        <f t="shared" si="5"/>
        <v>0</v>
      </c>
    </row>
    <row r="329" spans="1:5" ht="15" thickBot="1">
      <c r="A329" s="27"/>
      <c r="B329" s="27" t="s">
        <v>8854</v>
      </c>
      <c r="C329" s="27"/>
      <c r="D329" s="27"/>
      <c r="E329">
        <f t="shared" si="5"/>
        <v>0</v>
      </c>
    </row>
    <row r="330" spans="1:5" ht="26.25" thickBot="1">
      <c r="A330" s="21" t="s">
        <v>12696</v>
      </c>
      <c r="B330" s="21" t="s">
        <v>12697</v>
      </c>
      <c r="C330" s="21"/>
      <c r="D330" s="21"/>
      <c r="E330">
        <f t="shared" si="5"/>
        <v>0</v>
      </c>
    </row>
    <row r="331" spans="1:5" ht="26.25" thickBot="1">
      <c r="A331" s="21" t="s">
        <v>12698</v>
      </c>
      <c r="B331" s="21" t="s">
        <v>12699</v>
      </c>
      <c r="C331" s="21"/>
      <c r="D331" s="21"/>
      <c r="E331">
        <f t="shared" si="5"/>
        <v>0</v>
      </c>
    </row>
    <row r="332" spans="1:5" ht="15" thickBot="1">
      <c r="A332" s="21" t="s">
        <v>12700</v>
      </c>
      <c r="B332" s="22" t="s">
        <v>12701</v>
      </c>
      <c r="C332" s="21"/>
      <c r="D332" s="21"/>
      <c r="E332">
        <f t="shared" si="5"/>
        <v>0</v>
      </c>
    </row>
    <row r="333" spans="1:5" ht="15" thickBot="1">
      <c r="A333" s="21" t="s">
        <v>12708</v>
      </c>
      <c r="B333" s="21" t="s">
        <v>10586</v>
      </c>
      <c r="C333" s="21"/>
      <c r="D333" s="21"/>
      <c r="E333">
        <f t="shared" si="5"/>
        <v>0</v>
      </c>
    </row>
    <row r="334" spans="1:5" ht="15" thickBot="1">
      <c r="A334" s="27" t="s">
        <v>12709</v>
      </c>
      <c r="B334" s="27" t="s">
        <v>12710</v>
      </c>
      <c r="C334" s="27"/>
      <c r="D334" s="27"/>
      <c r="E334">
        <f t="shared" si="5"/>
        <v>0</v>
      </c>
    </row>
    <row r="335" spans="1:5" ht="26.25" thickBot="1">
      <c r="A335" s="21" t="s">
        <v>12711</v>
      </c>
      <c r="B335" s="21" t="s">
        <v>12712</v>
      </c>
      <c r="C335" s="21"/>
      <c r="D335" s="21"/>
      <c r="E335">
        <f t="shared" si="5"/>
        <v>0</v>
      </c>
    </row>
    <row r="336" spans="1:5" ht="15" thickBot="1">
      <c r="A336" s="27" t="s">
        <v>12713</v>
      </c>
      <c r="B336" s="27" t="s">
        <v>12714</v>
      </c>
      <c r="C336" s="27"/>
      <c r="D336" s="27"/>
      <c r="E336">
        <f t="shared" si="5"/>
        <v>0</v>
      </c>
    </row>
    <row r="337" spans="1:5" ht="15" thickBot="1">
      <c r="A337" s="27" t="s">
        <v>12717</v>
      </c>
      <c r="B337" s="27" t="s">
        <v>9977</v>
      </c>
      <c r="C337" s="27"/>
      <c r="D337" s="27"/>
      <c r="E337">
        <f t="shared" si="5"/>
        <v>0</v>
      </c>
    </row>
    <row r="338" spans="1:5" ht="51.75" thickBot="1">
      <c r="A338" s="27"/>
      <c r="B338" s="27" t="s">
        <v>12718</v>
      </c>
      <c r="C338" s="27" t="s">
        <v>12719</v>
      </c>
      <c r="D338" s="27"/>
      <c r="E338">
        <f t="shared" si="5"/>
        <v>0</v>
      </c>
    </row>
    <row r="339" spans="1:5" ht="39" thickBot="1">
      <c r="A339" s="21" t="s">
        <v>12726</v>
      </c>
      <c r="B339" s="21" t="s">
        <v>12727</v>
      </c>
      <c r="C339" s="21"/>
      <c r="D339" s="21"/>
      <c r="E339">
        <f t="shared" si="5"/>
        <v>0</v>
      </c>
    </row>
    <row r="340" spans="1:5" ht="15" thickBot="1">
      <c r="A340" s="21" t="s">
        <v>12728</v>
      </c>
      <c r="B340" s="21" t="s">
        <v>8857</v>
      </c>
      <c r="C340" s="21"/>
      <c r="D340" s="21"/>
      <c r="E340">
        <f t="shared" si="5"/>
        <v>0</v>
      </c>
    </row>
    <row r="341" spans="1:5" ht="26.25" thickBot="1">
      <c r="A341" s="27" t="s">
        <v>12731</v>
      </c>
      <c r="B341" s="27" t="s">
        <v>12732</v>
      </c>
      <c r="C341" s="27"/>
      <c r="D341" s="27"/>
      <c r="E341">
        <f t="shared" si="5"/>
        <v>0</v>
      </c>
    </row>
    <row r="342" spans="1:5" ht="15" thickBot="1">
      <c r="A342" s="21" t="s">
        <v>12733</v>
      </c>
      <c r="B342" s="21" t="s">
        <v>12734</v>
      </c>
      <c r="C342" s="21"/>
      <c r="D342" s="21"/>
      <c r="E342">
        <f t="shared" si="5"/>
        <v>0</v>
      </c>
    </row>
    <row r="343" spans="1:5" ht="26.25" thickBot="1">
      <c r="A343" s="21"/>
      <c r="B343" s="21" t="s">
        <v>12735</v>
      </c>
      <c r="C343" s="21"/>
      <c r="D343" s="21"/>
      <c r="E343">
        <f t="shared" si="5"/>
        <v>0</v>
      </c>
    </row>
    <row r="344" spans="1:5" ht="26.25" thickBot="1">
      <c r="A344" s="21" t="s">
        <v>12737</v>
      </c>
      <c r="B344" s="21" t="s">
        <v>12738</v>
      </c>
      <c r="C344" s="21"/>
      <c r="D344" s="21"/>
      <c r="E344">
        <f t="shared" si="5"/>
        <v>0</v>
      </c>
    </row>
    <row r="345" spans="1:5" ht="15" thickBot="1">
      <c r="A345" s="21" t="s">
        <v>12739</v>
      </c>
      <c r="B345" s="21" t="s">
        <v>12740</v>
      </c>
      <c r="C345" s="21"/>
      <c r="D345" s="21"/>
      <c r="E345">
        <f t="shared" si="5"/>
        <v>0</v>
      </c>
    </row>
    <row r="346" spans="1:5" ht="26.25" thickBot="1">
      <c r="A346" s="27" t="s">
        <v>12741</v>
      </c>
      <c r="B346" s="27" t="s">
        <v>12742</v>
      </c>
      <c r="C346" s="27"/>
      <c r="D346" s="27"/>
      <c r="E346">
        <f t="shared" si="5"/>
        <v>0</v>
      </c>
    </row>
    <row r="347" spans="1:5" ht="15" thickBot="1">
      <c r="A347" s="21" t="s">
        <v>12743</v>
      </c>
      <c r="B347" s="21" t="s">
        <v>8659</v>
      </c>
      <c r="C347" s="21"/>
      <c r="D347" s="21"/>
      <c r="E347">
        <f t="shared" si="5"/>
        <v>0</v>
      </c>
    </row>
    <row r="348" spans="1:5" ht="15" thickBot="1">
      <c r="A348" s="27"/>
      <c r="B348" s="27" t="s">
        <v>8619</v>
      </c>
      <c r="C348" s="27"/>
      <c r="D348" s="27"/>
      <c r="E348">
        <f t="shared" si="5"/>
        <v>0</v>
      </c>
    </row>
    <row r="349" spans="1:5" ht="39" thickBot="1">
      <c r="A349" s="21" t="s">
        <v>12747</v>
      </c>
      <c r="B349" s="21" t="s">
        <v>12748</v>
      </c>
      <c r="C349" s="21"/>
      <c r="D349" s="21"/>
      <c r="E349">
        <f t="shared" si="5"/>
        <v>0</v>
      </c>
    </row>
    <row r="350" spans="1:5" ht="26.25" thickBot="1">
      <c r="A350" s="21" t="s">
        <v>12750</v>
      </c>
      <c r="B350" s="21" t="s">
        <v>12751</v>
      </c>
      <c r="C350" s="21"/>
      <c r="D350" s="21"/>
      <c r="E350">
        <f t="shared" si="5"/>
        <v>0</v>
      </c>
    </row>
    <row r="351" spans="1:5" ht="15" thickBot="1">
      <c r="A351" s="27"/>
      <c r="B351" s="27" t="s">
        <v>12752</v>
      </c>
      <c r="C351" s="27"/>
      <c r="D351" s="27"/>
      <c r="E351">
        <f t="shared" si="5"/>
        <v>0</v>
      </c>
    </row>
    <row r="352" spans="1:5" ht="15" thickBot="1">
      <c r="A352" s="27" t="s">
        <v>12755</v>
      </c>
      <c r="B352" s="27" t="s">
        <v>12756</v>
      </c>
      <c r="C352" s="27" t="s">
        <v>12757</v>
      </c>
      <c r="D352" s="27"/>
      <c r="E352">
        <f t="shared" si="5"/>
        <v>0</v>
      </c>
    </row>
    <row r="353" spans="1:5" ht="39" thickBot="1">
      <c r="A353" s="21" t="s">
        <v>12760</v>
      </c>
      <c r="B353" s="21" t="s">
        <v>12761</v>
      </c>
      <c r="C353" s="21"/>
      <c r="D353" s="21"/>
      <c r="E353">
        <f t="shared" si="5"/>
        <v>0</v>
      </c>
    </row>
    <row r="354" spans="1:5" ht="26.25" thickBot="1">
      <c r="A354" s="21"/>
      <c r="B354" s="21" t="s">
        <v>12762</v>
      </c>
      <c r="C354" s="21"/>
      <c r="D354" s="21"/>
      <c r="E354">
        <f t="shared" si="5"/>
        <v>0</v>
      </c>
    </row>
    <row r="355" spans="1:5" ht="26.25" thickBot="1">
      <c r="A355" s="21"/>
      <c r="B355" s="21" t="s">
        <v>12763</v>
      </c>
      <c r="C355" s="21"/>
      <c r="D355" s="21"/>
      <c r="E355">
        <f t="shared" si="5"/>
        <v>0</v>
      </c>
    </row>
    <row r="356" spans="1:5" ht="39" thickBot="1">
      <c r="A356" s="27" t="s">
        <v>12765</v>
      </c>
      <c r="B356" s="27" t="s">
        <v>12766</v>
      </c>
      <c r="C356" s="27"/>
      <c r="D356" s="27"/>
      <c r="E356">
        <f t="shared" si="5"/>
        <v>0</v>
      </c>
    </row>
    <row r="357" spans="1:5" ht="15" thickBot="1">
      <c r="A357" s="21" t="s">
        <v>12767</v>
      </c>
      <c r="B357" s="21" t="s">
        <v>12768</v>
      </c>
      <c r="C357" s="21"/>
      <c r="D357" s="21"/>
      <c r="E357">
        <f t="shared" si="5"/>
        <v>0</v>
      </c>
    </row>
    <row r="358" spans="1:5" ht="26.25" thickBot="1">
      <c r="A358" s="27" t="s">
        <v>12771</v>
      </c>
      <c r="B358" s="27" t="s">
        <v>12772</v>
      </c>
      <c r="C358" s="27"/>
      <c r="D358" s="27"/>
      <c r="E358">
        <f t="shared" si="5"/>
        <v>0</v>
      </c>
    </row>
    <row r="359" spans="1:5" ht="15" thickBot="1">
      <c r="A359" s="27" t="s">
        <v>12774</v>
      </c>
      <c r="B359" s="27" t="s">
        <v>12775</v>
      </c>
      <c r="C359" s="27"/>
      <c r="D359" s="27"/>
      <c r="E359">
        <f t="shared" si="5"/>
        <v>0</v>
      </c>
    </row>
    <row r="360" spans="1:5" ht="15" thickBot="1">
      <c r="A360" s="21" t="s">
        <v>12777</v>
      </c>
      <c r="B360" s="22" t="s">
        <v>12778</v>
      </c>
      <c r="C360" s="21"/>
      <c r="D360" s="21"/>
      <c r="E360">
        <f t="shared" si="5"/>
        <v>0</v>
      </c>
    </row>
    <row r="361" spans="1:5" ht="15" thickBot="1">
      <c r="A361" s="21" t="s">
        <v>12779</v>
      </c>
      <c r="B361" s="21" t="s">
        <v>12780</v>
      </c>
      <c r="C361" s="21"/>
      <c r="D361" s="21"/>
      <c r="E361">
        <f t="shared" si="5"/>
        <v>0</v>
      </c>
    </row>
    <row r="362" spans="1:5" ht="15" thickBot="1">
      <c r="A362" s="21" t="s">
        <v>12783</v>
      </c>
      <c r="B362" s="21" t="s">
        <v>8901</v>
      </c>
      <c r="C362" s="21"/>
      <c r="D362" s="21"/>
      <c r="E362">
        <f t="shared" si="5"/>
        <v>0</v>
      </c>
    </row>
    <row r="363" spans="1:5" ht="39" thickBot="1">
      <c r="A363" s="21" t="s">
        <v>12784</v>
      </c>
      <c r="B363" s="21" t="s">
        <v>12785</v>
      </c>
      <c r="C363" s="21"/>
      <c r="D363" s="21"/>
      <c r="E363">
        <f t="shared" si="5"/>
        <v>0</v>
      </c>
    </row>
    <row r="364" spans="1:5" ht="15" thickBot="1">
      <c r="A364" s="21" t="s">
        <v>12786</v>
      </c>
      <c r="B364" s="21" t="s">
        <v>3971</v>
      </c>
      <c r="C364" s="21"/>
      <c r="D364" s="21"/>
      <c r="E364">
        <f t="shared" si="5"/>
        <v>0</v>
      </c>
    </row>
    <row r="365" spans="1:5" ht="15" thickBot="1">
      <c r="A365" s="21" t="s">
        <v>12787</v>
      </c>
      <c r="B365" s="21" t="s">
        <v>12788</v>
      </c>
      <c r="C365" s="21"/>
      <c r="D365" s="21"/>
      <c r="E365">
        <f t="shared" si="5"/>
        <v>0</v>
      </c>
    </row>
    <row r="366" spans="1:5" ht="15" thickBot="1">
      <c r="A366" s="21" t="s">
        <v>12789</v>
      </c>
      <c r="B366" s="21" t="s">
        <v>9889</v>
      </c>
      <c r="C366" s="21"/>
      <c r="D366" s="21"/>
      <c r="E366">
        <f t="shared" si="5"/>
        <v>0</v>
      </c>
    </row>
    <row r="367" spans="1:5" ht="15" thickBot="1">
      <c r="A367" s="21" t="s">
        <v>12790</v>
      </c>
      <c r="B367" s="21" t="s">
        <v>12791</v>
      </c>
      <c r="C367" s="21"/>
      <c r="D367" s="21"/>
      <c r="E367">
        <f t="shared" si="5"/>
        <v>0</v>
      </c>
    </row>
    <row r="368" spans="1:5" ht="26.25" thickBot="1">
      <c r="A368" s="21" t="s">
        <v>12792</v>
      </c>
      <c r="B368" s="21" t="s">
        <v>12793</v>
      </c>
      <c r="C368" s="21"/>
      <c r="D368" s="21"/>
      <c r="E368">
        <f t="shared" si="5"/>
        <v>0</v>
      </c>
    </row>
    <row r="369" spans="1:5" ht="26.25" thickBot="1">
      <c r="A369" s="21"/>
      <c r="B369" s="21" t="s">
        <v>12802</v>
      </c>
      <c r="C369" s="21"/>
      <c r="D369" s="21"/>
      <c r="E369">
        <f t="shared" si="5"/>
        <v>0</v>
      </c>
    </row>
    <row r="370" spans="1:5" ht="26.25" thickBot="1">
      <c r="A370" s="21" t="s">
        <v>12803</v>
      </c>
      <c r="B370" s="21" t="s">
        <v>12804</v>
      </c>
      <c r="C370" s="21"/>
      <c r="D370" s="21"/>
      <c r="E370">
        <f t="shared" si="5"/>
        <v>0</v>
      </c>
    </row>
    <row r="371" spans="1:5" ht="26.25" thickBot="1">
      <c r="A371" s="21" t="s">
        <v>12805</v>
      </c>
      <c r="B371" s="21" t="s">
        <v>12806</v>
      </c>
      <c r="C371" s="21"/>
      <c r="D371" s="21"/>
      <c r="E371">
        <f t="shared" si="5"/>
        <v>0</v>
      </c>
    </row>
    <row r="372" spans="1:5" ht="15" thickBot="1">
      <c r="A372" s="21" t="s">
        <v>12807</v>
      </c>
      <c r="B372" s="21" t="s">
        <v>12808</v>
      </c>
      <c r="C372" s="21"/>
      <c r="D372" s="21"/>
      <c r="E372">
        <f t="shared" si="5"/>
        <v>0</v>
      </c>
    </row>
    <row r="373" spans="1:5" ht="39" thickBot="1">
      <c r="A373" s="21" t="s">
        <v>12809</v>
      </c>
      <c r="B373" s="21" t="s">
        <v>12810</v>
      </c>
      <c r="C373" s="21"/>
      <c r="D373" s="21"/>
      <c r="E373">
        <f t="shared" si="5"/>
        <v>0</v>
      </c>
    </row>
    <row r="374" spans="1:5" ht="15" thickBot="1">
      <c r="A374" s="21" t="s">
        <v>12811</v>
      </c>
      <c r="B374" s="21" t="s">
        <v>12812</v>
      </c>
      <c r="C374" s="21"/>
      <c r="D374" s="21"/>
      <c r="E374">
        <f t="shared" si="5"/>
        <v>0</v>
      </c>
    </row>
    <row r="375" spans="1:5" ht="26.25" thickBot="1">
      <c r="A375" s="21" t="s">
        <v>12813</v>
      </c>
      <c r="B375" s="21" t="s">
        <v>12814</v>
      </c>
      <c r="C375" s="21"/>
      <c r="D375" s="21"/>
      <c r="E375">
        <f t="shared" si="5"/>
        <v>0</v>
      </c>
    </row>
    <row r="376" spans="1:5" ht="15" thickBot="1">
      <c r="A376" s="21"/>
      <c r="B376" s="21" t="s">
        <v>12815</v>
      </c>
      <c r="C376" s="21" t="s">
        <v>7919</v>
      </c>
      <c r="D376" s="21"/>
      <c r="E376">
        <f t="shared" si="5"/>
        <v>0</v>
      </c>
    </row>
    <row r="377" spans="1:5" ht="26.25" thickBot="1">
      <c r="A377" s="21" t="s">
        <v>12816</v>
      </c>
      <c r="B377" s="21" t="s">
        <v>12817</v>
      </c>
      <c r="C377" s="21"/>
      <c r="D377" s="21"/>
      <c r="E377">
        <f t="shared" si="5"/>
        <v>0</v>
      </c>
    </row>
    <row r="378" spans="1:5" ht="26.25" thickBot="1">
      <c r="A378" s="21" t="s">
        <v>12818</v>
      </c>
      <c r="B378" s="21" t="s">
        <v>12819</v>
      </c>
      <c r="C378" s="21"/>
      <c r="D378" s="21"/>
      <c r="E378">
        <f t="shared" si="5"/>
        <v>0</v>
      </c>
    </row>
    <row r="379" spans="1:5" ht="26.25" thickBot="1">
      <c r="A379" s="21" t="s">
        <v>12820</v>
      </c>
      <c r="B379" s="21" t="s">
        <v>12821</v>
      </c>
      <c r="C379" s="21"/>
      <c r="D379" s="21"/>
      <c r="E379">
        <f t="shared" si="5"/>
        <v>0</v>
      </c>
    </row>
    <row r="380" spans="1:5" ht="15" thickBot="1">
      <c r="A380" s="21" t="s">
        <v>12824</v>
      </c>
      <c r="B380" s="21" t="s">
        <v>8206</v>
      </c>
      <c r="C380" s="21"/>
      <c r="D380" s="21"/>
      <c r="E380">
        <f t="shared" si="5"/>
        <v>0</v>
      </c>
    </row>
    <row r="381" spans="1:5" ht="26.25" thickBot="1">
      <c r="A381" s="21" t="s">
        <v>12825</v>
      </c>
      <c r="B381" s="21" t="s">
        <v>12826</v>
      </c>
      <c r="C381" s="21"/>
      <c r="D381" s="21"/>
      <c r="E381">
        <f t="shared" si="5"/>
        <v>0</v>
      </c>
    </row>
    <row r="382" spans="1:5" ht="26.25" thickBot="1">
      <c r="A382" s="21" t="s">
        <v>12827</v>
      </c>
      <c r="B382" s="21" t="s">
        <v>12828</v>
      </c>
      <c r="C382" s="21"/>
      <c r="D382" s="21"/>
      <c r="E382">
        <f t="shared" si="5"/>
        <v>0</v>
      </c>
    </row>
    <row r="383" spans="1:5" ht="15" thickBot="1">
      <c r="A383" s="21" t="s">
        <v>12829</v>
      </c>
      <c r="B383" s="21" t="s">
        <v>10767</v>
      </c>
      <c r="C383" s="21"/>
      <c r="D383" s="21"/>
      <c r="E383">
        <f t="shared" si="5"/>
        <v>0</v>
      </c>
    </row>
    <row r="384" spans="1:5" ht="15" thickBot="1">
      <c r="A384" s="21"/>
      <c r="B384" s="21" t="s">
        <v>12749</v>
      </c>
      <c r="C384" s="21" t="s">
        <v>12832</v>
      </c>
      <c r="D384" s="21"/>
      <c r="E384">
        <f t="shared" si="5"/>
        <v>0</v>
      </c>
    </row>
    <row r="385" spans="1:5" ht="15" thickBot="1">
      <c r="A385" s="21"/>
      <c r="B385" s="21" t="s">
        <v>9080</v>
      </c>
      <c r="C385" s="21"/>
      <c r="D385" s="21"/>
      <c r="E385">
        <f t="shared" si="5"/>
        <v>0</v>
      </c>
    </row>
    <row r="386" spans="1:5" ht="26.25" thickBot="1">
      <c r="A386" s="21" t="s">
        <v>12833</v>
      </c>
      <c r="B386" s="21" t="s">
        <v>12834</v>
      </c>
      <c r="C386" s="21"/>
      <c r="D386" s="21"/>
      <c r="E386">
        <f t="shared" ref="E386:E449" si="6">IF(A386&lt;1,D386,)</f>
        <v>0</v>
      </c>
    </row>
    <row r="387" spans="1:5" ht="15" thickBot="1">
      <c r="A387" s="21"/>
      <c r="B387" s="21" t="s">
        <v>12835</v>
      </c>
      <c r="C387" s="21"/>
      <c r="D387" s="21"/>
      <c r="E387">
        <f t="shared" si="6"/>
        <v>0</v>
      </c>
    </row>
    <row r="388" spans="1:5" ht="15" thickBot="1">
      <c r="A388" s="21" t="s">
        <v>12836</v>
      </c>
      <c r="B388" s="21" t="s">
        <v>12837</v>
      </c>
      <c r="C388" s="21"/>
      <c r="D388" s="21"/>
      <c r="E388">
        <f t="shared" si="6"/>
        <v>0</v>
      </c>
    </row>
    <row r="389" spans="1:5" ht="15" thickBot="1">
      <c r="A389" s="21" t="s">
        <v>12838</v>
      </c>
      <c r="B389" s="21" t="s">
        <v>12839</v>
      </c>
      <c r="C389" s="21"/>
      <c r="D389" s="21"/>
      <c r="E389">
        <f t="shared" si="6"/>
        <v>0</v>
      </c>
    </row>
    <row r="390" spans="1:5" ht="26.25" thickBot="1">
      <c r="A390" s="21"/>
      <c r="B390" s="21" t="s">
        <v>12840</v>
      </c>
      <c r="C390" s="21"/>
      <c r="D390" s="21"/>
      <c r="E390">
        <f t="shared" si="6"/>
        <v>0</v>
      </c>
    </row>
    <row r="391" spans="1:5" ht="15" thickBot="1">
      <c r="A391" s="21"/>
      <c r="B391" s="21" t="s">
        <v>8206</v>
      </c>
      <c r="C391" s="21" t="s">
        <v>8206</v>
      </c>
      <c r="D391" s="21"/>
      <c r="E391">
        <f t="shared" si="6"/>
        <v>0</v>
      </c>
    </row>
    <row r="392" spans="1:5" ht="26.25" thickBot="1">
      <c r="A392" s="21"/>
      <c r="B392" s="21" t="s">
        <v>12841</v>
      </c>
      <c r="C392" s="21"/>
      <c r="D392" s="21"/>
      <c r="E392">
        <f t="shared" si="6"/>
        <v>0</v>
      </c>
    </row>
    <row r="393" spans="1:5" ht="15" thickBot="1">
      <c r="A393" s="21" t="s">
        <v>12842</v>
      </c>
      <c r="B393" s="21" t="s">
        <v>8643</v>
      </c>
      <c r="C393" s="21"/>
      <c r="D393" s="21"/>
      <c r="E393">
        <f t="shared" si="6"/>
        <v>0</v>
      </c>
    </row>
    <row r="394" spans="1:5" ht="26.25" thickBot="1">
      <c r="A394" s="21" t="s">
        <v>12845</v>
      </c>
      <c r="B394" s="21" t="s">
        <v>12846</v>
      </c>
      <c r="C394" s="21"/>
      <c r="D394" s="21"/>
      <c r="E394">
        <f t="shared" si="6"/>
        <v>0</v>
      </c>
    </row>
    <row r="395" spans="1:5" ht="26.25" thickBot="1">
      <c r="A395" s="21" t="s">
        <v>12847</v>
      </c>
      <c r="B395" s="21" t="s">
        <v>4334</v>
      </c>
      <c r="C395" s="21"/>
      <c r="D395" s="21"/>
      <c r="E395">
        <f t="shared" si="6"/>
        <v>0</v>
      </c>
    </row>
    <row r="396" spans="1:5" ht="15" thickBot="1">
      <c r="A396" s="21" t="s">
        <v>12848</v>
      </c>
      <c r="B396" s="21" t="s">
        <v>7399</v>
      </c>
      <c r="C396" s="21"/>
      <c r="D396" s="21"/>
      <c r="E396">
        <f t="shared" si="6"/>
        <v>0</v>
      </c>
    </row>
    <row r="397" spans="1:5" ht="15" thickBot="1">
      <c r="A397" s="21" t="s">
        <v>12849</v>
      </c>
      <c r="B397" s="21" t="s">
        <v>12850</v>
      </c>
      <c r="C397" s="21"/>
      <c r="D397" s="21"/>
      <c r="E397">
        <f t="shared" si="6"/>
        <v>0</v>
      </c>
    </row>
    <row r="398" spans="1:5" ht="39" thickBot="1">
      <c r="A398" s="21" t="s">
        <v>12851</v>
      </c>
      <c r="B398" s="21" t="s">
        <v>12852</v>
      </c>
      <c r="C398" s="21"/>
      <c r="D398" s="21"/>
      <c r="E398">
        <f t="shared" si="6"/>
        <v>0</v>
      </c>
    </row>
    <row r="399" spans="1:5" ht="15" thickBot="1">
      <c r="A399" s="21"/>
      <c r="B399" s="21" t="s">
        <v>12853</v>
      </c>
      <c r="C399" s="21"/>
      <c r="D399" s="21"/>
      <c r="E399">
        <f t="shared" si="6"/>
        <v>0</v>
      </c>
    </row>
    <row r="400" spans="1:5" ht="15" thickBot="1">
      <c r="A400" s="21"/>
      <c r="B400" s="21" t="s">
        <v>8162</v>
      </c>
      <c r="C400" s="21"/>
      <c r="D400" s="21"/>
      <c r="E400">
        <f t="shared" si="6"/>
        <v>0</v>
      </c>
    </row>
    <row r="401" spans="1:5" ht="15" thickBot="1">
      <c r="A401" s="21" t="s">
        <v>12854</v>
      </c>
      <c r="B401" s="21" t="s">
        <v>9937</v>
      </c>
      <c r="C401" s="21"/>
      <c r="D401" s="21"/>
      <c r="E401">
        <f t="shared" si="6"/>
        <v>0</v>
      </c>
    </row>
    <row r="402" spans="1:5" ht="15" thickBot="1">
      <c r="A402" s="21" t="s">
        <v>12855</v>
      </c>
      <c r="B402" s="21" t="s">
        <v>7768</v>
      </c>
      <c r="C402" s="21"/>
      <c r="D402" s="21"/>
      <c r="E402">
        <f t="shared" si="6"/>
        <v>0</v>
      </c>
    </row>
    <row r="403" spans="1:5" ht="39" thickBot="1">
      <c r="A403" s="21" t="s">
        <v>12856</v>
      </c>
      <c r="B403" s="21" t="s">
        <v>12857</v>
      </c>
      <c r="C403" s="21"/>
      <c r="D403" s="21"/>
      <c r="E403">
        <f t="shared" si="6"/>
        <v>0</v>
      </c>
    </row>
    <row r="404" spans="1:5" ht="15" thickBot="1">
      <c r="A404" s="21"/>
      <c r="B404" s="21" t="s">
        <v>8431</v>
      </c>
      <c r="C404" s="21" t="s">
        <v>12858</v>
      </c>
      <c r="D404" s="21"/>
      <c r="E404">
        <f t="shared" si="6"/>
        <v>0</v>
      </c>
    </row>
    <row r="405" spans="1:5" ht="15" thickBot="1">
      <c r="A405" s="21" t="s">
        <v>12859</v>
      </c>
      <c r="B405" s="21" t="s">
        <v>12860</v>
      </c>
      <c r="C405" s="21"/>
      <c r="D405" s="21"/>
      <c r="E405">
        <f t="shared" si="6"/>
        <v>0</v>
      </c>
    </row>
    <row r="406" spans="1:5" ht="15" thickBot="1">
      <c r="A406" s="21"/>
      <c r="B406" s="21" t="s">
        <v>10051</v>
      </c>
      <c r="C406" s="21"/>
      <c r="D406" s="21"/>
      <c r="E406">
        <f t="shared" si="6"/>
        <v>0</v>
      </c>
    </row>
    <row r="407" spans="1:5" ht="15" thickBot="1">
      <c r="A407" s="21"/>
      <c r="B407" s="21" t="s">
        <v>12861</v>
      </c>
      <c r="C407" s="21" t="s">
        <v>8444</v>
      </c>
      <c r="D407" s="21"/>
      <c r="E407">
        <f t="shared" si="6"/>
        <v>0</v>
      </c>
    </row>
    <row r="408" spans="1:5" ht="39" thickBot="1">
      <c r="A408" s="21" t="s">
        <v>12862</v>
      </c>
      <c r="B408" s="21" t="s">
        <v>12863</v>
      </c>
      <c r="C408" s="21"/>
      <c r="D408" s="21"/>
      <c r="E408">
        <f t="shared" si="6"/>
        <v>0</v>
      </c>
    </row>
    <row r="409" spans="1:5" ht="26.25" thickBot="1">
      <c r="A409" s="21" t="s">
        <v>12865</v>
      </c>
      <c r="B409" s="21" t="s">
        <v>12866</v>
      </c>
      <c r="C409" s="21"/>
      <c r="D409" s="21"/>
      <c r="E409">
        <f t="shared" si="6"/>
        <v>0</v>
      </c>
    </row>
    <row r="410" spans="1:5" ht="39" thickBot="1">
      <c r="A410" s="21" t="s">
        <v>12867</v>
      </c>
      <c r="B410" s="21" t="s">
        <v>12868</v>
      </c>
      <c r="C410" s="21"/>
      <c r="D410" s="21"/>
      <c r="E410">
        <f t="shared" si="6"/>
        <v>0</v>
      </c>
    </row>
    <row r="411" spans="1:5" ht="26.25" thickBot="1">
      <c r="A411" s="21" t="s">
        <v>12869</v>
      </c>
      <c r="B411" s="21" t="s">
        <v>12870</v>
      </c>
      <c r="C411" s="21"/>
      <c r="D411" s="21"/>
      <c r="E411">
        <f t="shared" si="6"/>
        <v>0</v>
      </c>
    </row>
    <row r="412" spans="1:5" ht="26.25" thickBot="1">
      <c r="A412" s="21"/>
      <c r="B412" s="21" t="s">
        <v>12871</v>
      </c>
      <c r="C412" s="21"/>
      <c r="D412" s="21"/>
      <c r="E412">
        <f t="shared" si="6"/>
        <v>0</v>
      </c>
    </row>
    <row r="413" spans="1:5" ht="15" thickBot="1">
      <c r="A413" s="21" t="s">
        <v>12872</v>
      </c>
      <c r="B413" s="21" t="s">
        <v>12873</v>
      </c>
      <c r="C413" s="21"/>
      <c r="D413" s="21"/>
      <c r="E413">
        <f t="shared" si="6"/>
        <v>0</v>
      </c>
    </row>
    <row r="414" spans="1:5" ht="15" thickBot="1">
      <c r="A414" s="21" t="s">
        <v>12874</v>
      </c>
      <c r="B414" s="21" t="s">
        <v>8682</v>
      </c>
      <c r="C414" s="21"/>
      <c r="D414" s="21"/>
      <c r="E414">
        <f t="shared" si="6"/>
        <v>0</v>
      </c>
    </row>
    <row r="415" spans="1:5" ht="15" thickBot="1">
      <c r="A415" s="21"/>
      <c r="B415" s="21" t="s">
        <v>12875</v>
      </c>
      <c r="C415" s="21" t="s">
        <v>12876</v>
      </c>
      <c r="D415" s="21"/>
      <c r="E415">
        <f t="shared" si="6"/>
        <v>0</v>
      </c>
    </row>
    <row r="416" spans="1:5" ht="15" thickBot="1">
      <c r="A416" s="21"/>
      <c r="B416" s="21" t="s">
        <v>12878</v>
      </c>
      <c r="C416" s="21" t="s">
        <v>12879</v>
      </c>
      <c r="D416" s="21"/>
      <c r="E416">
        <f t="shared" si="6"/>
        <v>0</v>
      </c>
    </row>
    <row r="417" spans="1:5" ht="26.25" thickBot="1">
      <c r="A417" s="21"/>
      <c r="B417" s="21" t="s">
        <v>12880</v>
      </c>
      <c r="C417" s="22" t="s">
        <v>12881</v>
      </c>
      <c r="D417" s="21"/>
      <c r="E417">
        <f t="shared" si="6"/>
        <v>0</v>
      </c>
    </row>
    <row r="418" spans="1:5" ht="26.25" thickBot="1">
      <c r="A418" s="21" t="s">
        <v>12882</v>
      </c>
      <c r="B418" s="21" t="s">
        <v>12883</v>
      </c>
      <c r="C418" s="21"/>
      <c r="D418" s="21"/>
      <c r="E418">
        <f t="shared" si="6"/>
        <v>0</v>
      </c>
    </row>
    <row r="419" spans="1:5" ht="15" thickBot="1">
      <c r="A419" s="21" t="s">
        <v>12884</v>
      </c>
      <c r="B419" s="21" t="s">
        <v>11346</v>
      </c>
      <c r="C419" s="21"/>
      <c r="D419" s="21"/>
      <c r="E419">
        <f t="shared" si="6"/>
        <v>0</v>
      </c>
    </row>
    <row r="420" spans="1:5" ht="15" thickBot="1">
      <c r="A420" s="21" t="s">
        <v>12885</v>
      </c>
      <c r="B420" s="21" t="s">
        <v>12886</v>
      </c>
      <c r="C420" s="21"/>
      <c r="D420" s="21"/>
      <c r="E420">
        <f t="shared" si="6"/>
        <v>0</v>
      </c>
    </row>
    <row r="421" spans="1:5" ht="15" thickBot="1">
      <c r="A421" s="21"/>
      <c r="B421" s="21" t="s">
        <v>9657</v>
      </c>
      <c r="C421" s="21"/>
      <c r="D421" s="21"/>
      <c r="E421">
        <f t="shared" si="6"/>
        <v>0</v>
      </c>
    </row>
    <row r="422" spans="1:5" ht="15" thickBot="1">
      <c r="A422" s="21"/>
      <c r="B422" s="22" t="s">
        <v>12887</v>
      </c>
      <c r="C422" s="21"/>
      <c r="D422" s="21"/>
      <c r="E422">
        <f t="shared" si="6"/>
        <v>0</v>
      </c>
    </row>
    <row r="423" spans="1:5" ht="26.25" thickBot="1">
      <c r="A423" s="21" t="s">
        <v>12888</v>
      </c>
      <c r="B423" s="21" t="s">
        <v>12889</v>
      </c>
      <c r="C423" s="21"/>
      <c r="D423" s="21"/>
      <c r="E423">
        <f t="shared" si="6"/>
        <v>0</v>
      </c>
    </row>
    <row r="424" spans="1:5" ht="15" thickBot="1">
      <c r="A424" s="21" t="s">
        <v>12890</v>
      </c>
      <c r="B424" s="21" t="s">
        <v>12891</v>
      </c>
      <c r="C424" s="21"/>
      <c r="D424" s="21"/>
      <c r="E424">
        <f t="shared" si="6"/>
        <v>0</v>
      </c>
    </row>
    <row r="425" spans="1:5" ht="15" thickBot="1">
      <c r="A425" s="21"/>
      <c r="B425" s="21" t="s">
        <v>7399</v>
      </c>
      <c r="C425" s="21"/>
      <c r="D425" s="21"/>
      <c r="E425">
        <f t="shared" si="6"/>
        <v>0</v>
      </c>
    </row>
    <row r="426" spans="1:5" ht="26.25" thickBot="1">
      <c r="A426" s="21"/>
      <c r="B426" s="21" t="s">
        <v>12892</v>
      </c>
      <c r="C426" s="21"/>
      <c r="D426" s="21"/>
      <c r="E426">
        <f t="shared" si="6"/>
        <v>0</v>
      </c>
    </row>
    <row r="427" spans="1:5" ht="26.25" thickBot="1">
      <c r="A427" s="21" t="s">
        <v>12893</v>
      </c>
      <c r="B427" s="21" t="s">
        <v>12894</v>
      </c>
      <c r="C427" s="21"/>
      <c r="D427" s="21"/>
      <c r="E427">
        <f t="shared" si="6"/>
        <v>0</v>
      </c>
    </row>
    <row r="428" spans="1:5" ht="39" thickBot="1">
      <c r="A428" s="21" t="s">
        <v>12895</v>
      </c>
      <c r="B428" s="21" t="s">
        <v>12896</v>
      </c>
      <c r="C428" s="21"/>
      <c r="D428" s="21"/>
      <c r="E428">
        <f t="shared" si="6"/>
        <v>0</v>
      </c>
    </row>
    <row r="429" spans="1:5" ht="26.25" thickBot="1">
      <c r="A429" s="21" t="s">
        <v>12898</v>
      </c>
      <c r="B429" s="21" t="s">
        <v>12899</v>
      </c>
      <c r="C429" s="21"/>
      <c r="D429" s="21"/>
      <c r="E429">
        <f t="shared" si="6"/>
        <v>0</v>
      </c>
    </row>
    <row r="430" spans="1:5" ht="15" thickBot="1">
      <c r="A430" s="21" t="s">
        <v>12901</v>
      </c>
      <c r="B430" s="21" t="s">
        <v>8753</v>
      </c>
      <c r="C430" s="21"/>
      <c r="D430" s="21"/>
      <c r="E430">
        <f t="shared" si="6"/>
        <v>0</v>
      </c>
    </row>
    <row r="431" spans="1:5" ht="39" thickBot="1">
      <c r="A431" s="21" t="s">
        <v>12902</v>
      </c>
      <c r="B431" s="21" t="s">
        <v>12903</v>
      </c>
      <c r="C431" s="21"/>
      <c r="D431" s="21"/>
      <c r="E431">
        <f t="shared" si="6"/>
        <v>0</v>
      </c>
    </row>
    <row r="432" spans="1:5" ht="26.25" thickBot="1">
      <c r="A432" s="21" t="s">
        <v>12904</v>
      </c>
      <c r="B432" s="21" t="s">
        <v>6463</v>
      </c>
      <c r="C432" s="21"/>
      <c r="D432" s="21"/>
      <c r="E432">
        <f t="shared" si="6"/>
        <v>0</v>
      </c>
    </row>
    <row r="433" spans="1:5" ht="26.25" thickBot="1">
      <c r="A433" s="21" t="s">
        <v>12905</v>
      </c>
      <c r="B433" s="21" t="s">
        <v>12906</v>
      </c>
      <c r="C433" s="21"/>
      <c r="D433" s="21"/>
      <c r="E433">
        <f t="shared" si="6"/>
        <v>0</v>
      </c>
    </row>
    <row r="434" spans="1:5" ht="26.25" thickBot="1">
      <c r="A434" s="21"/>
      <c r="B434" s="21" t="s">
        <v>12907</v>
      </c>
      <c r="C434" s="21"/>
      <c r="D434" s="21"/>
      <c r="E434">
        <f t="shared" si="6"/>
        <v>0</v>
      </c>
    </row>
    <row r="435" spans="1:5" ht="15" thickBot="1">
      <c r="A435" s="21" t="s">
        <v>12908</v>
      </c>
      <c r="B435" s="21" t="s">
        <v>12909</v>
      </c>
      <c r="C435" s="21"/>
      <c r="D435" s="21"/>
      <c r="E435">
        <f t="shared" si="6"/>
        <v>0</v>
      </c>
    </row>
    <row r="436" spans="1:5" ht="15" thickBot="1">
      <c r="A436" s="21" t="s">
        <v>12910</v>
      </c>
      <c r="B436" s="21" t="s">
        <v>12911</v>
      </c>
      <c r="C436" s="21"/>
      <c r="D436" s="21"/>
      <c r="E436">
        <f t="shared" si="6"/>
        <v>0</v>
      </c>
    </row>
    <row r="437" spans="1:5" ht="15" thickBot="1">
      <c r="A437" s="21" t="s">
        <v>12912</v>
      </c>
      <c r="B437" s="21" t="s">
        <v>12913</v>
      </c>
      <c r="C437" s="21"/>
      <c r="D437" s="21"/>
      <c r="E437">
        <f t="shared" si="6"/>
        <v>0</v>
      </c>
    </row>
    <row r="438" spans="1:5" ht="26.25" thickBot="1">
      <c r="A438" s="21" t="s">
        <v>12914</v>
      </c>
      <c r="B438" s="21" t="s">
        <v>12915</v>
      </c>
      <c r="C438" s="21"/>
      <c r="D438" s="21"/>
      <c r="E438">
        <f t="shared" si="6"/>
        <v>0</v>
      </c>
    </row>
    <row r="439" spans="1:5" ht="39" thickBot="1">
      <c r="A439" s="21"/>
      <c r="B439" s="21" t="s">
        <v>12916</v>
      </c>
      <c r="C439" s="21"/>
      <c r="D439" s="21"/>
      <c r="E439">
        <f t="shared" si="6"/>
        <v>0</v>
      </c>
    </row>
    <row r="440" spans="1:5" ht="26.25" thickBot="1">
      <c r="A440" s="21" t="s">
        <v>12917</v>
      </c>
      <c r="B440" s="21" t="s">
        <v>12918</v>
      </c>
      <c r="C440" s="21"/>
      <c r="D440" s="21"/>
      <c r="E440">
        <f t="shared" si="6"/>
        <v>0</v>
      </c>
    </row>
    <row r="441" spans="1:5" ht="26.25" thickBot="1">
      <c r="A441" s="21" t="s">
        <v>12919</v>
      </c>
      <c r="B441" s="21" t="s">
        <v>12920</v>
      </c>
      <c r="C441" s="21"/>
      <c r="D441" s="21"/>
      <c r="E441">
        <f t="shared" si="6"/>
        <v>0</v>
      </c>
    </row>
    <row r="442" spans="1:5" ht="15" thickBot="1">
      <c r="A442" s="21" t="s">
        <v>12921</v>
      </c>
      <c r="B442" s="21" t="s">
        <v>12922</v>
      </c>
      <c r="C442" s="21"/>
      <c r="D442" s="21"/>
      <c r="E442">
        <f t="shared" si="6"/>
        <v>0</v>
      </c>
    </row>
    <row r="443" spans="1:5" ht="39" thickBot="1">
      <c r="A443" s="21" t="s">
        <v>12923</v>
      </c>
      <c r="B443" s="21" t="s">
        <v>12924</v>
      </c>
      <c r="C443" s="21"/>
      <c r="D443" s="21"/>
      <c r="E443">
        <f t="shared" si="6"/>
        <v>0</v>
      </c>
    </row>
    <row r="444" spans="1:5" ht="26.25" thickBot="1">
      <c r="A444" s="21"/>
      <c r="B444" s="21" t="s">
        <v>12925</v>
      </c>
      <c r="C444" s="21"/>
      <c r="D444" s="21"/>
      <c r="E444">
        <f t="shared" si="6"/>
        <v>0</v>
      </c>
    </row>
    <row r="445" spans="1:5" ht="15" thickBot="1">
      <c r="A445" s="21" t="s">
        <v>12927</v>
      </c>
      <c r="B445" s="21" t="s">
        <v>8479</v>
      </c>
      <c r="C445" s="21"/>
      <c r="D445" s="21"/>
      <c r="E445">
        <f t="shared" si="6"/>
        <v>0</v>
      </c>
    </row>
    <row r="446" spans="1:5" ht="15" thickBot="1">
      <c r="A446" s="21"/>
      <c r="B446" s="21" t="s">
        <v>8338</v>
      </c>
      <c r="C446" s="21" t="s">
        <v>8338</v>
      </c>
      <c r="D446" s="21"/>
      <c r="E446">
        <f t="shared" si="6"/>
        <v>0</v>
      </c>
    </row>
    <row r="447" spans="1:5" ht="26.25" thickBot="1">
      <c r="A447" s="21" t="s">
        <v>12928</v>
      </c>
      <c r="B447" s="21" t="s">
        <v>12929</v>
      </c>
      <c r="C447" s="21"/>
      <c r="D447" s="21"/>
      <c r="E447">
        <f t="shared" si="6"/>
        <v>0</v>
      </c>
    </row>
    <row r="448" spans="1:5" ht="15" thickBot="1">
      <c r="A448" s="21"/>
      <c r="B448" s="21" t="s">
        <v>9505</v>
      </c>
      <c r="C448" s="21"/>
      <c r="D448" s="21"/>
      <c r="E448">
        <f t="shared" si="6"/>
        <v>0</v>
      </c>
    </row>
    <row r="449" spans="1:5" ht="15" thickBot="1">
      <c r="A449" s="21" t="s">
        <v>12932</v>
      </c>
      <c r="B449" s="21" t="s">
        <v>8717</v>
      </c>
      <c r="C449" s="21"/>
      <c r="D449" s="21"/>
      <c r="E449">
        <f t="shared" si="6"/>
        <v>0</v>
      </c>
    </row>
    <row r="450" spans="1:5" ht="15" thickBot="1">
      <c r="A450" s="21"/>
      <c r="B450" s="21" t="s">
        <v>8721</v>
      </c>
      <c r="C450" s="21"/>
      <c r="D450" s="21"/>
      <c r="E450">
        <f t="shared" ref="E450:E513" si="7">IF(A450&lt;1,D450,)</f>
        <v>0</v>
      </c>
    </row>
    <row r="451" spans="1:5" ht="15" thickBot="1">
      <c r="A451" s="21" t="s">
        <v>12935</v>
      </c>
      <c r="B451" s="21" t="s">
        <v>10115</v>
      </c>
      <c r="C451" s="21"/>
      <c r="D451" s="21"/>
      <c r="E451">
        <f t="shared" si="7"/>
        <v>0</v>
      </c>
    </row>
    <row r="452" spans="1:5" ht="26.25" thickBot="1">
      <c r="A452" s="21" t="s">
        <v>12936</v>
      </c>
      <c r="B452" s="21" t="s">
        <v>12937</v>
      </c>
      <c r="C452" s="21"/>
      <c r="D452" s="21"/>
      <c r="E452">
        <f t="shared" si="7"/>
        <v>0</v>
      </c>
    </row>
    <row r="453" spans="1:5" ht="26.25" thickBot="1">
      <c r="A453" s="21" t="s">
        <v>12939</v>
      </c>
      <c r="B453" s="21" t="s">
        <v>12940</v>
      </c>
      <c r="C453" s="21"/>
      <c r="D453" s="21"/>
      <c r="E453">
        <f t="shared" si="7"/>
        <v>0</v>
      </c>
    </row>
    <row r="454" spans="1:5" ht="15" thickBot="1">
      <c r="A454" s="21" t="s">
        <v>12941</v>
      </c>
      <c r="B454" s="21" t="s">
        <v>8721</v>
      </c>
      <c r="C454" s="21"/>
      <c r="D454" s="21"/>
      <c r="E454">
        <f t="shared" si="7"/>
        <v>0</v>
      </c>
    </row>
    <row r="455" spans="1:5" ht="15" thickBot="1">
      <c r="A455" s="21"/>
      <c r="B455" s="21" t="s">
        <v>8206</v>
      </c>
      <c r="C455" s="21" t="s">
        <v>8206</v>
      </c>
      <c r="D455" s="21"/>
      <c r="E455">
        <f t="shared" si="7"/>
        <v>0</v>
      </c>
    </row>
    <row r="456" spans="1:5" ht="15" thickBot="1">
      <c r="A456" s="21"/>
      <c r="B456" s="21" t="s">
        <v>8581</v>
      </c>
      <c r="C456" s="21"/>
      <c r="D456" s="21"/>
      <c r="E456">
        <f t="shared" si="7"/>
        <v>0</v>
      </c>
    </row>
    <row r="457" spans="1:5" ht="15" thickBot="1">
      <c r="A457" s="21"/>
      <c r="B457" s="21" t="s">
        <v>12943</v>
      </c>
      <c r="C457" s="21"/>
      <c r="D457" s="21"/>
      <c r="E457">
        <f t="shared" si="7"/>
        <v>0</v>
      </c>
    </row>
    <row r="458" spans="1:5" ht="15" thickBot="1">
      <c r="A458" s="21"/>
      <c r="B458" s="21" t="s">
        <v>12944</v>
      </c>
      <c r="C458" s="21"/>
      <c r="D458" s="21"/>
      <c r="E458">
        <f t="shared" si="7"/>
        <v>0</v>
      </c>
    </row>
    <row r="459" spans="1:5" ht="26.25" thickBot="1">
      <c r="A459" s="21"/>
      <c r="B459" s="21" t="s">
        <v>12945</v>
      </c>
      <c r="C459" s="21"/>
      <c r="D459" s="21"/>
      <c r="E459">
        <f t="shared" si="7"/>
        <v>0</v>
      </c>
    </row>
    <row r="460" spans="1:5" ht="26.25" thickBot="1">
      <c r="A460" s="21"/>
      <c r="B460" s="21" t="s">
        <v>12946</v>
      </c>
      <c r="C460" s="21"/>
      <c r="D460" s="21"/>
      <c r="E460">
        <f t="shared" si="7"/>
        <v>0</v>
      </c>
    </row>
    <row r="461" spans="1:5" ht="15" thickBot="1">
      <c r="A461" s="21"/>
      <c r="B461" s="21" t="s">
        <v>9437</v>
      </c>
      <c r="C461" s="21"/>
      <c r="D461" s="21"/>
      <c r="E461">
        <f t="shared" si="7"/>
        <v>0</v>
      </c>
    </row>
    <row r="462" spans="1:5" ht="26.25" thickBot="1">
      <c r="A462" s="21" t="s">
        <v>12947</v>
      </c>
      <c r="B462" s="21" t="s">
        <v>12948</v>
      </c>
      <c r="C462" s="21"/>
      <c r="D462" s="21"/>
      <c r="E462">
        <f t="shared" si="7"/>
        <v>0</v>
      </c>
    </row>
    <row r="463" spans="1:5" ht="15" thickBot="1">
      <c r="A463" s="21" t="s">
        <v>12949</v>
      </c>
      <c r="B463" s="21" t="s">
        <v>8234</v>
      </c>
      <c r="C463" s="21"/>
      <c r="D463" s="21"/>
      <c r="E463">
        <f t="shared" si="7"/>
        <v>0</v>
      </c>
    </row>
    <row r="464" spans="1:5" ht="15" thickBot="1">
      <c r="A464" s="21" t="s">
        <v>12950</v>
      </c>
      <c r="B464" s="21" t="s">
        <v>12951</v>
      </c>
      <c r="C464" s="21"/>
      <c r="D464" s="21"/>
      <c r="E464">
        <f t="shared" si="7"/>
        <v>0</v>
      </c>
    </row>
    <row r="465" spans="1:5" ht="26.25" thickBot="1">
      <c r="A465" s="21" t="s">
        <v>12952</v>
      </c>
      <c r="B465" s="21" t="s">
        <v>12953</v>
      </c>
      <c r="C465" s="21"/>
      <c r="D465" s="21"/>
      <c r="E465">
        <f t="shared" si="7"/>
        <v>0</v>
      </c>
    </row>
    <row r="466" spans="1:5" ht="15" thickBot="1">
      <c r="A466" s="21" t="s">
        <v>12954</v>
      </c>
      <c r="B466" s="21" t="s">
        <v>12955</v>
      </c>
      <c r="C466" s="21"/>
      <c r="D466" s="21"/>
      <c r="E466">
        <f t="shared" si="7"/>
        <v>0</v>
      </c>
    </row>
    <row r="467" spans="1:5" ht="15" thickBot="1">
      <c r="A467" s="21"/>
      <c r="B467" s="21" t="s">
        <v>12956</v>
      </c>
      <c r="C467" s="22" t="s">
        <v>12957</v>
      </c>
      <c r="D467" s="21"/>
      <c r="E467">
        <f t="shared" si="7"/>
        <v>0</v>
      </c>
    </row>
    <row r="468" spans="1:5" ht="15" thickBot="1">
      <c r="A468" s="21" t="s">
        <v>12958</v>
      </c>
      <c r="B468" s="21" t="s">
        <v>10967</v>
      </c>
      <c r="C468" s="21"/>
      <c r="D468" s="21"/>
      <c r="E468">
        <f t="shared" si="7"/>
        <v>0</v>
      </c>
    </row>
    <row r="469" spans="1:5" ht="26.25" thickBot="1">
      <c r="A469" s="21" t="s">
        <v>12959</v>
      </c>
      <c r="B469" s="21" t="s">
        <v>12960</v>
      </c>
      <c r="C469" s="21"/>
      <c r="D469" s="21"/>
      <c r="E469">
        <f t="shared" si="7"/>
        <v>0</v>
      </c>
    </row>
    <row r="470" spans="1:5" ht="39" thickBot="1">
      <c r="A470" s="21" t="s">
        <v>12962</v>
      </c>
      <c r="B470" s="21" t="s">
        <v>2234</v>
      </c>
      <c r="C470" s="21"/>
      <c r="D470" s="21"/>
      <c r="E470">
        <f t="shared" si="7"/>
        <v>0</v>
      </c>
    </row>
    <row r="471" spans="1:5" ht="26.25" thickBot="1">
      <c r="A471" s="21" t="s">
        <v>12963</v>
      </c>
      <c r="B471" s="21" t="s">
        <v>12964</v>
      </c>
      <c r="C471" s="21"/>
      <c r="D471" s="21"/>
      <c r="E471">
        <f t="shared" si="7"/>
        <v>0</v>
      </c>
    </row>
    <row r="472" spans="1:5" ht="15" thickBot="1">
      <c r="A472" s="21"/>
      <c r="B472" s="21" t="s">
        <v>12965</v>
      </c>
      <c r="C472" s="21"/>
      <c r="D472" s="21"/>
      <c r="E472">
        <f t="shared" si="7"/>
        <v>0</v>
      </c>
    </row>
    <row r="473" spans="1:5" ht="26.25" thickBot="1">
      <c r="A473" s="21" t="s">
        <v>12966</v>
      </c>
      <c r="B473" s="21" t="s">
        <v>428</v>
      </c>
      <c r="C473" s="21"/>
      <c r="D473" s="21"/>
      <c r="E473">
        <f t="shared" si="7"/>
        <v>0</v>
      </c>
    </row>
    <row r="474" spans="1:5" ht="15" thickBot="1">
      <c r="A474" s="21" t="s">
        <v>12967</v>
      </c>
      <c r="B474" s="21" t="s">
        <v>8365</v>
      </c>
      <c r="C474" s="21"/>
      <c r="D474" s="21"/>
      <c r="E474">
        <f t="shared" si="7"/>
        <v>0</v>
      </c>
    </row>
    <row r="475" spans="1:5" ht="26.25" thickBot="1">
      <c r="A475" s="21" t="s">
        <v>12968</v>
      </c>
      <c r="B475" s="21" t="s">
        <v>12969</v>
      </c>
      <c r="C475" s="21"/>
      <c r="D475" s="21"/>
      <c r="E475">
        <f t="shared" si="7"/>
        <v>0</v>
      </c>
    </row>
    <row r="476" spans="1:5" ht="26.25" thickBot="1">
      <c r="A476" s="21"/>
      <c r="B476" s="21" t="s">
        <v>12970</v>
      </c>
      <c r="C476" s="21"/>
      <c r="D476" s="21"/>
      <c r="E476">
        <f t="shared" si="7"/>
        <v>0</v>
      </c>
    </row>
    <row r="477" spans="1:5" ht="15" thickBot="1">
      <c r="A477" s="21" t="s">
        <v>12971</v>
      </c>
      <c r="B477" s="22" t="s">
        <v>12972</v>
      </c>
      <c r="C477" s="21"/>
      <c r="D477" s="21"/>
      <c r="E477">
        <f t="shared" si="7"/>
        <v>0</v>
      </c>
    </row>
    <row r="478" spans="1:5" ht="26.25" thickBot="1">
      <c r="A478" s="21" t="s">
        <v>12974</v>
      </c>
      <c r="B478" s="21" t="s">
        <v>12975</v>
      </c>
      <c r="C478" s="21"/>
      <c r="D478" s="21"/>
      <c r="E478">
        <f t="shared" si="7"/>
        <v>0</v>
      </c>
    </row>
    <row r="479" spans="1:5" ht="15" thickBot="1">
      <c r="A479" s="21"/>
      <c r="B479" s="21" t="s">
        <v>12976</v>
      </c>
      <c r="C479" s="21"/>
      <c r="D479" s="21"/>
      <c r="E479">
        <f t="shared" si="7"/>
        <v>0</v>
      </c>
    </row>
    <row r="480" spans="1:5" ht="26.25" thickBot="1">
      <c r="A480" s="21" t="s">
        <v>12977</v>
      </c>
      <c r="B480" s="21" t="s">
        <v>12978</v>
      </c>
      <c r="C480" s="21"/>
      <c r="D480" s="21"/>
      <c r="E480">
        <f t="shared" si="7"/>
        <v>0</v>
      </c>
    </row>
    <row r="481" spans="1:5" ht="15" thickBot="1">
      <c r="A481" s="21" t="s">
        <v>12979</v>
      </c>
      <c r="B481" s="21" t="s">
        <v>12980</v>
      </c>
      <c r="C481" s="21"/>
      <c r="D481" s="21"/>
      <c r="E481">
        <f t="shared" si="7"/>
        <v>0</v>
      </c>
    </row>
    <row r="482" spans="1:5" ht="15" thickBot="1">
      <c r="A482" s="21"/>
      <c r="B482" s="21" t="s">
        <v>10246</v>
      </c>
      <c r="C482" s="21"/>
      <c r="D482" s="21"/>
      <c r="E482">
        <f t="shared" si="7"/>
        <v>0</v>
      </c>
    </row>
    <row r="483" spans="1:5" ht="26.25" thickBot="1">
      <c r="A483" s="21" t="s">
        <v>12981</v>
      </c>
      <c r="B483" s="21" t="s">
        <v>12982</v>
      </c>
      <c r="C483" s="21" t="s">
        <v>10996</v>
      </c>
      <c r="D483" s="21"/>
      <c r="E483">
        <f t="shared" si="7"/>
        <v>0</v>
      </c>
    </row>
    <row r="484" spans="1:5" ht="26.25" thickBot="1">
      <c r="A484" s="21" t="s">
        <v>12983</v>
      </c>
      <c r="B484" s="21" t="s">
        <v>12984</v>
      </c>
      <c r="C484" s="21"/>
      <c r="D484" s="21"/>
      <c r="E484">
        <f t="shared" si="7"/>
        <v>0</v>
      </c>
    </row>
    <row r="485" spans="1:5" ht="15" thickBot="1">
      <c r="A485" s="21" t="s">
        <v>12985</v>
      </c>
      <c r="B485" s="21" t="s">
        <v>10077</v>
      </c>
      <c r="C485" s="21"/>
      <c r="D485" s="21"/>
      <c r="E485">
        <f t="shared" si="7"/>
        <v>0</v>
      </c>
    </row>
    <row r="486" spans="1:5" ht="15" thickBot="1">
      <c r="A486" s="21"/>
      <c r="B486" s="21" t="s">
        <v>10682</v>
      </c>
      <c r="C486" s="21"/>
      <c r="D486" s="21"/>
      <c r="E486">
        <f t="shared" si="7"/>
        <v>0</v>
      </c>
    </row>
    <row r="487" spans="1:5" ht="26.25" thickBot="1">
      <c r="A487" s="21" t="s">
        <v>12988</v>
      </c>
      <c r="B487" s="21" t="s">
        <v>12989</v>
      </c>
      <c r="C487" s="21"/>
      <c r="D487" s="21"/>
      <c r="E487">
        <f t="shared" si="7"/>
        <v>0</v>
      </c>
    </row>
    <row r="488" spans="1:5" ht="15" thickBot="1">
      <c r="A488" s="21"/>
      <c r="B488" s="21" t="s">
        <v>12992</v>
      </c>
      <c r="C488" s="21" t="s">
        <v>10615</v>
      </c>
      <c r="D488" s="21"/>
      <c r="E488">
        <f t="shared" si="7"/>
        <v>0</v>
      </c>
    </row>
    <row r="489" spans="1:5" ht="15" thickBot="1">
      <c r="A489" s="21" t="s">
        <v>12993</v>
      </c>
      <c r="B489" s="21" t="s">
        <v>12994</v>
      </c>
      <c r="C489" s="21"/>
      <c r="D489" s="21"/>
      <c r="E489">
        <f t="shared" si="7"/>
        <v>0</v>
      </c>
    </row>
    <row r="490" spans="1:5" ht="39" thickBot="1">
      <c r="A490" s="21"/>
      <c r="B490" s="21" t="s">
        <v>12995</v>
      </c>
      <c r="C490" s="21" t="s">
        <v>12996</v>
      </c>
      <c r="D490" s="21"/>
      <c r="E490">
        <f t="shared" si="7"/>
        <v>0</v>
      </c>
    </row>
    <row r="491" spans="1:5" ht="15" thickBot="1">
      <c r="A491" s="21" t="s">
        <v>12997</v>
      </c>
      <c r="B491" s="21" t="s">
        <v>12998</v>
      </c>
      <c r="C491" s="21"/>
      <c r="D491" s="21"/>
      <c r="E491">
        <f t="shared" si="7"/>
        <v>0</v>
      </c>
    </row>
    <row r="492" spans="1:5" ht="26.25" thickBot="1">
      <c r="A492" s="21"/>
      <c r="B492" s="21" t="s">
        <v>12999</v>
      </c>
      <c r="C492" s="21"/>
      <c r="D492" s="21"/>
      <c r="E492">
        <f t="shared" si="7"/>
        <v>0</v>
      </c>
    </row>
    <row r="493" spans="1:5" ht="15" thickBot="1">
      <c r="A493" s="21"/>
      <c r="B493" s="21" t="s">
        <v>13000</v>
      </c>
      <c r="C493" s="21"/>
      <c r="D493" s="21"/>
      <c r="E493">
        <f t="shared" si="7"/>
        <v>0</v>
      </c>
    </row>
    <row r="494" spans="1:5" ht="15" thickBot="1">
      <c r="A494" s="21"/>
      <c r="B494" s="21" t="s">
        <v>13001</v>
      </c>
      <c r="C494" s="21"/>
      <c r="D494" s="21"/>
      <c r="E494">
        <f t="shared" si="7"/>
        <v>0</v>
      </c>
    </row>
    <row r="495" spans="1:5" ht="15" thickBot="1">
      <c r="A495" s="21" t="s">
        <v>13002</v>
      </c>
      <c r="B495" s="21" t="s">
        <v>9431</v>
      </c>
      <c r="C495" s="21"/>
      <c r="D495" s="21"/>
      <c r="E495">
        <f t="shared" si="7"/>
        <v>0</v>
      </c>
    </row>
    <row r="496" spans="1:5" ht="15" thickBot="1">
      <c r="A496" s="21" t="s">
        <v>13003</v>
      </c>
      <c r="B496" s="21" t="s">
        <v>13004</v>
      </c>
      <c r="C496" s="21"/>
      <c r="D496" s="21"/>
      <c r="E496">
        <f t="shared" si="7"/>
        <v>0</v>
      </c>
    </row>
    <row r="497" spans="1:5" ht="15" thickBot="1">
      <c r="A497" s="21" t="s">
        <v>13005</v>
      </c>
      <c r="B497" s="21" t="s">
        <v>13006</v>
      </c>
      <c r="C497" s="21"/>
      <c r="D497" s="21"/>
      <c r="E497">
        <f t="shared" si="7"/>
        <v>0</v>
      </c>
    </row>
    <row r="498" spans="1:5" ht="26.25" thickBot="1">
      <c r="A498" s="21"/>
      <c r="B498" s="21" t="s">
        <v>13007</v>
      </c>
      <c r="C498" s="21"/>
      <c r="D498" s="21"/>
      <c r="E498">
        <f t="shared" si="7"/>
        <v>0</v>
      </c>
    </row>
    <row r="499" spans="1:5" ht="15" thickBot="1">
      <c r="A499" s="21"/>
      <c r="B499" s="21" t="s">
        <v>13008</v>
      </c>
      <c r="C499" s="21"/>
      <c r="D499" s="21"/>
      <c r="E499">
        <f t="shared" si="7"/>
        <v>0</v>
      </c>
    </row>
    <row r="500" spans="1:5" ht="26.25" thickBot="1">
      <c r="A500" s="21" t="s">
        <v>13011</v>
      </c>
      <c r="B500" s="21" t="s">
        <v>13012</v>
      </c>
      <c r="C500" s="21"/>
      <c r="D500" s="21"/>
      <c r="E500">
        <f t="shared" si="7"/>
        <v>0</v>
      </c>
    </row>
    <row r="501" spans="1:5" ht="26.25" thickBot="1">
      <c r="A501" s="21" t="s">
        <v>13013</v>
      </c>
      <c r="B501" s="21" t="s">
        <v>13014</v>
      </c>
      <c r="C501" s="21"/>
      <c r="D501" s="21"/>
      <c r="E501">
        <f t="shared" si="7"/>
        <v>0</v>
      </c>
    </row>
    <row r="502" spans="1:5" ht="39" thickBot="1">
      <c r="A502" s="21" t="s">
        <v>13015</v>
      </c>
      <c r="B502" s="21" t="s">
        <v>13016</v>
      </c>
      <c r="C502" s="21"/>
      <c r="D502" s="21"/>
      <c r="E502">
        <f t="shared" si="7"/>
        <v>0</v>
      </c>
    </row>
    <row r="503" spans="1:5" ht="15" thickBot="1">
      <c r="A503" s="21" t="s">
        <v>13017</v>
      </c>
      <c r="B503" s="21" t="s">
        <v>8206</v>
      </c>
      <c r="C503" s="21"/>
      <c r="D503" s="21"/>
      <c r="E503">
        <f t="shared" si="7"/>
        <v>0</v>
      </c>
    </row>
    <row r="504" spans="1:5" ht="15" thickBot="1">
      <c r="A504" s="21" t="s">
        <v>13018</v>
      </c>
      <c r="B504" s="21" t="s">
        <v>9950</v>
      </c>
      <c r="C504" s="21"/>
      <c r="D504" s="21"/>
      <c r="E504">
        <f t="shared" si="7"/>
        <v>0</v>
      </c>
    </row>
    <row r="505" spans="1:5" ht="15" thickBot="1">
      <c r="A505" s="21" t="s">
        <v>13020</v>
      </c>
      <c r="B505" s="21" t="s">
        <v>7818</v>
      </c>
      <c r="C505" s="21"/>
      <c r="D505" s="21"/>
      <c r="E505">
        <f t="shared" si="7"/>
        <v>0</v>
      </c>
    </row>
    <row r="506" spans="1:5" ht="15" thickBot="1">
      <c r="A506" s="21"/>
      <c r="B506" s="21" t="s">
        <v>13023</v>
      </c>
      <c r="C506" s="21" t="s">
        <v>8465</v>
      </c>
      <c r="D506" s="21"/>
      <c r="E506">
        <f t="shared" si="7"/>
        <v>0</v>
      </c>
    </row>
    <row r="507" spans="1:5" ht="15" thickBot="1">
      <c r="A507" s="21"/>
      <c r="B507" s="21" t="s">
        <v>13024</v>
      </c>
      <c r="C507" s="21"/>
      <c r="D507" s="21"/>
      <c r="E507">
        <f t="shared" si="7"/>
        <v>0</v>
      </c>
    </row>
    <row r="508" spans="1:5" ht="26.25" thickBot="1">
      <c r="A508" s="21"/>
      <c r="B508" s="21" t="s">
        <v>13027</v>
      </c>
      <c r="C508" s="21" t="s">
        <v>8694</v>
      </c>
      <c r="D508" s="21"/>
      <c r="E508">
        <f t="shared" si="7"/>
        <v>0</v>
      </c>
    </row>
    <row r="509" spans="1:5" ht="15" thickBot="1">
      <c r="A509" s="21" t="s">
        <v>13028</v>
      </c>
      <c r="B509" s="21" t="s">
        <v>13029</v>
      </c>
      <c r="C509" s="21"/>
      <c r="D509" s="21"/>
      <c r="E509">
        <f t="shared" si="7"/>
        <v>0</v>
      </c>
    </row>
    <row r="510" spans="1:5" ht="15" thickBot="1">
      <c r="A510" s="21" t="s">
        <v>13030</v>
      </c>
      <c r="B510" s="22" t="s">
        <v>13031</v>
      </c>
      <c r="C510" s="21"/>
      <c r="D510" s="21"/>
      <c r="E510">
        <f t="shared" si="7"/>
        <v>0</v>
      </c>
    </row>
    <row r="511" spans="1:5" ht="15" thickBot="1">
      <c r="A511" s="21"/>
      <c r="B511" s="21" t="s">
        <v>13032</v>
      </c>
      <c r="C511" s="21"/>
      <c r="D511" s="21"/>
      <c r="E511">
        <f t="shared" si="7"/>
        <v>0</v>
      </c>
    </row>
    <row r="512" spans="1:5" ht="15" thickBot="1">
      <c r="A512" s="21"/>
      <c r="B512" s="22" t="s">
        <v>13033</v>
      </c>
      <c r="C512" s="21"/>
      <c r="D512" s="21"/>
      <c r="E512">
        <f t="shared" si="7"/>
        <v>0</v>
      </c>
    </row>
    <row r="513" spans="1:5" ht="15" thickBot="1">
      <c r="A513" s="21"/>
      <c r="B513" s="21" t="s">
        <v>13034</v>
      </c>
      <c r="C513" s="21" t="s">
        <v>13035</v>
      </c>
      <c r="D513" s="21"/>
      <c r="E513">
        <f t="shared" si="7"/>
        <v>0</v>
      </c>
    </row>
    <row r="514" spans="1:5" ht="26.25" thickBot="1">
      <c r="A514" s="21"/>
      <c r="B514" s="21" t="s">
        <v>13036</v>
      </c>
      <c r="C514" s="21"/>
      <c r="D514" s="21"/>
      <c r="E514">
        <f t="shared" ref="E514:E577" si="8">IF(A514&lt;1,D514,)</f>
        <v>0</v>
      </c>
    </row>
    <row r="515" spans="1:5" ht="26.25" thickBot="1">
      <c r="A515" s="21" t="s">
        <v>13037</v>
      </c>
      <c r="B515" s="21" t="s">
        <v>13038</v>
      </c>
      <c r="C515" s="21"/>
      <c r="D515" s="21"/>
      <c r="E515">
        <f t="shared" si="8"/>
        <v>0</v>
      </c>
    </row>
    <row r="516" spans="1:5" ht="15" thickBot="1">
      <c r="A516" s="21" t="s">
        <v>13039</v>
      </c>
      <c r="B516" s="22" t="s">
        <v>13040</v>
      </c>
      <c r="C516" s="21"/>
      <c r="D516" s="21"/>
      <c r="E516">
        <f t="shared" si="8"/>
        <v>0</v>
      </c>
    </row>
    <row r="517" spans="1:5" ht="15" thickBot="1">
      <c r="A517" s="21"/>
      <c r="B517" s="21" t="s">
        <v>8479</v>
      </c>
      <c r="C517" s="21" t="s">
        <v>8479</v>
      </c>
      <c r="D517" s="21"/>
      <c r="E517">
        <f t="shared" si="8"/>
        <v>0</v>
      </c>
    </row>
    <row r="518" spans="1:5" ht="15" thickBot="1">
      <c r="A518" s="21" t="s">
        <v>13041</v>
      </c>
      <c r="B518" s="21" t="s">
        <v>8604</v>
      </c>
      <c r="C518" s="21"/>
      <c r="D518" s="21"/>
      <c r="E518">
        <f t="shared" si="8"/>
        <v>0</v>
      </c>
    </row>
    <row r="519" spans="1:5" ht="15" thickBot="1">
      <c r="A519" s="21" t="s">
        <v>13042</v>
      </c>
      <c r="B519" s="21" t="s">
        <v>10994</v>
      </c>
      <c r="C519" s="21"/>
      <c r="D519" s="21"/>
      <c r="E519">
        <f t="shared" si="8"/>
        <v>0</v>
      </c>
    </row>
    <row r="520" spans="1:5" ht="15" thickBot="1">
      <c r="A520" s="21" t="s">
        <v>13043</v>
      </c>
      <c r="B520" s="21" t="s">
        <v>13044</v>
      </c>
      <c r="C520" s="21"/>
      <c r="D520" s="21"/>
      <c r="E520">
        <f t="shared" si="8"/>
        <v>0</v>
      </c>
    </row>
    <row r="521" spans="1:5" ht="26.25" thickBot="1">
      <c r="A521" s="21" t="s">
        <v>13046</v>
      </c>
      <c r="B521" s="21" t="s">
        <v>13047</v>
      </c>
      <c r="C521" s="21"/>
      <c r="D521" s="21"/>
      <c r="E521">
        <f t="shared" si="8"/>
        <v>0</v>
      </c>
    </row>
    <row r="522" spans="1:5" ht="15" thickBot="1">
      <c r="A522" s="21" t="s">
        <v>13049</v>
      </c>
      <c r="B522" s="22" t="s">
        <v>13050</v>
      </c>
      <c r="C522" s="21"/>
      <c r="D522" s="21"/>
      <c r="E522">
        <f t="shared" si="8"/>
        <v>0</v>
      </c>
    </row>
    <row r="523" spans="1:5" ht="26.25" thickBot="1">
      <c r="A523" s="21" t="s">
        <v>13051</v>
      </c>
      <c r="B523" s="21" t="s">
        <v>13052</v>
      </c>
      <c r="C523" s="21"/>
      <c r="D523" s="21"/>
      <c r="E523">
        <f t="shared" si="8"/>
        <v>0</v>
      </c>
    </row>
    <row r="524" spans="1:5" ht="26.25" thickBot="1">
      <c r="A524" s="21" t="s">
        <v>13053</v>
      </c>
      <c r="B524" s="21" t="s">
        <v>13054</v>
      </c>
      <c r="C524" s="21"/>
      <c r="D524" s="21"/>
      <c r="E524">
        <f t="shared" si="8"/>
        <v>0</v>
      </c>
    </row>
    <row r="525" spans="1:5" ht="26.25" thickBot="1">
      <c r="A525" s="21" t="s">
        <v>13055</v>
      </c>
      <c r="B525" s="21" t="s">
        <v>13056</v>
      </c>
      <c r="C525" s="21"/>
      <c r="D525" s="21"/>
      <c r="E525">
        <f t="shared" si="8"/>
        <v>0</v>
      </c>
    </row>
    <row r="526" spans="1:5" ht="15" thickBot="1">
      <c r="A526" s="21" t="s">
        <v>13057</v>
      </c>
      <c r="B526" s="21" t="s">
        <v>13058</v>
      </c>
      <c r="C526" s="21"/>
      <c r="D526" s="21"/>
      <c r="E526">
        <f t="shared" si="8"/>
        <v>0</v>
      </c>
    </row>
    <row r="527" spans="1:5" ht="15" thickBot="1">
      <c r="A527" s="21" t="s">
        <v>13059</v>
      </c>
      <c r="B527" s="21" t="s">
        <v>13060</v>
      </c>
      <c r="C527" s="21"/>
      <c r="D527" s="21"/>
      <c r="E527">
        <f t="shared" si="8"/>
        <v>0</v>
      </c>
    </row>
    <row r="528" spans="1:5" ht="15" thickBot="1">
      <c r="A528" s="21" t="s">
        <v>13061</v>
      </c>
      <c r="B528" s="21" t="s">
        <v>8260</v>
      </c>
      <c r="C528" s="21"/>
      <c r="D528" s="21"/>
      <c r="E528">
        <f t="shared" si="8"/>
        <v>0</v>
      </c>
    </row>
    <row r="529" spans="1:5" ht="39" thickBot="1">
      <c r="A529" s="21" t="s">
        <v>13062</v>
      </c>
      <c r="B529" s="21" t="s">
        <v>13063</v>
      </c>
      <c r="C529" s="21"/>
      <c r="D529" s="21"/>
      <c r="E529">
        <f t="shared" si="8"/>
        <v>0</v>
      </c>
    </row>
    <row r="530" spans="1:5" ht="39" thickBot="1">
      <c r="A530" s="21" t="s">
        <v>13064</v>
      </c>
      <c r="B530" s="21" t="s">
        <v>13065</v>
      </c>
      <c r="C530" s="21"/>
      <c r="D530" s="21"/>
      <c r="E530">
        <f t="shared" si="8"/>
        <v>0</v>
      </c>
    </row>
    <row r="531" spans="1:5" ht="15" thickBot="1">
      <c r="A531" s="21" t="s">
        <v>13069</v>
      </c>
      <c r="B531" s="21" t="s">
        <v>10449</v>
      </c>
      <c r="C531" s="21"/>
      <c r="D531" s="21"/>
      <c r="E531">
        <f t="shared" si="8"/>
        <v>0</v>
      </c>
    </row>
    <row r="532" spans="1:5" ht="26.25" thickBot="1">
      <c r="A532" s="21"/>
      <c r="B532" s="21" t="s">
        <v>13070</v>
      </c>
      <c r="C532" s="21"/>
      <c r="D532" s="21"/>
      <c r="E532">
        <f t="shared" si="8"/>
        <v>0</v>
      </c>
    </row>
    <row r="533" spans="1:5" ht="26.25" thickBot="1">
      <c r="A533" s="21" t="s">
        <v>13071</v>
      </c>
      <c r="B533" s="21" t="s">
        <v>13072</v>
      </c>
      <c r="C533" s="21"/>
      <c r="D533" s="21"/>
      <c r="E533">
        <f t="shared" si="8"/>
        <v>0</v>
      </c>
    </row>
    <row r="534" spans="1:5" ht="26.25" thickBot="1">
      <c r="A534" s="21"/>
      <c r="B534" s="21" t="s">
        <v>12533</v>
      </c>
      <c r="C534" s="21"/>
      <c r="D534" s="21"/>
      <c r="E534">
        <f t="shared" si="8"/>
        <v>0</v>
      </c>
    </row>
    <row r="535" spans="1:5" ht="26.25" thickBot="1">
      <c r="A535" s="21" t="s">
        <v>13073</v>
      </c>
      <c r="B535" s="21" t="s">
        <v>13074</v>
      </c>
      <c r="C535" s="21"/>
      <c r="D535" s="21"/>
      <c r="E535">
        <f t="shared" si="8"/>
        <v>0</v>
      </c>
    </row>
    <row r="536" spans="1:5" ht="15" thickBot="1">
      <c r="A536" s="21" t="s">
        <v>13075</v>
      </c>
      <c r="B536" s="21" t="s">
        <v>13076</v>
      </c>
      <c r="C536" s="21"/>
      <c r="D536" s="21"/>
      <c r="E536">
        <f t="shared" si="8"/>
        <v>0</v>
      </c>
    </row>
    <row r="537" spans="1:5" ht="26.25" thickBot="1">
      <c r="A537" s="21"/>
      <c r="B537" s="21" t="s">
        <v>13077</v>
      </c>
      <c r="C537" s="21"/>
      <c r="D537" s="21"/>
      <c r="E537">
        <f t="shared" si="8"/>
        <v>0</v>
      </c>
    </row>
    <row r="538" spans="1:5" ht="15" thickBot="1">
      <c r="A538" s="21"/>
      <c r="B538" s="21" t="s">
        <v>12879</v>
      </c>
      <c r="C538" s="21"/>
      <c r="D538" s="21"/>
      <c r="E538">
        <f t="shared" si="8"/>
        <v>0</v>
      </c>
    </row>
    <row r="539" spans="1:5" ht="15" thickBot="1">
      <c r="A539" s="21"/>
      <c r="B539" s="21" t="s">
        <v>13078</v>
      </c>
      <c r="C539" s="21"/>
      <c r="D539" s="21"/>
      <c r="E539">
        <f t="shared" si="8"/>
        <v>0</v>
      </c>
    </row>
    <row r="540" spans="1:5" ht="15" thickBot="1">
      <c r="A540" s="21" t="s">
        <v>13079</v>
      </c>
      <c r="B540" s="21" t="s">
        <v>13080</v>
      </c>
      <c r="C540" s="21"/>
      <c r="D540" s="21"/>
      <c r="E540">
        <f t="shared" si="8"/>
        <v>0</v>
      </c>
    </row>
    <row r="541" spans="1:5" ht="39" thickBot="1">
      <c r="A541" s="21" t="s">
        <v>13081</v>
      </c>
      <c r="B541" s="21" t="s">
        <v>13082</v>
      </c>
      <c r="C541" s="21"/>
      <c r="D541" s="21"/>
      <c r="E541">
        <f t="shared" si="8"/>
        <v>0</v>
      </c>
    </row>
    <row r="542" spans="1:5" ht="15" thickBot="1">
      <c r="A542" s="21" t="s">
        <v>13083</v>
      </c>
      <c r="B542" s="21" t="s">
        <v>10115</v>
      </c>
      <c r="C542" s="21"/>
      <c r="D542" s="21"/>
      <c r="E542">
        <f t="shared" si="8"/>
        <v>0</v>
      </c>
    </row>
    <row r="543" spans="1:5" ht="15" thickBot="1">
      <c r="A543" s="21" t="s">
        <v>13084</v>
      </c>
      <c r="B543" s="22" t="s">
        <v>13085</v>
      </c>
      <c r="C543" s="21"/>
      <c r="D543" s="21"/>
      <c r="E543">
        <f t="shared" si="8"/>
        <v>0</v>
      </c>
    </row>
    <row r="544" spans="1:5" ht="26.25" thickBot="1">
      <c r="A544" s="21"/>
      <c r="B544" s="21" t="s">
        <v>13086</v>
      </c>
      <c r="C544" s="21"/>
      <c r="D544" s="21"/>
      <c r="E544">
        <f t="shared" si="8"/>
        <v>0</v>
      </c>
    </row>
    <row r="545" spans="1:5" ht="26.25" thickBot="1">
      <c r="A545" s="21"/>
      <c r="B545" s="21" t="s">
        <v>13087</v>
      </c>
      <c r="C545" s="21" t="s">
        <v>13088</v>
      </c>
      <c r="D545" s="21"/>
      <c r="E545">
        <f t="shared" si="8"/>
        <v>0</v>
      </c>
    </row>
    <row r="546" spans="1:5" ht="15" thickBot="1">
      <c r="A546" s="21" t="s">
        <v>13089</v>
      </c>
      <c r="B546" s="22" t="s">
        <v>13090</v>
      </c>
      <c r="C546" s="21"/>
      <c r="D546" s="21"/>
      <c r="E546">
        <f t="shared" si="8"/>
        <v>0</v>
      </c>
    </row>
    <row r="547" spans="1:5" ht="26.25" thickBot="1">
      <c r="A547" s="21" t="s">
        <v>13091</v>
      </c>
      <c r="B547" s="21" t="s">
        <v>13092</v>
      </c>
      <c r="C547" s="21"/>
      <c r="D547" s="21"/>
      <c r="E547">
        <f t="shared" si="8"/>
        <v>0</v>
      </c>
    </row>
    <row r="548" spans="1:5" ht="15" thickBot="1">
      <c r="A548" s="21" t="s">
        <v>13093</v>
      </c>
      <c r="B548" s="21" t="s">
        <v>13094</v>
      </c>
      <c r="C548" s="21"/>
      <c r="D548" s="21"/>
      <c r="E548">
        <f t="shared" si="8"/>
        <v>0</v>
      </c>
    </row>
    <row r="549" spans="1:5" ht="39" thickBot="1">
      <c r="A549" s="21"/>
      <c r="B549" s="21" t="s">
        <v>13095</v>
      </c>
      <c r="C549" s="21"/>
      <c r="D549" s="21"/>
      <c r="E549">
        <f t="shared" si="8"/>
        <v>0</v>
      </c>
    </row>
    <row r="550" spans="1:5" ht="26.25" thickBot="1">
      <c r="A550" s="21"/>
      <c r="B550" s="21" t="s">
        <v>13096</v>
      </c>
      <c r="C550" s="21"/>
      <c r="D550" s="21"/>
      <c r="E550">
        <f t="shared" si="8"/>
        <v>0</v>
      </c>
    </row>
    <row r="551" spans="1:5" ht="15" thickBot="1">
      <c r="A551" s="21" t="s">
        <v>13097</v>
      </c>
      <c r="B551" s="21" t="s">
        <v>13098</v>
      </c>
      <c r="C551" s="21"/>
      <c r="D551" s="21"/>
      <c r="E551">
        <f t="shared" si="8"/>
        <v>0</v>
      </c>
    </row>
    <row r="552" spans="1:5" ht="26.25" thickBot="1">
      <c r="A552" s="21"/>
      <c r="B552" s="21" t="s">
        <v>13099</v>
      </c>
      <c r="C552" s="21" t="s">
        <v>8431</v>
      </c>
      <c r="D552" s="21"/>
      <c r="E552">
        <f t="shared" si="8"/>
        <v>0</v>
      </c>
    </row>
    <row r="553" spans="1:5" ht="15" thickBot="1">
      <c r="A553" s="21"/>
      <c r="B553" s="21" t="s">
        <v>10649</v>
      </c>
      <c r="C553" s="21"/>
      <c r="D553" s="21"/>
      <c r="E553">
        <f t="shared" si="8"/>
        <v>0</v>
      </c>
    </row>
    <row r="554" spans="1:5" ht="15" thickBot="1">
      <c r="A554" s="21"/>
      <c r="B554" s="21" t="s">
        <v>13100</v>
      </c>
      <c r="C554" s="21" t="s">
        <v>13100</v>
      </c>
      <c r="D554" s="21"/>
      <c r="E554">
        <f t="shared" si="8"/>
        <v>0</v>
      </c>
    </row>
    <row r="555" spans="1:5" ht="15" thickBot="1">
      <c r="A555" s="21" t="s">
        <v>13101</v>
      </c>
      <c r="B555" s="21" t="s">
        <v>13102</v>
      </c>
      <c r="C555" s="21"/>
      <c r="D555" s="21"/>
      <c r="E555">
        <f t="shared" si="8"/>
        <v>0</v>
      </c>
    </row>
    <row r="556" spans="1:5" ht="15" thickBot="1">
      <c r="A556" s="21" t="s">
        <v>13103</v>
      </c>
      <c r="B556" s="21" t="s">
        <v>8260</v>
      </c>
      <c r="C556" s="21"/>
      <c r="D556" s="21"/>
      <c r="E556">
        <f t="shared" si="8"/>
        <v>0</v>
      </c>
    </row>
    <row r="557" spans="1:5" ht="15" thickBot="1">
      <c r="A557" s="21" t="s">
        <v>13104</v>
      </c>
      <c r="B557" s="21" t="s">
        <v>8969</v>
      </c>
      <c r="C557" s="21"/>
      <c r="D557" s="21"/>
      <c r="E557">
        <f t="shared" si="8"/>
        <v>0</v>
      </c>
    </row>
    <row r="558" spans="1:5" ht="39" thickBot="1">
      <c r="A558" s="21" t="s">
        <v>13105</v>
      </c>
      <c r="B558" s="21" t="s">
        <v>13106</v>
      </c>
      <c r="C558" s="21"/>
      <c r="D558" s="21"/>
      <c r="E558">
        <f t="shared" si="8"/>
        <v>0</v>
      </c>
    </row>
    <row r="559" spans="1:5" ht="26.25" thickBot="1">
      <c r="A559" s="21"/>
      <c r="B559" s="21" t="s">
        <v>13107</v>
      </c>
      <c r="C559" s="21" t="s">
        <v>8206</v>
      </c>
      <c r="D559" s="21"/>
      <c r="E559">
        <f t="shared" si="8"/>
        <v>0</v>
      </c>
    </row>
    <row r="560" spans="1:5" ht="15" thickBot="1">
      <c r="A560" s="21"/>
      <c r="B560" s="22" t="s">
        <v>13108</v>
      </c>
      <c r="C560" s="21"/>
      <c r="D560" s="21"/>
      <c r="E560">
        <f t="shared" si="8"/>
        <v>0</v>
      </c>
    </row>
    <row r="561" spans="1:5" ht="26.25" thickBot="1">
      <c r="A561" s="21"/>
      <c r="B561" s="21" t="s">
        <v>13109</v>
      </c>
      <c r="C561" s="21" t="s">
        <v>10045</v>
      </c>
      <c r="D561" s="21"/>
      <c r="E561">
        <f t="shared" si="8"/>
        <v>0</v>
      </c>
    </row>
    <row r="562" spans="1:5" ht="15" thickBot="1">
      <c r="A562" s="21" t="s">
        <v>13110</v>
      </c>
      <c r="B562" s="21" t="s">
        <v>13111</v>
      </c>
      <c r="C562" s="21"/>
      <c r="D562" s="21"/>
      <c r="E562">
        <f t="shared" si="8"/>
        <v>0</v>
      </c>
    </row>
    <row r="563" spans="1:5" ht="15" thickBot="1">
      <c r="A563" s="21" t="s">
        <v>13112</v>
      </c>
      <c r="B563" s="21" t="s">
        <v>13113</v>
      </c>
      <c r="C563" s="21"/>
      <c r="D563" s="21"/>
      <c r="E563">
        <f t="shared" si="8"/>
        <v>0</v>
      </c>
    </row>
    <row r="564" spans="1:5" ht="15" thickBot="1">
      <c r="A564" s="21"/>
      <c r="B564" s="21" t="s">
        <v>8479</v>
      </c>
      <c r="C564" s="21" t="s">
        <v>8479</v>
      </c>
      <c r="D564" s="21"/>
      <c r="E564">
        <f t="shared" si="8"/>
        <v>0</v>
      </c>
    </row>
    <row r="565" spans="1:5" ht="26.25" thickBot="1">
      <c r="A565" s="21" t="s">
        <v>13114</v>
      </c>
      <c r="B565" s="21" t="s">
        <v>13115</v>
      </c>
      <c r="C565" s="21"/>
      <c r="D565" s="21"/>
      <c r="E565">
        <f t="shared" si="8"/>
        <v>0</v>
      </c>
    </row>
    <row r="566" spans="1:5" ht="15" thickBot="1">
      <c r="A566" s="21" t="s">
        <v>13116</v>
      </c>
      <c r="B566" s="21" t="s">
        <v>10692</v>
      </c>
      <c r="C566" s="21"/>
      <c r="D566" s="21"/>
      <c r="E566">
        <f t="shared" si="8"/>
        <v>0</v>
      </c>
    </row>
    <row r="567" spans="1:5" ht="15" thickBot="1">
      <c r="A567" s="21"/>
      <c r="B567" s="21" t="s">
        <v>13119</v>
      </c>
      <c r="C567" s="21"/>
      <c r="D567" s="21"/>
      <c r="E567">
        <f t="shared" si="8"/>
        <v>0</v>
      </c>
    </row>
    <row r="568" spans="1:5" ht="15" thickBot="1">
      <c r="A568" s="21" t="s">
        <v>13120</v>
      </c>
      <c r="B568" s="21" t="s">
        <v>10169</v>
      </c>
      <c r="C568" s="21"/>
      <c r="D568" s="21"/>
      <c r="E568">
        <f t="shared" si="8"/>
        <v>0</v>
      </c>
    </row>
    <row r="569" spans="1:5" ht="26.25" thickBot="1">
      <c r="A569" s="21" t="s">
        <v>13121</v>
      </c>
      <c r="B569" s="21" t="s">
        <v>13122</v>
      </c>
      <c r="C569" s="21"/>
      <c r="D569" s="21"/>
      <c r="E569">
        <f t="shared" si="8"/>
        <v>0</v>
      </c>
    </row>
    <row r="570" spans="1:5" ht="15" thickBot="1">
      <c r="A570" s="21"/>
      <c r="B570" s="21" t="s">
        <v>13123</v>
      </c>
      <c r="C570" s="21"/>
      <c r="D570" s="21"/>
      <c r="E570">
        <f t="shared" si="8"/>
        <v>0</v>
      </c>
    </row>
    <row r="571" spans="1:5" ht="15" thickBot="1">
      <c r="A571" s="21" t="s">
        <v>13124</v>
      </c>
      <c r="B571" s="21" t="s">
        <v>13125</v>
      </c>
      <c r="C571" s="21"/>
      <c r="D571" s="21"/>
      <c r="E571">
        <f t="shared" si="8"/>
        <v>0</v>
      </c>
    </row>
    <row r="572" spans="1:5" ht="15" thickBot="1">
      <c r="A572" s="21" t="s">
        <v>13126</v>
      </c>
      <c r="B572" s="21" t="s">
        <v>8431</v>
      </c>
      <c r="C572" s="21"/>
      <c r="D572" s="21"/>
      <c r="E572">
        <f t="shared" si="8"/>
        <v>0</v>
      </c>
    </row>
    <row r="573" spans="1:5" ht="26.25" thickBot="1">
      <c r="A573" s="21" t="s">
        <v>13127</v>
      </c>
      <c r="B573" s="21" t="s">
        <v>13128</v>
      </c>
      <c r="C573" s="21"/>
      <c r="D573" s="21"/>
      <c r="E573">
        <f t="shared" si="8"/>
        <v>0</v>
      </c>
    </row>
    <row r="574" spans="1:5" ht="15" thickBot="1">
      <c r="A574" s="21" t="s">
        <v>13129</v>
      </c>
      <c r="B574" s="21" t="s">
        <v>13130</v>
      </c>
      <c r="C574" s="21"/>
      <c r="D574" s="21"/>
      <c r="E574">
        <f t="shared" si="8"/>
        <v>0</v>
      </c>
    </row>
    <row r="575" spans="1:5" ht="26.25" thickBot="1">
      <c r="A575" s="21" t="s">
        <v>13131</v>
      </c>
      <c r="B575" s="21" t="s">
        <v>13132</v>
      </c>
      <c r="C575" s="21"/>
      <c r="D575" s="21"/>
      <c r="E575">
        <f t="shared" si="8"/>
        <v>0</v>
      </c>
    </row>
    <row r="576" spans="1:5" ht="26.25" thickBot="1">
      <c r="A576" s="21" t="s">
        <v>13133</v>
      </c>
      <c r="B576" s="21" t="s">
        <v>13134</v>
      </c>
      <c r="C576" s="21"/>
      <c r="D576" s="21"/>
      <c r="E576">
        <f t="shared" si="8"/>
        <v>0</v>
      </c>
    </row>
    <row r="577" spans="1:5" ht="15" thickBot="1">
      <c r="A577" s="21" t="s">
        <v>13135</v>
      </c>
      <c r="B577" s="21" t="s">
        <v>10682</v>
      </c>
      <c r="C577" s="21"/>
      <c r="D577" s="21"/>
      <c r="E577">
        <f t="shared" si="8"/>
        <v>0</v>
      </c>
    </row>
    <row r="578" spans="1:5" ht="26.25" thickBot="1">
      <c r="A578" s="21"/>
      <c r="B578" s="21" t="s">
        <v>13136</v>
      </c>
      <c r="C578" s="21"/>
      <c r="D578" s="21"/>
      <c r="E578">
        <f t="shared" ref="E578:E641" si="9">IF(A578&lt;1,D578,)</f>
        <v>0</v>
      </c>
    </row>
    <row r="579" spans="1:5" ht="15" thickBot="1">
      <c r="A579" s="21" t="s">
        <v>13137</v>
      </c>
      <c r="B579" s="21" t="s">
        <v>13138</v>
      </c>
      <c r="C579" s="21"/>
      <c r="D579" s="21"/>
      <c r="E579">
        <f t="shared" si="9"/>
        <v>0</v>
      </c>
    </row>
    <row r="580" spans="1:5" ht="26.25" thickBot="1">
      <c r="A580" s="21" t="s">
        <v>13139</v>
      </c>
      <c r="B580" s="21" t="s">
        <v>13140</v>
      </c>
      <c r="C580" s="21"/>
      <c r="D580" s="21"/>
      <c r="E580">
        <f t="shared" si="9"/>
        <v>0</v>
      </c>
    </row>
    <row r="581" spans="1:5" ht="15" thickBot="1">
      <c r="A581" s="21" t="s">
        <v>13141</v>
      </c>
      <c r="B581" s="21" t="s">
        <v>8760</v>
      </c>
      <c r="C581" s="21"/>
      <c r="D581" s="21"/>
      <c r="E581">
        <f t="shared" si="9"/>
        <v>0</v>
      </c>
    </row>
    <row r="582" spans="1:5" ht="15" thickBot="1">
      <c r="A582" s="21"/>
      <c r="B582" s="21" t="s">
        <v>13142</v>
      </c>
      <c r="C582" s="21"/>
      <c r="D582" s="21"/>
      <c r="E582">
        <f t="shared" si="9"/>
        <v>0</v>
      </c>
    </row>
    <row r="583" spans="1:5" ht="26.25" thickBot="1">
      <c r="A583" s="21" t="s">
        <v>13143</v>
      </c>
      <c r="B583" s="21" t="s">
        <v>13144</v>
      </c>
      <c r="C583" s="21"/>
      <c r="D583" s="21"/>
      <c r="E583">
        <f t="shared" si="9"/>
        <v>0</v>
      </c>
    </row>
    <row r="584" spans="1:5" ht="15" thickBot="1">
      <c r="A584" s="21" t="s">
        <v>13145</v>
      </c>
      <c r="B584" s="21" t="s">
        <v>13146</v>
      </c>
      <c r="C584" s="21"/>
      <c r="D584" s="21"/>
      <c r="E584">
        <f t="shared" si="9"/>
        <v>0</v>
      </c>
    </row>
    <row r="585" spans="1:5" ht="26.25" thickBot="1">
      <c r="A585" s="21"/>
      <c r="B585" s="21" t="s">
        <v>13147</v>
      </c>
      <c r="C585" s="21"/>
      <c r="D585" s="21"/>
      <c r="E585">
        <f t="shared" si="9"/>
        <v>0</v>
      </c>
    </row>
    <row r="586" spans="1:5" ht="15" thickBot="1">
      <c r="A586" s="21" t="s">
        <v>13148</v>
      </c>
      <c r="B586" s="21" t="s">
        <v>13149</v>
      </c>
      <c r="C586" s="21"/>
      <c r="D586" s="21"/>
      <c r="E586">
        <f t="shared" si="9"/>
        <v>0</v>
      </c>
    </row>
    <row r="587" spans="1:5" ht="26.25" thickBot="1">
      <c r="A587" s="21" t="s">
        <v>13153</v>
      </c>
      <c r="B587" s="21" t="s">
        <v>13154</v>
      </c>
      <c r="C587" s="21"/>
      <c r="D587" s="21"/>
      <c r="E587">
        <f t="shared" si="9"/>
        <v>0</v>
      </c>
    </row>
    <row r="588" spans="1:5" ht="26.25" thickBot="1">
      <c r="A588" s="21" t="s">
        <v>13155</v>
      </c>
      <c r="B588" s="21" t="s">
        <v>1347</v>
      </c>
      <c r="C588" s="21"/>
      <c r="D588" s="21"/>
      <c r="E588">
        <f t="shared" si="9"/>
        <v>0</v>
      </c>
    </row>
    <row r="589" spans="1:5" ht="15" thickBot="1">
      <c r="A589" s="21"/>
      <c r="B589" s="21" t="s">
        <v>13156</v>
      </c>
      <c r="C589" s="21" t="s">
        <v>13157</v>
      </c>
      <c r="D589" s="21"/>
      <c r="E589">
        <f t="shared" si="9"/>
        <v>0</v>
      </c>
    </row>
    <row r="590" spans="1:5" ht="26.25" thickBot="1">
      <c r="A590" s="21"/>
      <c r="B590" s="21" t="s">
        <v>13158</v>
      </c>
      <c r="C590" s="21"/>
      <c r="D590" s="21"/>
      <c r="E590">
        <f t="shared" si="9"/>
        <v>0</v>
      </c>
    </row>
    <row r="591" spans="1:5" ht="26.25" thickBot="1">
      <c r="A591" s="21" t="s">
        <v>13159</v>
      </c>
      <c r="B591" s="21" t="s">
        <v>13160</v>
      </c>
      <c r="C591" s="21"/>
      <c r="D591" s="21"/>
      <c r="E591">
        <f t="shared" si="9"/>
        <v>0</v>
      </c>
    </row>
    <row r="592" spans="1:5" ht="15" thickBot="1">
      <c r="A592" s="21" t="s">
        <v>13161</v>
      </c>
      <c r="B592" s="21" t="s">
        <v>13162</v>
      </c>
      <c r="C592" s="21"/>
      <c r="D592" s="21"/>
      <c r="E592">
        <f t="shared" si="9"/>
        <v>0</v>
      </c>
    </row>
    <row r="593" spans="1:5" ht="15" thickBot="1">
      <c r="A593" s="21" t="s">
        <v>13163</v>
      </c>
      <c r="B593" s="22" t="s">
        <v>13164</v>
      </c>
      <c r="C593" s="21"/>
      <c r="D593" s="21"/>
      <c r="E593">
        <f t="shared" si="9"/>
        <v>0</v>
      </c>
    </row>
    <row r="594" spans="1:5" ht="15" thickBot="1">
      <c r="A594" s="21"/>
      <c r="B594" s="21" t="s">
        <v>13165</v>
      </c>
      <c r="C594" s="21"/>
      <c r="D594" s="21"/>
      <c r="E594">
        <f t="shared" si="9"/>
        <v>0</v>
      </c>
    </row>
    <row r="595" spans="1:5" ht="39" thickBot="1">
      <c r="A595" s="21" t="s">
        <v>13166</v>
      </c>
      <c r="B595" s="21" t="s">
        <v>13167</v>
      </c>
      <c r="C595" s="21"/>
      <c r="D595" s="21"/>
      <c r="E595">
        <f t="shared" si="9"/>
        <v>0</v>
      </c>
    </row>
    <row r="596" spans="1:5" ht="15" thickBot="1">
      <c r="A596" s="21"/>
      <c r="B596" s="21" t="s">
        <v>13168</v>
      </c>
      <c r="C596" s="21" t="s">
        <v>8581</v>
      </c>
      <c r="D596" s="21"/>
      <c r="E596">
        <f t="shared" si="9"/>
        <v>0</v>
      </c>
    </row>
    <row r="597" spans="1:5" ht="15" thickBot="1">
      <c r="A597" s="21" t="s">
        <v>13169</v>
      </c>
      <c r="B597" s="21" t="s">
        <v>13170</v>
      </c>
      <c r="C597" s="21"/>
      <c r="D597" s="21"/>
      <c r="E597">
        <f t="shared" si="9"/>
        <v>0</v>
      </c>
    </row>
    <row r="598" spans="1:5" ht="15" thickBot="1">
      <c r="A598" s="21"/>
      <c r="B598" s="21" t="s">
        <v>13171</v>
      </c>
      <c r="C598" s="21"/>
      <c r="D598" s="21"/>
      <c r="E598">
        <f t="shared" si="9"/>
        <v>0</v>
      </c>
    </row>
    <row r="599" spans="1:5" ht="26.25" thickBot="1">
      <c r="A599" s="21" t="s">
        <v>13173</v>
      </c>
      <c r="B599" s="21" t="s">
        <v>13174</v>
      </c>
      <c r="C599" s="21"/>
      <c r="D599" s="21"/>
      <c r="E599">
        <f t="shared" si="9"/>
        <v>0</v>
      </c>
    </row>
    <row r="600" spans="1:5" ht="15" thickBot="1">
      <c r="A600" s="21" t="s">
        <v>13175</v>
      </c>
      <c r="B600" s="21" t="s">
        <v>13176</v>
      </c>
      <c r="C600" s="21"/>
      <c r="D600" s="21"/>
      <c r="E600">
        <f t="shared" si="9"/>
        <v>0</v>
      </c>
    </row>
    <row r="601" spans="1:5" ht="26.25" thickBot="1">
      <c r="A601" s="21" t="s">
        <v>13177</v>
      </c>
      <c r="B601" s="21" t="s">
        <v>13178</v>
      </c>
      <c r="C601" s="21"/>
      <c r="D601" s="21"/>
      <c r="E601">
        <f t="shared" si="9"/>
        <v>0</v>
      </c>
    </row>
    <row r="602" spans="1:5" ht="15" thickBot="1">
      <c r="A602" s="21"/>
      <c r="B602" s="21" t="s">
        <v>13179</v>
      </c>
      <c r="C602" s="21"/>
      <c r="D602" s="21"/>
      <c r="E602">
        <f t="shared" si="9"/>
        <v>0</v>
      </c>
    </row>
    <row r="603" spans="1:5" ht="15" thickBot="1">
      <c r="A603" s="21"/>
      <c r="B603" s="21" t="s">
        <v>13180</v>
      </c>
      <c r="C603" s="21"/>
      <c r="D603" s="21"/>
      <c r="E603">
        <f t="shared" si="9"/>
        <v>0</v>
      </c>
    </row>
    <row r="604" spans="1:5" ht="15" thickBot="1">
      <c r="A604" s="21"/>
      <c r="B604" s="21" t="s">
        <v>13181</v>
      </c>
      <c r="C604" s="22" t="s">
        <v>13182</v>
      </c>
      <c r="D604" s="21"/>
      <c r="E604">
        <f t="shared" si="9"/>
        <v>0</v>
      </c>
    </row>
    <row r="605" spans="1:5" ht="26.25" thickBot="1">
      <c r="A605" s="21" t="s">
        <v>13185</v>
      </c>
      <c r="B605" s="21" t="s">
        <v>13186</v>
      </c>
      <c r="C605" s="21"/>
      <c r="D605" s="21"/>
      <c r="E605">
        <f t="shared" si="9"/>
        <v>0</v>
      </c>
    </row>
    <row r="606" spans="1:5" ht="15" thickBot="1">
      <c r="A606" s="21"/>
      <c r="B606" s="21" t="s">
        <v>11299</v>
      </c>
      <c r="C606" s="21" t="s">
        <v>13189</v>
      </c>
      <c r="D606" s="21"/>
      <c r="E606">
        <f t="shared" si="9"/>
        <v>0</v>
      </c>
    </row>
    <row r="607" spans="1:5" ht="15" thickBot="1">
      <c r="A607" s="21"/>
      <c r="B607" s="21" t="s">
        <v>7399</v>
      </c>
      <c r="C607" s="21" t="s">
        <v>7399</v>
      </c>
      <c r="D607" s="21"/>
      <c r="E607">
        <f t="shared" si="9"/>
        <v>0</v>
      </c>
    </row>
    <row r="608" spans="1:5" ht="26.25" thickBot="1">
      <c r="A608" s="21"/>
      <c r="B608" s="21" t="s">
        <v>13191</v>
      </c>
      <c r="C608" s="21"/>
      <c r="D608" s="21"/>
      <c r="E608">
        <f t="shared" si="9"/>
        <v>0</v>
      </c>
    </row>
    <row r="609" spans="1:5" ht="15" thickBot="1">
      <c r="A609" s="21"/>
      <c r="B609" s="23">
        <v>55106</v>
      </c>
      <c r="C609" s="21" t="s">
        <v>7919</v>
      </c>
      <c r="D609" s="21"/>
      <c r="E609">
        <f t="shared" si="9"/>
        <v>0</v>
      </c>
    </row>
    <row r="610" spans="1:5" ht="26.25" thickBot="1">
      <c r="A610" s="21"/>
      <c r="B610" s="21" t="s">
        <v>13193</v>
      </c>
      <c r="C610" s="21"/>
      <c r="D610" s="21"/>
      <c r="E610">
        <f t="shared" si="9"/>
        <v>0</v>
      </c>
    </row>
    <row r="611" spans="1:5" ht="15" thickBot="1">
      <c r="A611" s="21" t="s">
        <v>13194</v>
      </c>
      <c r="B611" s="21" t="s">
        <v>13195</v>
      </c>
      <c r="C611" s="21"/>
      <c r="D611" s="21"/>
      <c r="E611">
        <f t="shared" si="9"/>
        <v>0</v>
      </c>
    </row>
    <row r="612" spans="1:5" ht="26.25" thickBot="1">
      <c r="A612" s="21" t="s">
        <v>13196</v>
      </c>
      <c r="B612" s="21" t="s">
        <v>13197</v>
      </c>
      <c r="C612" s="21"/>
      <c r="D612" s="21"/>
      <c r="E612">
        <f t="shared" si="9"/>
        <v>0</v>
      </c>
    </row>
    <row r="613" spans="1:5" ht="26.25" thickBot="1">
      <c r="A613" s="21" t="s">
        <v>13198</v>
      </c>
      <c r="B613" s="21" t="s">
        <v>13199</v>
      </c>
      <c r="C613" s="21"/>
      <c r="D613" s="21"/>
      <c r="E613">
        <f t="shared" si="9"/>
        <v>0</v>
      </c>
    </row>
    <row r="614" spans="1:5" ht="26.25" thickBot="1">
      <c r="A614" s="21" t="s">
        <v>13200</v>
      </c>
      <c r="B614" s="21" t="s">
        <v>13201</v>
      </c>
      <c r="C614" s="21"/>
      <c r="D614" s="21"/>
      <c r="E614">
        <f t="shared" si="9"/>
        <v>0</v>
      </c>
    </row>
    <row r="615" spans="1:5" ht="15" thickBot="1">
      <c r="A615" s="21" t="s">
        <v>13202</v>
      </c>
      <c r="B615" s="21" t="s">
        <v>13203</v>
      </c>
      <c r="C615" s="21"/>
      <c r="D615" s="21"/>
      <c r="E615">
        <f t="shared" si="9"/>
        <v>0</v>
      </c>
    </row>
    <row r="616" spans="1:5" ht="15" thickBot="1">
      <c r="A616" s="21"/>
      <c r="B616" s="21" t="s">
        <v>13204</v>
      </c>
      <c r="C616" s="21"/>
      <c r="D616" s="21"/>
      <c r="E616">
        <f t="shared" si="9"/>
        <v>0</v>
      </c>
    </row>
    <row r="617" spans="1:5" ht="15" thickBot="1">
      <c r="A617" s="21" t="s">
        <v>13206</v>
      </c>
      <c r="B617" s="21" t="s">
        <v>10619</v>
      </c>
      <c r="C617" s="21"/>
      <c r="D617" s="21"/>
      <c r="E617">
        <f t="shared" si="9"/>
        <v>0</v>
      </c>
    </row>
    <row r="618" spans="1:5" ht="15" thickBot="1">
      <c r="A618" s="21" t="s">
        <v>13207</v>
      </c>
      <c r="B618" s="22" t="s">
        <v>13208</v>
      </c>
      <c r="C618" s="21"/>
      <c r="D618" s="21"/>
      <c r="E618">
        <f t="shared" si="9"/>
        <v>0</v>
      </c>
    </row>
    <row r="619" spans="1:5" ht="26.25" thickBot="1">
      <c r="A619" s="21"/>
      <c r="B619" s="21" t="s">
        <v>13209</v>
      </c>
      <c r="C619" s="21"/>
      <c r="D619" s="21"/>
      <c r="E619">
        <f t="shared" si="9"/>
        <v>0</v>
      </c>
    </row>
    <row r="620" spans="1:5" ht="26.25" thickBot="1">
      <c r="A620" s="21"/>
      <c r="B620" s="21" t="s">
        <v>13210</v>
      </c>
      <c r="C620" s="21" t="s">
        <v>8197</v>
      </c>
      <c r="D620" s="21"/>
      <c r="E620">
        <f t="shared" si="9"/>
        <v>0</v>
      </c>
    </row>
    <row r="621" spans="1:5" ht="15" thickBot="1">
      <c r="A621" s="21"/>
      <c r="B621" s="22" t="s">
        <v>13211</v>
      </c>
      <c r="C621" s="21"/>
      <c r="D621" s="21"/>
      <c r="E621">
        <f t="shared" si="9"/>
        <v>0</v>
      </c>
    </row>
    <row r="622" spans="1:5" ht="26.25" thickBot="1">
      <c r="A622" s="21"/>
      <c r="B622" s="21" t="s">
        <v>13214</v>
      </c>
      <c r="C622" s="21"/>
      <c r="D622" s="21"/>
      <c r="E622">
        <f t="shared" si="9"/>
        <v>0</v>
      </c>
    </row>
    <row r="623" spans="1:5" ht="26.25" thickBot="1">
      <c r="A623" s="21" t="s">
        <v>13215</v>
      </c>
      <c r="B623" s="21" t="s">
        <v>13216</v>
      </c>
      <c r="C623" s="21"/>
      <c r="D623" s="21"/>
      <c r="E623">
        <f t="shared" si="9"/>
        <v>0</v>
      </c>
    </row>
    <row r="624" spans="1:5" ht="26.25" thickBot="1">
      <c r="A624" s="21"/>
      <c r="B624" s="21" t="s">
        <v>13217</v>
      </c>
      <c r="C624" s="21"/>
      <c r="D624" s="21"/>
      <c r="E624">
        <f t="shared" si="9"/>
        <v>0</v>
      </c>
    </row>
    <row r="625" spans="1:5" ht="26.25" thickBot="1">
      <c r="A625" s="21"/>
      <c r="B625" s="21" t="s">
        <v>13218</v>
      </c>
      <c r="C625" s="21"/>
      <c r="D625" s="21"/>
      <c r="E625">
        <f t="shared" si="9"/>
        <v>0</v>
      </c>
    </row>
    <row r="626" spans="1:5" ht="39" thickBot="1">
      <c r="A626" s="21" t="s">
        <v>13219</v>
      </c>
      <c r="B626" s="21" t="s">
        <v>13220</v>
      </c>
      <c r="C626" s="21"/>
      <c r="D626" s="21"/>
      <c r="E626">
        <f t="shared" si="9"/>
        <v>0</v>
      </c>
    </row>
    <row r="627" spans="1:5" ht="26.25" thickBot="1">
      <c r="A627" s="21" t="s">
        <v>13221</v>
      </c>
      <c r="B627" s="21" t="s">
        <v>13222</v>
      </c>
      <c r="C627" s="21"/>
      <c r="D627" s="21"/>
      <c r="E627">
        <f t="shared" si="9"/>
        <v>0</v>
      </c>
    </row>
    <row r="628" spans="1:5" ht="15" thickBot="1">
      <c r="A628" s="21"/>
      <c r="B628" s="21" t="s">
        <v>9564</v>
      </c>
      <c r="C628" s="22" t="s">
        <v>13223</v>
      </c>
      <c r="D628" s="21"/>
      <c r="E628">
        <f t="shared" si="9"/>
        <v>0</v>
      </c>
    </row>
    <row r="629" spans="1:5" ht="15" thickBot="1">
      <c r="A629" s="21"/>
      <c r="B629" s="21" t="s">
        <v>13224</v>
      </c>
      <c r="C629" s="21"/>
      <c r="D629" s="21"/>
      <c r="E629">
        <f t="shared" si="9"/>
        <v>0</v>
      </c>
    </row>
    <row r="630" spans="1:5" ht="15" thickBot="1">
      <c r="A630" s="21"/>
      <c r="B630" s="23">
        <v>77777777777</v>
      </c>
      <c r="C630" s="21"/>
      <c r="D630" s="21"/>
      <c r="E630">
        <f t="shared" si="9"/>
        <v>0</v>
      </c>
    </row>
    <row r="631" spans="1:5" ht="15" thickBot="1">
      <c r="A631" s="21" t="s">
        <v>13225</v>
      </c>
      <c r="B631" s="22" t="s">
        <v>13226</v>
      </c>
      <c r="C631" s="21"/>
      <c r="D631" s="21"/>
      <c r="E631">
        <f t="shared" si="9"/>
        <v>0</v>
      </c>
    </row>
    <row r="632" spans="1:5" ht="15" thickBot="1">
      <c r="A632" s="21" t="s">
        <v>13227</v>
      </c>
      <c r="B632" s="21" t="s">
        <v>11713</v>
      </c>
      <c r="C632" s="21"/>
      <c r="D632" s="21"/>
      <c r="E632">
        <f t="shared" si="9"/>
        <v>0</v>
      </c>
    </row>
    <row r="633" spans="1:5" ht="15" thickBot="1">
      <c r="A633" s="21" t="s">
        <v>13228</v>
      </c>
      <c r="B633" s="21" t="s">
        <v>8410</v>
      </c>
      <c r="C633" s="21"/>
      <c r="D633" s="21"/>
      <c r="E633">
        <f t="shared" si="9"/>
        <v>0</v>
      </c>
    </row>
    <row r="634" spans="1:5" ht="15" thickBot="1">
      <c r="A634" s="21" t="s">
        <v>13229</v>
      </c>
      <c r="B634" s="21" t="s">
        <v>13230</v>
      </c>
      <c r="C634" s="21"/>
      <c r="D634" s="21"/>
      <c r="E634">
        <f t="shared" si="9"/>
        <v>0</v>
      </c>
    </row>
    <row r="635" spans="1:5" ht="26.25" thickBot="1">
      <c r="A635" s="21"/>
      <c r="B635" s="21" t="s">
        <v>13231</v>
      </c>
      <c r="C635" s="21" t="s">
        <v>8365</v>
      </c>
      <c r="D635" s="21"/>
      <c r="E635">
        <f t="shared" si="9"/>
        <v>0</v>
      </c>
    </row>
    <row r="636" spans="1:5" ht="15" thickBot="1">
      <c r="A636" s="21" t="s">
        <v>13232</v>
      </c>
      <c r="B636" s="21" t="s">
        <v>8760</v>
      </c>
      <c r="C636" s="21"/>
      <c r="D636" s="21"/>
      <c r="E636">
        <f t="shared" si="9"/>
        <v>0</v>
      </c>
    </row>
    <row r="637" spans="1:5" ht="15" thickBot="1">
      <c r="A637" s="21"/>
      <c r="B637" s="21" t="s">
        <v>10398</v>
      </c>
      <c r="C637" s="21"/>
      <c r="D637" s="21"/>
      <c r="E637">
        <f t="shared" si="9"/>
        <v>0</v>
      </c>
    </row>
    <row r="638" spans="1:5" ht="26.25" thickBot="1">
      <c r="A638" s="21"/>
      <c r="B638" s="21" t="s">
        <v>13233</v>
      </c>
      <c r="C638" s="21"/>
      <c r="D638" s="21"/>
      <c r="E638">
        <f t="shared" si="9"/>
        <v>0</v>
      </c>
    </row>
    <row r="639" spans="1:5" ht="26.25" thickBot="1">
      <c r="A639" s="21"/>
      <c r="B639" s="21" t="s">
        <v>13234</v>
      </c>
      <c r="C639" s="21"/>
      <c r="D639" s="21"/>
      <c r="E639">
        <f t="shared" si="9"/>
        <v>0</v>
      </c>
    </row>
    <row r="640" spans="1:5" ht="15" thickBot="1">
      <c r="A640" s="21"/>
      <c r="B640" s="21" t="s">
        <v>8694</v>
      </c>
      <c r="C640" s="22" t="s">
        <v>13235</v>
      </c>
      <c r="D640" s="21"/>
      <c r="E640">
        <f t="shared" si="9"/>
        <v>0</v>
      </c>
    </row>
    <row r="641" spans="1:5" ht="26.25" thickBot="1">
      <c r="A641" s="21" t="s">
        <v>13236</v>
      </c>
      <c r="B641" s="21" t="s">
        <v>13237</v>
      </c>
      <c r="C641" s="21"/>
      <c r="D641" s="21"/>
      <c r="E641">
        <f t="shared" si="9"/>
        <v>0</v>
      </c>
    </row>
    <row r="642" spans="1:5" ht="15" thickBot="1">
      <c r="A642" s="21"/>
      <c r="B642" s="21" t="s">
        <v>8479</v>
      </c>
      <c r="C642" s="21"/>
      <c r="D642" s="21"/>
      <c r="E642">
        <f t="shared" ref="E642:E705" si="10">IF(A642&lt;1,D642,)</f>
        <v>0</v>
      </c>
    </row>
    <row r="643" spans="1:5" ht="15" thickBot="1">
      <c r="A643" s="21" t="s">
        <v>13239</v>
      </c>
      <c r="B643" s="21" t="s">
        <v>13240</v>
      </c>
      <c r="C643" s="21"/>
      <c r="D643" s="21"/>
      <c r="E643">
        <f t="shared" si="10"/>
        <v>0</v>
      </c>
    </row>
    <row r="644" spans="1:5" ht="15" thickBot="1">
      <c r="A644" s="21" t="s">
        <v>13241</v>
      </c>
      <c r="B644" s="21" t="s">
        <v>9173</v>
      </c>
      <c r="C644" s="21"/>
      <c r="D644" s="21"/>
      <c r="E644">
        <f t="shared" si="10"/>
        <v>0</v>
      </c>
    </row>
    <row r="645" spans="1:5" ht="15" thickBot="1">
      <c r="A645" s="21" t="s">
        <v>13242</v>
      </c>
      <c r="B645" s="21" t="s">
        <v>13243</v>
      </c>
      <c r="C645" s="21"/>
      <c r="D645" s="21"/>
      <c r="E645">
        <f t="shared" si="10"/>
        <v>0</v>
      </c>
    </row>
    <row r="646" spans="1:5" ht="15" thickBot="1">
      <c r="A646" s="21" t="s">
        <v>13244</v>
      </c>
      <c r="B646" s="21" t="s">
        <v>13245</v>
      </c>
      <c r="C646" s="21"/>
      <c r="D646" s="21"/>
      <c r="E646">
        <f t="shared" si="10"/>
        <v>0</v>
      </c>
    </row>
    <row r="647" spans="1:5" ht="39" thickBot="1">
      <c r="A647" s="21"/>
      <c r="B647" s="21" t="s">
        <v>13246</v>
      </c>
      <c r="C647" s="21" t="s">
        <v>8283</v>
      </c>
      <c r="D647" s="21"/>
      <c r="E647">
        <f t="shared" si="10"/>
        <v>0</v>
      </c>
    </row>
    <row r="648" spans="1:5" ht="15" thickBot="1">
      <c r="A648" s="21"/>
      <c r="B648" s="21" t="s">
        <v>10589</v>
      </c>
      <c r="C648" s="21"/>
      <c r="D648" s="21"/>
      <c r="E648">
        <f t="shared" si="10"/>
        <v>0</v>
      </c>
    </row>
    <row r="649" spans="1:5" ht="26.25" thickBot="1">
      <c r="A649" s="21" t="s">
        <v>13247</v>
      </c>
      <c r="B649" s="21" t="s">
        <v>13248</v>
      </c>
      <c r="C649" s="21"/>
      <c r="D649" s="21"/>
      <c r="E649">
        <f t="shared" si="10"/>
        <v>0</v>
      </c>
    </row>
    <row r="650" spans="1:5" ht="26.25" thickBot="1">
      <c r="A650" s="21" t="s">
        <v>13249</v>
      </c>
      <c r="B650" s="21" t="s">
        <v>13250</v>
      </c>
      <c r="C650" s="21"/>
      <c r="D650" s="21"/>
      <c r="E650">
        <f t="shared" si="10"/>
        <v>0</v>
      </c>
    </row>
    <row r="651" spans="1:5" ht="15" thickBot="1">
      <c r="A651" s="21"/>
      <c r="B651" s="21" t="s">
        <v>13251</v>
      </c>
      <c r="C651" s="21"/>
      <c r="D651" s="21"/>
      <c r="E651">
        <f t="shared" si="10"/>
        <v>0</v>
      </c>
    </row>
    <row r="652" spans="1:5" ht="15" thickBot="1">
      <c r="A652" s="21"/>
      <c r="B652" s="21" t="s">
        <v>13252</v>
      </c>
      <c r="C652" s="21"/>
      <c r="D652" s="21"/>
      <c r="E652">
        <f t="shared" si="10"/>
        <v>0</v>
      </c>
    </row>
    <row r="653" spans="1:5" ht="26.25" thickBot="1">
      <c r="A653" s="21" t="s">
        <v>13253</v>
      </c>
      <c r="B653" s="21" t="s">
        <v>13254</v>
      </c>
      <c r="C653" s="21"/>
      <c r="D653" s="21"/>
      <c r="E653">
        <f t="shared" si="10"/>
        <v>0</v>
      </c>
    </row>
    <row r="654" spans="1:5" ht="15" thickBot="1">
      <c r="A654" s="21"/>
      <c r="B654" s="21" t="s">
        <v>8206</v>
      </c>
      <c r="C654" s="21"/>
      <c r="D654" s="21"/>
      <c r="E654">
        <f t="shared" si="10"/>
        <v>0</v>
      </c>
    </row>
    <row r="655" spans="1:5" ht="15" thickBot="1">
      <c r="A655" s="21" t="s">
        <v>13255</v>
      </c>
      <c r="B655" s="21" t="s">
        <v>8479</v>
      </c>
      <c r="C655" s="21"/>
      <c r="D655" s="21"/>
      <c r="E655">
        <f t="shared" si="10"/>
        <v>0</v>
      </c>
    </row>
    <row r="656" spans="1:5" ht="26.25" thickBot="1">
      <c r="A656" s="21" t="s">
        <v>13256</v>
      </c>
      <c r="B656" s="21" t="s">
        <v>13257</v>
      </c>
      <c r="C656" s="21"/>
      <c r="D656" s="21"/>
      <c r="E656">
        <f t="shared" si="10"/>
        <v>0</v>
      </c>
    </row>
    <row r="657" spans="1:5" ht="15" thickBot="1">
      <c r="A657" s="21"/>
      <c r="B657" s="21" t="s">
        <v>8619</v>
      </c>
      <c r="C657" s="21" t="s">
        <v>8619</v>
      </c>
      <c r="D657" s="21"/>
      <c r="E657">
        <f t="shared" si="10"/>
        <v>0</v>
      </c>
    </row>
    <row r="658" spans="1:5" ht="26.25" thickBot="1">
      <c r="A658" s="21" t="s">
        <v>13258</v>
      </c>
      <c r="B658" s="21" t="s">
        <v>13259</v>
      </c>
      <c r="C658" s="21"/>
      <c r="D658" s="21"/>
      <c r="E658">
        <f t="shared" si="10"/>
        <v>0</v>
      </c>
    </row>
    <row r="659" spans="1:5" ht="26.25" thickBot="1">
      <c r="A659" s="21"/>
      <c r="B659" s="21" t="s">
        <v>13260</v>
      </c>
      <c r="C659" s="21"/>
      <c r="D659" s="21"/>
      <c r="E659">
        <f t="shared" si="10"/>
        <v>0</v>
      </c>
    </row>
    <row r="660" spans="1:5" ht="26.25" thickBot="1">
      <c r="A660" s="21"/>
      <c r="B660" s="21" t="s">
        <v>13261</v>
      </c>
      <c r="C660" s="21" t="s">
        <v>13262</v>
      </c>
      <c r="D660" s="21"/>
      <c r="E660">
        <f t="shared" si="10"/>
        <v>0</v>
      </c>
    </row>
    <row r="661" spans="1:5" ht="15" thickBot="1">
      <c r="A661" s="21" t="s">
        <v>13263</v>
      </c>
      <c r="B661" s="21" t="s">
        <v>8697</v>
      </c>
      <c r="C661" s="21"/>
      <c r="D661" s="21"/>
      <c r="E661">
        <f t="shared" si="10"/>
        <v>0</v>
      </c>
    </row>
    <row r="662" spans="1:5" ht="26.25" thickBot="1">
      <c r="A662" s="21" t="s">
        <v>13264</v>
      </c>
      <c r="B662" s="21" t="s">
        <v>13265</v>
      </c>
      <c r="C662" s="21"/>
      <c r="D662" s="21"/>
      <c r="E662">
        <f t="shared" si="10"/>
        <v>0</v>
      </c>
    </row>
    <row r="663" spans="1:5" ht="26.25" thickBot="1">
      <c r="A663" s="21" t="s">
        <v>13266</v>
      </c>
      <c r="B663" s="21" t="s">
        <v>13267</v>
      </c>
      <c r="C663" s="21"/>
      <c r="D663" s="21"/>
      <c r="E663">
        <f t="shared" si="10"/>
        <v>0</v>
      </c>
    </row>
    <row r="664" spans="1:5" ht="26.25" thickBot="1">
      <c r="A664" s="21"/>
      <c r="B664" s="21" t="s">
        <v>13268</v>
      </c>
      <c r="C664" s="21" t="s">
        <v>9505</v>
      </c>
      <c r="D664" s="21"/>
      <c r="E664">
        <f t="shared" si="10"/>
        <v>0</v>
      </c>
    </row>
    <row r="665" spans="1:5" ht="15" thickBot="1">
      <c r="A665" s="21" t="s">
        <v>13269</v>
      </c>
      <c r="B665" s="23">
        <v>39826</v>
      </c>
      <c r="C665" s="21"/>
      <c r="D665" s="21"/>
      <c r="E665">
        <f t="shared" si="10"/>
        <v>0</v>
      </c>
    </row>
    <row r="666" spans="1:5" ht="15" thickBot="1">
      <c r="A666" s="21" t="s">
        <v>13271</v>
      </c>
      <c r="B666" s="21" t="s">
        <v>13272</v>
      </c>
      <c r="C666" s="21"/>
      <c r="D666" s="21"/>
      <c r="E666">
        <f t="shared" si="10"/>
        <v>0</v>
      </c>
    </row>
    <row r="667" spans="1:5" ht="15" thickBot="1">
      <c r="A667" s="21"/>
      <c r="B667" s="21" t="s">
        <v>8206</v>
      </c>
      <c r="C667" s="21"/>
      <c r="D667" s="21"/>
      <c r="E667">
        <f t="shared" si="10"/>
        <v>0</v>
      </c>
    </row>
    <row r="668" spans="1:5" ht="15" thickBot="1">
      <c r="A668" s="21" t="s">
        <v>13273</v>
      </c>
      <c r="B668" s="21" t="s">
        <v>13274</v>
      </c>
      <c r="C668" s="21"/>
      <c r="D668" s="21"/>
      <c r="E668">
        <f t="shared" si="10"/>
        <v>0</v>
      </c>
    </row>
    <row r="669" spans="1:5" ht="26.25" thickBot="1">
      <c r="A669" s="21" t="s">
        <v>13275</v>
      </c>
      <c r="B669" s="21" t="s">
        <v>13276</v>
      </c>
      <c r="C669" s="21"/>
      <c r="D669" s="21"/>
      <c r="E669">
        <f t="shared" si="10"/>
        <v>0</v>
      </c>
    </row>
    <row r="670" spans="1:5" ht="26.25" thickBot="1">
      <c r="A670" s="21" t="s">
        <v>13277</v>
      </c>
      <c r="B670" s="21" t="s">
        <v>13278</v>
      </c>
      <c r="C670" s="21"/>
      <c r="D670" s="21"/>
      <c r="E670">
        <f t="shared" si="10"/>
        <v>0</v>
      </c>
    </row>
    <row r="671" spans="1:5" ht="26.25" thickBot="1">
      <c r="A671" s="21"/>
      <c r="B671" s="21" t="s">
        <v>13281</v>
      </c>
      <c r="C671" s="21"/>
      <c r="D671" s="21"/>
      <c r="E671">
        <f t="shared" si="10"/>
        <v>0</v>
      </c>
    </row>
    <row r="672" spans="1:5" ht="26.25" thickBot="1">
      <c r="A672" s="21"/>
      <c r="B672" s="21" t="s">
        <v>5671</v>
      </c>
      <c r="C672" s="21"/>
      <c r="D672" s="21"/>
      <c r="E672">
        <f t="shared" si="10"/>
        <v>0</v>
      </c>
    </row>
    <row r="673" spans="1:5" ht="15" thickBot="1">
      <c r="A673" s="21" t="s">
        <v>13282</v>
      </c>
      <c r="B673" s="21" t="s">
        <v>8424</v>
      </c>
      <c r="C673" s="21"/>
      <c r="D673" s="21"/>
      <c r="E673">
        <f t="shared" si="10"/>
        <v>0</v>
      </c>
    </row>
    <row r="674" spans="1:5" ht="26.25" thickBot="1">
      <c r="A674" s="21"/>
      <c r="B674" s="21" t="s">
        <v>13285</v>
      </c>
      <c r="C674" s="21"/>
      <c r="D674" s="21"/>
      <c r="E674">
        <f t="shared" si="10"/>
        <v>0</v>
      </c>
    </row>
    <row r="675" spans="1:5" ht="15" thickBot="1">
      <c r="A675" s="21" t="s">
        <v>13286</v>
      </c>
      <c r="B675" s="22" t="s">
        <v>13287</v>
      </c>
      <c r="C675" s="21"/>
      <c r="D675" s="21"/>
      <c r="E675">
        <f t="shared" si="10"/>
        <v>0</v>
      </c>
    </row>
    <row r="676" spans="1:5" ht="26.25" thickBot="1">
      <c r="A676" s="21"/>
      <c r="B676" s="21" t="s">
        <v>13288</v>
      </c>
      <c r="C676" s="21"/>
      <c r="D676" s="21"/>
      <c r="E676">
        <f t="shared" si="10"/>
        <v>0</v>
      </c>
    </row>
    <row r="677" spans="1:5" ht="26.25" thickBot="1">
      <c r="A677" s="21"/>
      <c r="B677" s="21" t="s">
        <v>13289</v>
      </c>
      <c r="C677" s="21"/>
      <c r="D677" s="21"/>
      <c r="E677">
        <f t="shared" si="10"/>
        <v>0</v>
      </c>
    </row>
    <row r="678" spans="1:5" ht="15" thickBot="1">
      <c r="A678" s="21" t="s">
        <v>13290</v>
      </c>
      <c r="B678" s="21" t="s">
        <v>8431</v>
      </c>
      <c r="C678" s="21"/>
      <c r="D678" s="21"/>
      <c r="E678">
        <f t="shared" si="10"/>
        <v>0</v>
      </c>
    </row>
    <row r="679" spans="1:5" ht="15" thickBot="1">
      <c r="A679" s="21"/>
      <c r="B679" s="21" t="s">
        <v>13291</v>
      </c>
      <c r="C679" s="21"/>
      <c r="D679" s="21"/>
      <c r="E679">
        <f t="shared" si="10"/>
        <v>0</v>
      </c>
    </row>
    <row r="680" spans="1:5" ht="26.25" thickBot="1">
      <c r="A680" s="21"/>
      <c r="B680" s="21" t="s">
        <v>13294</v>
      </c>
      <c r="C680" s="21"/>
      <c r="D680" s="21"/>
      <c r="E680">
        <f t="shared" si="10"/>
        <v>0</v>
      </c>
    </row>
    <row r="681" spans="1:5" ht="26.25" thickBot="1">
      <c r="A681" s="21"/>
      <c r="B681" s="21" t="s">
        <v>13295</v>
      </c>
      <c r="C681" s="21"/>
      <c r="D681" s="21"/>
      <c r="E681">
        <f t="shared" si="10"/>
        <v>0</v>
      </c>
    </row>
    <row r="682" spans="1:5" ht="26.25" thickBot="1">
      <c r="A682" s="21"/>
      <c r="B682" s="21" t="s">
        <v>13296</v>
      </c>
      <c r="C682" s="21"/>
      <c r="D682" s="21"/>
      <c r="E682">
        <f t="shared" si="10"/>
        <v>0</v>
      </c>
    </row>
    <row r="683" spans="1:5" ht="26.25" thickBot="1">
      <c r="A683" s="21"/>
      <c r="B683" s="21" t="s">
        <v>13297</v>
      </c>
      <c r="C683" s="21"/>
      <c r="D683" s="21"/>
      <c r="E683">
        <f t="shared" si="10"/>
        <v>0</v>
      </c>
    </row>
    <row r="684" spans="1:5" ht="15" thickBot="1">
      <c r="A684" s="21" t="s">
        <v>13298</v>
      </c>
      <c r="B684" s="21" t="s">
        <v>13299</v>
      </c>
      <c r="C684" s="21"/>
      <c r="D684" s="21"/>
      <c r="E684">
        <f t="shared" si="10"/>
        <v>0</v>
      </c>
    </row>
    <row r="685" spans="1:5" ht="15" thickBot="1">
      <c r="A685" s="21" t="s">
        <v>13300</v>
      </c>
      <c r="B685" s="21" t="s">
        <v>7818</v>
      </c>
      <c r="C685" s="21"/>
      <c r="D685" s="21"/>
      <c r="E685">
        <f t="shared" si="10"/>
        <v>0</v>
      </c>
    </row>
    <row r="686" spans="1:5" ht="26.25" thickBot="1">
      <c r="A686" s="21" t="s">
        <v>13301</v>
      </c>
      <c r="B686" s="21" t="s">
        <v>13302</v>
      </c>
      <c r="C686" s="21"/>
      <c r="D686" s="21"/>
      <c r="E686">
        <f t="shared" si="10"/>
        <v>0</v>
      </c>
    </row>
    <row r="687" spans="1:5" ht="15" thickBot="1">
      <c r="A687" s="21"/>
      <c r="B687" s="21" t="s">
        <v>8341</v>
      </c>
      <c r="C687" s="21"/>
      <c r="D687" s="21"/>
      <c r="E687">
        <f t="shared" si="10"/>
        <v>0</v>
      </c>
    </row>
    <row r="688" spans="1:5" ht="15" thickBot="1">
      <c r="A688" s="21" t="s">
        <v>13303</v>
      </c>
      <c r="B688" s="21" t="s">
        <v>13304</v>
      </c>
      <c r="C688" s="21"/>
      <c r="D688" s="21"/>
      <c r="E688">
        <f t="shared" si="10"/>
        <v>0</v>
      </c>
    </row>
    <row r="689" spans="1:5" ht="26.25" thickBot="1">
      <c r="A689" s="21"/>
      <c r="B689" s="21" t="s">
        <v>13305</v>
      </c>
      <c r="C689" s="21"/>
      <c r="D689" s="21"/>
      <c r="E689">
        <f t="shared" si="10"/>
        <v>0</v>
      </c>
    </row>
    <row r="690" spans="1:5" ht="26.25" thickBot="1">
      <c r="A690" s="21" t="s">
        <v>13306</v>
      </c>
      <c r="B690" s="21" t="s">
        <v>13307</v>
      </c>
      <c r="C690" s="21"/>
      <c r="D690" s="21"/>
      <c r="E690">
        <f t="shared" si="10"/>
        <v>0</v>
      </c>
    </row>
    <row r="691" spans="1:5" ht="26.25" thickBot="1">
      <c r="A691" s="21" t="s">
        <v>13308</v>
      </c>
      <c r="B691" s="21" t="s">
        <v>13309</v>
      </c>
      <c r="C691" s="21"/>
      <c r="D691" s="21"/>
      <c r="E691">
        <f t="shared" si="10"/>
        <v>0</v>
      </c>
    </row>
    <row r="692" spans="1:5" ht="15" thickBot="1">
      <c r="A692" s="21"/>
      <c r="B692" s="21" t="s">
        <v>8304</v>
      </c>
      <c r="C692" s="21" t="s">
        <v>8304</v>
      </c>
      <c r="D692" s="21"/>
      <c r="E692">
        <f t="shared" si="10"/>
        <v>0</v>
      </c>
    </row>
    <row r="693" spans="1:5" ht="26.25" thickBot="1">
      <c r="A693" s="21" t="s">
        <v>13312</v>
      </c>
      <c r="B693" s="21" t="s">
        <v>13313</v>
      </c>
      <c r="C693" s="21"/>
      <c r="D693" s="21"/>
      <c r="E693">
        <f t="shared" si="10"/>
        <v>0</v>
      </c>
    </row>
    <row r="694" spans="1:5" ht="15" thickBot="1">
      <c r="A694" s="21" t="s">
        <v>13314</v>
      </c>
      <c r="B694" s="21" t="s">
        <v>13315</v>
      </c>
      <c r="C694" s="21"/>
      <c r="D694" s="21"/>
      <c r="E694">
        <f t="shared" si="10"/>
        <v>0</v>
      </c>
    </row>
    <row r="695" spans="1:5" ht="26.25" thickBot="1">
      <c r="A695" s="21"/>
      <c r="B695" s="21" t="s">
        <v>13318</v>
      </c>
      <c r="C695" s="21"/>
      <c r="D695" s="21"/>
      <c r="E695">
        <f t="shared" si="10"/>
        <v>0</v>
      </c>
    </row>
    <row r="696" spans="1:5" ht="15" thickBot="1">
      <c r="A696" s="21" t="s">
        <v>13319</v>
      </c>
      <c r="B696" s="21" t="s">
        <v>13320</v>
      </c>
      <c r="C696" s="21"/>
      <c r="D696" s="21"/>
      <c r="E696">
        <f t="shared" si="10"/>
        <v>0</v>
      </c>
    </row>
    <row r="697" spans="1:5" ht="26.25" thickBot="1">
      <c r="A697" s="21"/>
      <c r="B697" s="21" t="s">
        <v>13321</v>
      </c>
      <c r="C697" s="21"/>
      <c r="D697" s="21"/>
      <c r="E697">
        <f t="shared" si="10"/>
        <v>0</v>
      </c>
    </row>
    <row r="698" spans="1:5" ht="15" thickBot="1">
      <c r="A698" s="21" t="s">
        <v>13322</v>
      </c>
      <c r="B698" s="21" t="s">
        <v>8206</v>
      </c>
      <c r="C698" s="21"/>
      <c r="D698" s="21"/>
      <c r="E698">
        <f t="shared" si="10"/>
        <v>0</v>
      </c>
    </row>
    <row r="699" spans="1:5" ht="15" thickBot="1">
      <c r="A699" s="21"/>
      <c r="B699" s="22" t="s">
        <v>13323</v>
      </c>
      <c r="C699" s="21"/>
      <c r="D699" s="21"/>
      <c r="E699">
        <f t="shared" si="10"/>
        <v>0</v>
      </c>
    </row>
    <row r="700" spans="1:5" ht="26.25" thickBot="1">
      <c r="A700" s="21" t="s">
        <v>13324</v>
      </c>
      <c r="B700" s="21" t="s">
        <v>13325</v>
      </c>
      <c r="C700" s="21"/>
      <c r="D700" s="21"/>
      <c r="E700">
        <f t="shared" si="10"/>
        <v>0</v>
      </c>
    </row>
    <row r="701" spans="1:5" ht="26.25" thickBot="1">
      <c r="A701" s="21" t="s">
        <v>13326</v>
      </c>
      <c r="B701" s="21" t="s">
        <v>13327</v>
      </c>
      <c r="C701" s="21"/>
      <c r="D701" s="21"/>
      <c r="E701">
        <f t="shared" si="10"/>
        <v>0</v>
      </c>
    </row>
    <row r="702" spans="1:5" ht="15" thickBot="1">
      <c r="A702" s="21"/>
      <c r="B702" s="21" t="s">
        <v>8479</v>
      </c>
      <c r="C702" s="21"/>
      <c r="D702" s="21"/>
      <c r="E702">
        <f t="shared" si="10"/>
        <v>0</v>
      </c>
    </row>
    <row r="703" spans="1:5" ht="15" thickBot="1">
      <c r="A703" s="21" t="s">
        <v>13328</v>
      </c>
      <c r="B703" s="21" t="s">
        <v>7131</v>
      </c>
      <c r="C703" s="21"/>
      <c r="D703" s="21"/>
      <c r="E703">
        <f t="shared" si="10"/>
        <v>0</v>
      </c>
    </row>
    <row r="704" spans="1:5" ht="39" thickBot="1">
      <c r="A704" s="21"/>
      <c r="B704" s="21" t="s">
        <v>13329</v>
      </c>
      <c r="C704" s="21"/>
      <c r="D704" s="21"/>
      <c r="E704">
        <f t="shared" si="10"/>
        <v>0</v>
      </c>
    </row>
    <row r="705" spans="1:5" ht="26.25" thickBot="1">
      <c r="A705" s="21" t="s">
        <v>13330</v>
      </c>
      <c r="B705" s="21" t="s">
        <v>13331</v>
      </c>
      <c r="C705" s="21"/>
      <c r="D705" s="21"/>
      <c r="E705">
        <f t="shared" si="10"/>
        <v>0</v>
      </c>
    </row>
    <row r="706" spans="1:5" ht="26.25" thickBot="1">
      <c r="A706" s="21" t="s">
        <v>13332</v>
      </c>
      <c r="B706" s="21" t="s">
        <v>13333</v>
      </c>
      <c r="C706" s="21"/>
      <c r="D706" s="21"/>
      <c r="E706">
        <f t="shared" ref="E706:E769" si="11">IF(A706&lt;1,D706,)</f>
        <v>0</v>
      </c>
    </row>
    <row r="707" spans="1:5" ht="39" thickBot="1">
      <c r="A707" s="21" t="s">
        <v>13334</v>
      </c>
      <c r="B707" s="21" t="s">
        <v>13335</v>
      </c>
      <c r="C707" s="21"/>
      <c r="D707" s="21"/>
      <c r="E707">
        <f t="shared" si="11"/>
        <v>0</v>
      </c>
    </row>
    <row r="708" spans="1:5" ht="26.25" thickBot="1">
      <c r="A708" s="21"/>
      <c r="B708" s="21" t="s">
        <v>13336</v>
      </c>
      <c r="C708" s="21" t="s">
        <v>8479</v>
      </c>
      <c r="D708" s="21"/>
      <c r="E708">
        <f t="shared" si="11"/>
        <v>0</v>
      </c>
    </row>
    <row r="709" spans="1:5" ht="39" thickBot="1">
      <c r="A709" s="21"/>
      <c r="B709" s="21" t="s">
        <v>13337</v>
      </c>
      <c r="C709" s="21"/>
      <c r="D709" s="21"/>
      <c r="E709">
        <f t="shared" si="11"/>
        <v>0</v>
      </c>
    </row>
    <row r="710" spans="1:5" ht="15" thickBot="1">
      <c r="A710" s="21"/>
      <c r="B710" s="21" t="s">
        <v>9431</v>
      </c>
      <c r="C710" s="21" t="s">
        <v>9431</v>
      </c>
      <c r="D710" s="21"/>
      <c r="E710">
        <f t="shared" si="11"/>
        <v>0</v>
      </c>
    </row>
    <row r="711" spans="1:5" ht="15" thickBot="1">
      <c r="A711" s="21" t="s">
        <v>13338</v>
      </c>
      <c r="B711" s="21" t="s">
        <v>8206</v>
      </c>
      <c r="C711" s="21"/>
      <c r="D711" s="21"/>
      <c r="E711">
        <f t="shared" si="11"/>
        <v>0</v>
      </c>
    </row>
    <row r="712" spans="1:5" ht="26.25" thickBot="1">
      <c r="A712" s="21"/>
      <c r="B712" s="21" t="s">
        <v>13339</v>
      </c>
      <c r="C712" s="21"/>
      <c r="D712" s="21"/>
      <c r="E712">
        <f t="shared" si="11"/>
        <v>0</v>
      </c>
    </row>
    <row r="713" spans="1:5" ht="15" thickBot="1">
      <c r="A713" s="21"/>
      <c r="B713" s="22" t="s">
        <v>13340</v>
      </c>
      <c r="C713" s="21"/>
      <c r="D713" s="21"/>
      <c r="E713">
        <f t="shared" si="11"/>
        <v>0</v>
      </c>
    </row>
    <row r="714" spans="1:5" ht="15" thickBot="1">
      <c r="A714" s="21"/>
      <c r="B714" s="23">
        <v>777</v>
      </c>
      <c r="C714" s="21"/>
      <c r="D714" s="21"/>
      <c r="E714">
        <f t="shared" si="11"/>
        <v>0</v>
      </c>
    </row>
    <row r="715" spans="1:5" ht="26.25" thickBot="1">
      <c r="A715" s="21" t="s">
        <v>13341</v>
      </c>
      <c r="B715" s="21" t="s">
        <v>13342</v>
      </c>
      <c r="C715" s="21"/>
      <c r="D715" s="21"/>
      <c r="E715">
        <f t="shared" si="11"/>
        <v>0</v>
      </c>
    </row>
    <row r="716" spans="1:5" ht="15" thickBot="1">
      <c r="A716" s="21"/>
      <c r="B716" s="21" t="s">
        <v>12934</v>
      </c>
      <c r="C716" s="21" t="s">
        <v>12934</v>
      </c>
      <c r="D716" s="21"/>
      <c r="E716">
        <f t="shared" si="11"/>
        <v>0</v>
      </c>
    </row>
    <row r="717" spans="1:5" ht="26.25" thickBot="1">
      <c r="A717" s="21"/>
      <c r="B717" s="21" t="s">
        <v>13343</v>
      </c>
      <c r="C717" s="21" t="s">
        <v>13344</v>
      </c>
      <c r="D717" s="21"/>
      <c r="E717">
        <f t="shared" si="11"/>
        <v>0</v>
      </c>
    </row>
    <row r="718" spans="1:5" ht="15" thickBot="1">
      <c r="A718" s="21"/>
      <c r="B718" s="21" t="s">
        <v>13345</v>
      </c>
      <c r="C718" s="21"/>
      <c r="D718" s="21"/>
      <c r="E718">
        <f t="shared" si="11"/>
        <v>0</v>
      </c>
    </row>
    <row r="719" spans="1:5" ht="26.25" thickBot="1">
      <c r="A719" s="21"/>
      <c r="B719" s="21" t="s">
        <v>13346</v>
      </c>
      <c r="C719" s="21"/>
      <c r="D719" s="21"/>
      <c r="E719">
        <f t="shared" si="11"/>
        <v>0</v>
      </c>
    </row>
    <row r="720" spans="1:5" ht="26.25" thickBot="1">
      <c r="A720" s="21" t="s">
        <v>13347</v>
      </c>
      <c r="B720" s="21" t="s">
        <v>13348</v>
      </c>
      <c r="C720" s="21"/>
      <c r="D720" s="21"/>
      <c r="E720">
        <f t="shared" si="11"/>
        <v>0</v>
      </c>
    </row>
    <row r="721" spans="1:5" ht="15" thickBot="1">
      <c r="A721" s="21"/>
      <c r="B721" s="21" t="s">
        <v>7399</v>
      </c>
      <c r="C721" s="21"/>
      <c r="D721" s="21"/>
      <c r="E721">
        <f t="shared" si="11"/>
        <v>0</v>
      </c>
    </row>
    <row r="722" spans="1:5" ht="26.25" thickBot="1">
      <c r="A722" s="21"/>
      <c r="B722" s="21" t="s">
        <v>13349</v>
      </c>
      <c r="C722" s="21"/>
      <c r="D722" s="21"/>
      <c r="E722">
        <f t="shared" si="11"/>
        <v>0</v>
      </c>
    </row>
    <row r="723" spans="1:5" ht="39" thickBot="1">
      <c r="A723" s="21" t="s">
        <v>13350</v>
      </c>
      <c r="B723" s="21" t="s">
        <v>13351</v>
      </c>
      <c r="C723" s="21"/>
      <c r="D723" s="21"/>
      <c r="E723">
        <f t="shared" si="11"/>
        <v>0</v>
      </c>
    </row>
    <row r="724" spans="1:5" ht="26.25" thickBot="1">
      <c r="A724" s="21" t="s">
        <v>13352</v>
      </c>
      <c r="B724" s="21" t="s">
        <v>13353</v>
      </c>
      <c r="C724" s="21"/>
      <c r="D724" s="21"/>
      <c r="E724">
        <f t="shared" si="11"/>
        <v>0</v>
      </c>
    </row>
    <row r="725" spans="1:5" ht="15" thickBot="1">
      <c r="A725" s="21"/>
      <c r="B725" s="21" t="s">
        <v>13354</v>
      </c>
      <c r="C725" s="21"/>
      <c r="D725" s="21"/>
      <c r="E725">
        <f t="shared" si="11"/>
        <v>0</v>
      </c>
    </row>
    <row r="726" spans="1:5" ht="15" thickBot="1">
      <c r="A726" s="21" t="s">
        <v>13356</v>
      </c>
      <c r="B726" s="21" t="s">
        <v>13357</v>
      </c>
      <c r="C726" s="21"/>
      <c r="D726" s="21"/>
      <c r="E726">
        <f t="shared" si="11"/>
        <v>0</v>
      </c>
    </row>
    <row r="727" spans="1:5" ht="26.25" thickBot="1">
      <c r="A727" s="21"/>
      <c r="B727" s="21" t="s">
        <v>13360</v>
      </c>
      <c r="C727" s="21"/>
      <c r="D727" s="21"/>
      <c r="E727">
        <f t="shared" si="11"/>
        <v>0</v>
      </c>
    </row>
    <row r="728" spans="1:5" ht="26.25" thickBot="1">
      <c r="A728" s="21" t="s">
        <v>13361</v>
      </c>
      <c r="B728" s="21" t="s">
        <v>13362</v>
      </c>
      <c r="C728" s="21"/>
      <c r="D728" s="21"/>
      <c r="E728">
        <f t="shared" si="11"/>
        <v>0</v>
      </c>
    </row>
    <row r="729" spans="1:5" ht="15" thickBot="1">
      <c r="A729" s="21" t="s">
        <v>13363</v>
      </c>
      <c r="B729" s="21" t="s">
        <v>13364</v>
      </c>
      <c r="C729" s="21"/>
      <c r="D729" s="21"/>
      <c r="E729">
        <f t="shared" si="11"/>
        <v>0</v>
      </c>
    </row>
    <row r="730" spans="1:5" ht="15" thickBot="1">
      <c r="A730" s="21"/>
      <c r="B730" s="21" t="s">
        <v>13365</v>
      </c>
      <c r="C730" s="21"/>
      <c r="D730" s="21"/>
      <c r="E730">
        <f t="shared" si="11"/>
        <v>0</v>
      </c>
    </row>
    <row r="731" spans="1:5" ht="15" thickBot="1">
      <c r="A731" s="21" t="s">
        <v>13366</v>
      </c>
      <c r="B731" s="21" t="s">
        <v>13367</v>
      </c>
      <c r="C731" s="21"/>
      <c r="D731" s="21"/>
      <c r="E731">
        <f t="shared" si="11"/>
        <v>0</v>
      </c>
    </row>
    <row r="732" spans="1:5" ht="15" thickBot="1">
      <c r="A732" s="21"/>
      <c r="B732" s="21" t="s">
        <v>13368</v>
      </c>
      <c r="C732" s="21"/>
      <c r="D732" s="21"/>
      <c r="E732">
        <f t="shared" si="11"/>
        <v>0</v>
      </c>
    </row>
    <row r="733" spans="1:5" ht="39" thickBot="1">
      <c r="A733" s="21" t="s">
        <v>13369</v>
      </c>
      <c r="B733" s="21" t="s">
        <v>13370</v>
      </c>
      <c r="C733" s="21"/>
      <c r="D733" s="21"/>
      <c r="E733">
        <f t="shared" si="11"/>
        <v>0</v>
      </c>
    </row>
    <row r="734" spans="1:5" ht="26.25" thickBot="1">
      <c r="A734" s="21"/>
      <c r="B734" s="21" t="s">
        <v>13371</v>
      </c>
      <c r="C734" s="21"/>
      <c r="D734" s="21"/>
      <c r="E734">
        <f t="shared" si="11"/>
        <v>0</v>
      </c>
    </row>
    <row r="735" spans="1:5" ht="26.25" thickBot="1">
      <c r="A735" s="21" t="s">
        <v>13372</v>
      </c>
      <c r="B735" s="21" t="s">
        <v>13373</v>
      </c>
      <c r="C735" s="21"/>
      <c r="D735" s="21"/>
      <c r="E735">
        <f t="shared" si="11"/>
        <v>0</v>
      </c>
    </row>
    <row r="736" spans="1:5" ht="39" thickBot="1">
      <c r="A736" s="21"/>
      <c r="B736" s="21" t="s">
        <v>13374</v>
      </c>
      <c r="C736" s="21"/>
      <c r="D736" s="21"/>
      <c r="E736">
        <f t="shared" si="11"/>
        <v>0</v>
      </c>
    </row>
    <row r="737" spans="1:5" ht="26.25" thickBot="1">
      <c r="A737" s="21" t="s">
        <v>13375</v>
      </c>
      <c r="B737" s="21" t="s">
        <v>13376</v>
      </c>
      <c r="C737" s="21"/>
      <c r="D737" s="21"/>
      <c r="E737">
        <f t="shared" si="11"/>
        <v>0</v>
      </c>
    </row>
    <row r="738" spans="1:5" ht="15" thickBot="1">
      <c r="A738" s="21"/>
      <c r="B738" s="21" t="s">
        <v>9182</v>
      </c>
      <c r="C738" s="21"/>
      <c r="D738" s="21"/>
      <c r="E738">
        <f t="shared" si="11"/>
        <v>0</v>
      </c>
    </row>
    <row r="739" spans="1:5" ht="26.25" thickBot="1">
      <c r="A739" s="21"/>
      <c r="B739" s="21" t="s">
        <v>13379</v>
      </c>
      <c r="C739" s="21"/>
      <c r="D739" s="21"/>
      <c r="E739">
        <f t="shared" si="11"/>
        <v>0</v>
      </c>
    </row>
    <row r="740" spans="1:5" ht="26.25" thickBot="1">
      <c r="A740" s="21" t="s">
        <v>13381</v>
      </c>
      <c r="B740" s="21" t="s">
        <v>13382</v>
      </c>
      <c r="C740" s="21"/>
      <c r="D740" s="21"/>
      <c r="E740">
        <f t="shared" si="11"/>
        <v>0</v>
      </c>
    </row>
    <row r="741" spans="1:5" ht="15" thickBot="1">
      <c r="A741" s="21"/>
      <c r="B741" s="21" t="s">
        <v>8969</v>
      </c>
      <c r="C741" s="21"/>
      <c r="D741" s="21"/>
      <c r="E741">
        <f t="shared" si="11"/>
        <v>0</v>
      </c>
    </row>
    <row r="742" spans="1:5" ht="26.25" thickBot="1">
      <c r="A742" s="21" t="s">
        <v>13383</v>
      </c>
      <c r="B742" s="21" t="s">
        <v>13384</v>
      </c>
      <c r="C742" s="21"/>
      <c r="D742" s="21"/>
      <c r="E742">
        <f t="shared" si="11"/>
        <v>0</v>
      </c>
    </row>
    <row r="743" spans="1:5" ht="15" thickBot="1">
      <c r="A743" s="21" t="s">
        <v>13385</v>
      </c>
      <c r="B743" s="21" t="s">
        <v>13386</v>
      </c>
      <c r="C743" s="21"/>
      <c r="D743" s="21"/>
      <c r="E743">
        <f t="shared" si="11"/>
        <v>0</v>
      </c>
    </row>
    <row r="744" spans="1:5" ht="15" thickBot="1">
      <c r="A744" s="21"/>
      <c r="B744" s="21" t="s">
        <v>7919</v>
      </c>
      <c r="C744" s="21"/>
      <c r="D744" s="21"/>
      <c r="E744">
        <f t="shared" si="11"/>
        <v>0</v>
      </c>
    </row>
    <row r="745" spans="1:5" ht="26.25" thickBot="1">
      <c r="A745" s="21"/>
      <c r="B745" s="21" t="s">
        <v>13388</v>
      </c>
      <c r="C745" s="21"/>
      <c r="D745" s="21"/>
      <c r="E745">
        <f t="shared" si="11"/>
        <v>0</v>
      </c>
    </row>
    <row r="746" spans="1:5" ht="15" thickBot="1">
      <c r="A746" s="21" t="s">
        <v>13389</v>
      </c>
      <c r="B746" s="21" t="s">
        <v>13390</v>
      </c>
      <c r="C746" s="21"/>
      <c r="D746" s="21"/>
      <c r="E746">
        <f t="shared" si="11"/>
        <v>0</v>
      </c>
    </row>
    <row r="747" spans="1:5" ht="15" thickBot="1">
      <c r="A747" s="21"/>
      <c r="B747" s="21" t="s">
        <v>10139</v>
      </c>
      <c r="C747" s="21"/>
      <c r="D747" s="21"/>
      <c r="E747">
        <f t="shared" si="11"/>
        <v>0</v>
      </c>
    </row>
    <row r="748" spans="1:5" ht="15" thickBot="1">
      <c r="A748" s="21" t="s">
        <v>13391</v>
      </c>
      <c r="B748" s="22" t="s">
        <v>13392</v>
      </c>
      <c r="C748" s="21"/>
      <c r="D748" s="21"/>
      <c r="E748">
        <f t="shared" si="11"/>
        <v>0</v>
      </c>
    </row>
    <row r="749" spans="1:5" ht="15" thickBot="1">
      <c r="A749" s="21"/>
      <c r="B749" s="21" t="s">
        <v>8581</v>
      </c>
      <c r="C749" s="21"/>
      <c r="D749" s="21"/>
      <c r="E749">
        <f t="shared" si="11"/>
        <v>0</v>
      </c>
    </row>
    <row r="750" spans="1:5" ht="15" thickBot="1">
      <c r="A750" s="21" t="s">
        <v>13393</v>
      </c>
      <c r="B750" s="21" t="s">
        <v>8352</v>
      </c>
      <c r="C750" s="21"/>
      <c r="D750" s="21"/>
      <c r="E750">
        <f t="shared" si="11"/>
        <v>0</v>
      </c>
    </row>
    <row r="751" spans="1:5" ht="15" thickBot="1">
      <c r="A751" s="21"/>
      <c r="B751" s="21" t="s">
        <v>13394</v>
      </c>
      <c r="C751" s="21" t="s">
        <v>8206</v>
      </c>
      <c r="D751" s="21"/>
      <c r="E751">
        <f t="shared" si="11"/>
        <v>0</v>
      </c>
    </row>
    <row r="752" spans="1:5" ht="26.25" thickBot="1">
      <c r="A752" s="21" t="s">
        <v>13395</v>
      </c>
      <c r="B752" s="21" t="s">
        <v>13396</v>
      </c>
      <c r="C752" s="21"/>
      <c r="D752" s="21"/>
      <c r="E752">
        <f t="shared" si="11"/>
        <v>0</v>
      </c>
    </row>
    <row r="753" spans="1:5" ht="26.25" thickBot="1">
      <c r="A753" s="21" t="s">
        <v>13397</v>
      </c>
      <c r="B753" s="21" t="s">
        <v>13398</v>
      </c>
      <c r="C753" s="21"/>
      <c r="D753" s="21"/>
      <c r="E753">
        <f t="shared" si="11"/>
        <v>0</v>
      </c>
    </row>
    <row r="754" spans="1:5" ht="26.25" thickBot="1">
      <c r="A754" s="21" t="s">
        <v>13399</v>
      </c>
      <c r="B754" s="21" t="s">
        <v>13400</v>
      </c>
      <c r="C754" s="21"/>
      <c r="D754" s="21"/>
      <c r="E754">
        <f t="shared" si="11"/>
        <v>0</v>
      </c>
    </row>
    <row r="755" spans="1:5" ht="15" thickBot="1">
      <c r="A755" s="21" t="s">
        <v>13401</v>
      </c>
      <c r="B755" s="21" t="s">
        <v>13402</v>
      </c>
      <c r="C755" s="21"/>
      <c r="D755" s="21"/>
      <c r="E755">
        <f t="shared" si="11"/>
        <v>0</v>
      </c>
    </row>
    <row r="756" spans="1:5" ht="26.25" thickBot="1">
      <c r="A756" s="21"/>
      <c r="B756" s="21" t="s">
        <v>13405</v>
      </c>
      <c r="C756" s="21" t="s">
        <v>8206</v>
      </c>
      <c r="D756" s="21"/>
      <c r="E756">
        <f t="shared" si="11"/>
        <v>0</v>
      </c>
    </row>
    <row r="757" spans="1:5" ht="15" thickBot="1">
      <c r="A757" s="21" t="s">
        <v>13406</v>
      </c>
      <c r="B757" s="21" t="s">
        <v>13407</v>
      </c>
      <c r="C757" s="21"/>
      <c r="D757" s="21"/>
      <c r="E757">
        <f t="shared" si="11"/>
        <v>0</v>
      </c>
    </row>
    <row r="758" spans="1:5" ht="15" thickBot="1">
      <c r="A758" s="21" t="s">
        <v>13408</v>
      </c>
      <c r="B758" s="21" t="s">
        <v>13409</v>
      </c>
      <c r="C758" s="21"/>
      <c r="D758" s="21"/>
      <c r="E758">
        <f t="shared" si="11"/>
        <v>0</v>
      </c>
    </row>
    <row r="759" spans="1:5" ht="26.25" thickBot="1">
      <c r="A759" s="21" t="s">
        <v>13410</v>
      </c>
      <c r="B759" s="21" t="s">
        <v>13411</v>
      </c>
      <c r="C759" s="21"/>
      <c r="D759" s="21"/>
      <c r="E759">
        <f t="shared" si="11"/>
        <v>0</v>
      </c>
    </row>
    <row r="760" spans="1:5" ht="26.25" thickBot="1">
      <c r="A760" s="21" t="s">
        <v>13412</v>
      </c>
      <c r="B760" s="21" t="s">
        <v>13413</v>
      </c>
      <c r="C760" s="21"/>
      <c r="D760" s="21"/>
      <c r="E760">
        <f t="shared" si="11"/>
        <v>0</v>
      </c>
    </row>
    <row r="761" spans="1:5" ht="15" thickBot="1">
      <c r="A761" s="21"/>
      <c r="B761" s="21" t="s">
        <v>13415</v>
      </c>
      <c r="C761" s="21"/>
      <c r="D761" s="21"/>
      <c r="E761">
        <f t="shared" si="11"/>
        <v>0</v>
      </c>
    </row>
    <row r="762" spans="1:5" ht="15" thickBot="1">
      <c r="A762" s="21"/>
      <c r="B762" s="23">
        <v>51168</v>
      </c>
      <c r="C762" s="21"/>
      <c r="D762" s="21"/>
      <c r="E762">
        <f t="shared" si="11"/>
        <v>0</v>
      </c>
    </row>
    <row r="763" spans="1:5" ht="26.25" thickBot="1">
      <c r="A763" s="21" t="s">
        <v>13416</v>
      </c>
      <c r="B763" s="21" t="s">
        <v>13417</v>
      </c>
      <c r="C763" s="21"/>
      <c r="D763" s="21"/>
      <c r="E763">
        <f t="shared" si="11"/>
        <v>0</v>
      </c>
    </row>
    <row r="764" spans="1:5" ht="15" thickBot="1">
      <c r="A764" s="21" t="s">
        <v>13418</v>
      </c>
      <c r="B764" s="21" t="s">
        <v>13419</v>
      </c>
      <c r="C764" s="21"/>
      <c r="D764" s="21"/>
      <c r="E764">
        <f t="shared" si="11"/>
        <v>0</v>
      </c>
    </row>
    <row r="765" spans="1:5" ht="15" thickBot="1">
      <c r="A765" s="21"/>
      <c r="B765" s="21" t="s">
        <v>10464</v>
      </c>
      <c r="C765" s="21" t="s">
        <v>10464</v>
      </c>
      <c r="D765" s="21"/>
      <c r="E765">
        <f t="shared" si="11"/>
        <v>0</v>
      </c>
    </row>
    <row r="766" spans="1:5" ht="26.25" thickBot="1">
      <c r="A766" s="21" t="s">
        <v>13420</v>
      </c>
      <c r="B766" s="21" t="s">
        <v>13421</v>
      </c>
      <c r="C766" s="21"/>
      <c r="D766" s="21"/>
      <c r="E766">
        <f t="shared" si="11"/>
        <v>0</v>
      </c>
    </row>
    <row r="767" spans="1:5" ht="15" thickBot="1">
      <c r="A767" s="21" t="s">
        <v>13422</v>
      </c>
      <c r="B767" s="21" t="s">
        <v>8206</v>
      </c>
      <c r="C767" s="21"/>
      <c r="D767" s="21"/>
      <c r="E767">
        <f t="shared" si="11"/>
        <v>0</v>
      </c>
    </row>
    <row r="768" spans="1:5" ht="26.25" thickBot="1">
      <c r="A768" s="21"/>
      <c r="B768" s="21" t="s">
        <v>13423</v>
      </c>
      <c r="C768" s="21"/>
      <c r="D768" s="21"/>
      <c r="E768">
        <f t="shared" si="11"/>
        <v>0</v>
      </c>
    </row>
    <row r="769" spans="1:5" ht="15" thickBot="1">
      <c r="A769" s="21" t="s">
        <v>13424</v>
      </c>
      <c r="B769" s="21" t="s">
        <v>13425</v>
      </c>
      <c r="C769" s="21"/>
      <c r="D769" s="32">
        <v>79129141659</v>
      </c>
      <c r="E769">
        <f t="shared" si="11"/>
        <v>0</v>
      </c>
    </row>
    <row r="770" spans="1:5" ht="26.25" thickBot="1">
      <c r="A770" s="21" t="s">
        <v>13426</v>
      </c>
      <c r="B770" s="21" t="s">
        <v>13427</v>
      </c>
      <c r="C770" s="21"/>
      <c r="D770" s="21"/>
      <c r="E770">
        <f t="shared" ref="E770:E833" si="12">IF(A770&lt;1,D770,)</f>
        <v>0</v>
      </c>
    </row>
    <row r="771" spans="1:5" ht="15" thickBot="1">
      <c r="A771" s="21" t="s">
        <v>13428</v>
      </c>
      <c r="B771" s="21" t="s">
        <v>13429</v>
      </c>
      <c r="C771" s="21"/>
      <c r="D771" s="21"/>
      <c r="E771">
        <f t="shared" si="12"/>
        <v>0</v>
      </c>
    </row>
    <row r="772" spans="1:5" ht="26.25" thickBot="1">
      <c r="A772" s="21" t="s">
        <v>13430</v>
      </c>
      <c r="B772" s="21" t="s">
        <v>13431</v>
      </c>
      <c r="C772" s="21"/>
      <c r="D772" s="21"/>
      <c r="E772">
        <f t="shared" si="12"/>
        <v>0</v>
      </c>
    </row>
    <row r="773" spans="1:5" ht="39" thickBot="1">
      <c r="A773" s="21"/>
      <c r="B773" s="21" t="s">
        <v>13432</v>
      </c>
      <c r="C773" s="21"/>
      <c r="D773" s="21"/>
      <c r="E773">
        <f t="shared" si="12"/>
        <v>0</v>
      </c>
    </row>
    <row r="774" spans="1:5" ht="15" thickBot="1">
      <c r="A774" s="21" t="s">
        <v>13433</v>
      </c>
      <c r="B774" s="21" t="s">
        <v>10682</v>
      </c>
      <c r="C774" s="21"/>
      <c r="D774" s="21"/>
      <c r="E774">
        <f t="shared" si="12"/>
        <v>0</v>
      </c>
    </row>
    <row r="775" spans="1:5" ht="26.25" thickBot="1">
      <c r="A775" s="21" t="s">
        <v>13434</v>
      </c>
      <c r="B775" s="21" t="s">
        <v>13435</v>
      </c>
      <c r="C775" s="21"/>
      <c r="D775" s="21"/>
      <c r="E775">
        <f t="shared" si="12"/>
        <v>0</v>
      </c>
    </row>
    <row r="776" spans="1:5" ht="15" thickBot="1">
      <c r="A776" s="21" t="s">
        <v>13436</v>
      </c>
      <c r="B776" s="21" t="s">
        <v>13437</v>
      </c>
      <c r="C776" s="21"/>
      <c r="D776" s="21"/>
      <c r="E776">
        <f t="shared" si="12"/>
        <v>0</v>
      </c>
    </row>
    <row r="777" spans="1:5" ht="15" thickBot="1">
      <c r="A777" s="21"/>
      <c r="B777" s="21" t="s">
        <v>13438</v>
      </c>
      <c r="C777" s="21"/>
      <c r="D777" s="21"/>
      <c r="E777">
        <f t="shared" si="12"/>
        <v>0</v>
      </c>
    </row>
    <row r="778" spans="1:5" ht="26.25" thickBot="1">
      <c r="A778" s="21"/>
      <c r="B778" s="21" t="s">
        <v>13439</v>
      </c>
      <c r="C778" s="21"/>
      <c r="D778" s="21"/>
      <c r="E778">
        <f t="shared" si="12"/>
        <v>0</v>
      </c>
    </row>
    <row r="779" spans="1:5" ht="26.25" thickBot="1">
      <c r="A779" s="21" t="s">
        <v>13440</v>
      </c>
      <c r="B779" s="21" t="s">
        <v>13441</v>
      </c>
      <c r="C779" s="21"/>
      <c r="D779" s="21"/>
      <c r="E779">
        <f t="shared" si="12"/>
        <v>0</v>
      </c>
    </row>
    <row r="780" spans="1:5" ht="15" thickBot="1">
      <c r="A780" s="21" t="s">
        <v>13443</v>
      </c>
      <c r="B780" s="21" t="s">
        <v>8694</v>
      </c>
      <c r="C780" s="21"/>
      <c r="D780" s="21"/>
      <c r="E780">
        <f t="shared" si="12"/>
        <v>0</v>
      </c>
    </row>
    <row r="781" spans="1:5" ht="15" thickBot="1">
      <c r="A781" s="21"/>
      <c r="B781" s="21" t="s">
        <v>7768</v>
      </c>
      <c r="C781" s="21"/>
      <c r="D781" s="21"/>
      <c r="E781">
        <f t="shared" si="12"/>
        <v>0</v>
      </c>
    </row>
    <row r="782" spans="1:5" ht="15" thickBot="1">
      <c r="A782" s="21" t="s">
        <v>13444</v>
      </c>
      <c r="B782" s="21" t="s">
        <v>8579</v>
      </c>
      <c r="C782" s="21"/>
      <c r="D782" s="21"/>
      <c r="E782">
        <f t="shared" si="12"/>
        <v>0</v>
      </c>
    </row>
    <row r="783" spans="1:5" ht="15" thickBot="1">
      <c r="A783" s="21" t="s">
        <v>13446</v>
      </c>
      <c r="B783" s="21" t="s">
        <v>13447</v>
      </c>
      <c r="C783" s="21"/>
      <c r="D783" s="21"/>
      <c r="E783">
        <f t="shared" si="12"/>
        <v>0</v>
      </c>
    </row>
    <row r="784" spans="1:5" ht="26.25" thickBot="1">
      <c r="A784" s="21" t="s">
        <v>13448</v>
      </c>
      <c r="B784" s="21" t="s">
        <v>13449</v>
      </c>
      <c r="C784" s="21"/>
      <c r="D784" s="21"/>
      <c r="E784">
        <f t="shared" si="12"/>
        <v>0</v>
      </c>
    </row>
    <row r="785" spans="1:5" ht="15" thickBot="1">
      <c r="A785" s="21"/>
      <c r="B785" s="21" t="s">
        <v>13450</v>
      </c>
      <c r="C785" s="21"/>
      <c r="D785" s="21"/>
      <c r="E785">
        <f t="shared" si="12"/>
        <v>0</v>
      </c>
    </row>
    <row r="786" spans="1:5" ht="26.25" thickBot="1">
      <c r="A786" s="21" t="s">
        <v>13451</v>
      </c>
      <c r="B786" s="21" t="s">
        <v>9157</v>
      </c>
      <c r="C786" s="21"/>
      <c r="D786" s="21"/>
      <c r="E786">
        <f t="shared" si="12"/>
        <v>0</v>
      </c>
    </row>
    <row r="787" spans="1:5" ht="15" thickBot="1">
      <c r="A787" s="21" t="s">
        <v>13452</v>
      </c>
      <c r="B787" s="21" t="s">
        <v>7399</v>
      </c>
      <c r="C787" s="21"/>
      <c r="D787" s="21"/>
      <c r="E787">
        <f t="shared" si="12"/>
        <v>0</v>
      </c>
    </row>
    <row r="788" spans="1:5" ht="15" thickBot="1">
      <c r="A788" s="21"/>
      <c r="B788" s="23">
        <v>966</v>
      </c>
      <c r="C788" s="21"/>
      <c r="D788" s="21"/>
      <c r="E788">
        <f t="shared" si="12"/>
        <v>0</v>
      </c>
    </row>
    <row r="789" spans="1:5" ht="15" thickBot="1">
      <c r="A789" s="21"/>
      <c r="B789" s="21" t="s">
        <v>10045</v>
      </c>
      <c r="C789" s="21"/>
      <c r="D789" s="21"/>
      <c r="E789">
        <f t="shared" si="12"/>
        <v>0</v>
      </c>
    </row>
    <row r="790" spans="1:5" ht="26.25" thickBot="1">
      <c r="A790" s="21" t="s">
        <v>13453</v>
      </c>
      <c r="B790" s="21" t="s">
        <v>13454</v>
      </c>
      <c r="C790" s="21"/>
      <c r="D790" s="21"/>
      <c r="E790">
        <f t="shared" si="12"/>
        <v>0</v>
      </c>
    </row>
    <row r="791" spans="1:5" ht="15" thickBot="1">
      <c r="A791" s="21" t="s">
        <v>13456</v>
      </c>
      <c r="B791" s="21" t="s">
        <v>13457</v>
      </c>
      <c r="C791" s="21"/>
      <c r="D791" s="21"/>
      <c r="E791">
        <f t="shared" si="12"/>
        <v>0</v>
      </c>
    </row>
    <row r="792" spans="1:5" ht="15" thickBot="1">
      <c r="A792" s="21"/>
      <c r="B792" s="21" t="s">
        <v>13458</v>
      </c>
      <c r="C792" s="21"/>
      <c r="D792" s="21"/>
      <c r="E792">
        <f t="shared" si="12"/>
        <v>0</v>
      </c>
    </row>
    <row r="793" spans="1:5" ht="15" thickBot="1">
      <c r="A793" s="21" t="s">
        <v>13459</v>
      </c>
      <c r="B793" s="21" t="s">
        <v>13460</v>
      </c>
      <c r="C793" s="21"/>
      <c r="D793" s="21"/>
      <c r="E793">
        <f t="shared" si="12"/>
        <v>0</v>
      </c>
    </row>
    <row r="794" spans="1:5" ht="26.25" thickBot="1">
      <c r="A794" s="21" t="s">
        <v>13461</v>
      </c>
      <c r="B794" s="21" t="s">
        <v>13462</v>
      </c>
      <c r="C794" s="21"/>
      <c r="D794" s="21"/>
      <c r="E794">
        <f t="shared" si="12"/>
        <v>0</v>
      </c>
    </row>
    <row r="795" spans="1:5" ht="15" thickBot="1">
      <c r="A795" s="21"/>
      <c r="B795" s="21" t="s">
        <v>7399</v>
      </c>
      <c r="C795" s="21"/>
      <c r="D795" s="21"/>
      <c r="E795">
        <f t="shared" si="12"/>
        <v>0</v>
      </c>
    </row>
    <row r="796" spans="1:5" ht="39" thickBot="1">
      <c r="A796" s="21"/>
      <c r="B796" s="21" t="s">
        <v>13463</v>
      </c>
      <c r="C796" s="21"/>
      <c r="D796" s="21"/>
      <c r="E796">
        <f t="shared" si="12"/>
        <v>0</v>
      </c>
    </row>
    <row r="797" spans="1:5" ht="15" thickBot="1">
      <c r="A797" s="21"/>
      <c r="B797" s="21" t="s">
        <v>8717</v>
      </c>
      <c r="C797" s="21" t="s">
        <v>8717</v>
      </c>
      <c r="D797" s="21"/>
      <c r="E797">
        <f t="shared" si="12"/>
        <v>0</v>
      </c>
    </row>
    <row r="798" spans="1:5" ht="15" thickBot="1">
      <c r="A798" s="21" t="s">
        <v>13464</v>
      </c>
      <c r="B798" s="21" t="s">
        <v>13465</v>
      </c>
      <c r="C798" s="21"/>
      <c r="D798" s="21"/>
      <c r="E798">
        <f t="shared" si="12"/>
        <v>0</v>
      </c>
    </row>
    <row r="799" spans="1:5" ht="15" thickBot="1">
      <c r="A799" s="21" t="s">
        <v>13469</v>
      </c>
      <c r="B799" s="21" t="s">
        <v>13470</v>
      </c>
      <c r="C799" s="21"/>
      <c r="D799" s="21"/>
      <c r="E799">
        <f t="shared" si="12"/>
        <v>0</v>
      </c>
    </row>
    <row r="800" spans="1:5" ht="15" thickBot="1">
      <c r="A800" s="21" t="s">
        <v>13471</v>
      </c>
      <c r="B800" s="21" t="s">
        <v>13472</v>
      </c>
      <c r="C800" s="21"/>
      <c r="D800" s="21"/>
      <c r="E800">
        <f t="shared" si="12"/>
        <v>0</v>
      </c>
    </row>
    <row r="801" spans="1:5" ht="39" thickBot="1">
      <c r="A801" s="21" t="s">
        <v>13473</v>
      </c>
      <c r="B801" s="21" t="s">
        <v>13474</v>
      </c>
      <c r="C801" s="21"/>
      <c r="D801" s="21"/>
      <c r="E801">
        <f t="shared" si="12"/>
        <v>0</v>
      </c>
    </row>
    <row r="802" spans="1:5" ht="15" thickBot="1">
      <c r="A802" s="21" t="s">
        <v>13476</v>
      </c>
      <c r="B802" s="21" t="s">
        <v>10331</v>
      </c>
      <c r="C802" s="21"/>
      <c r="D802" s="21"/>
      <c r="E802">
        <f t="shared" si="12"/>
        <v>0</v>
      </c>
    </row>
    <row r="803" spans="1:5" ht="39" thickBot="1">
      <c r="A803" s="21" t="s">
        <v>13480</v>
      </c>
      <c r="B803" s="21" t="s">
        <v>13481</v>
      </c>
      <c r="C803" s="21"/>
      <c r="D803" s="21"/>
      <c r="E803">
        <f t="shared" si="12"/>
        <v>0</v>
      </c>
    </row>
    <row r="804" spans="1:5" ht="15" thickBot="1">
      <c r="A804" s="21" t="s">
        <v>13482</v>
      </c>
      <c r="B804" s="21" t="s">
        <v>10029</v>
      </c>
      <c r="C804" s="21"/>
      <c r="D804" s="21"/>
      <c r="E804">
        <f t="shared" si="12"/>
        <v>0</v>
      </c>
    </row>
    <row r="805" spans="1:5" ht="26.25" thickBot="1">
      <c r="A805" s="21"/>
      <c r="B805" s="21" t="s">
        <v>13483</v>
      </c>
      <c r="C805" s="21" t="s">
        <v>7919</v>
      </c>
      <c r="D805" s="21"/>
      <c r="E805">
        <f t="shared" si="12"/>
        <v>0</v>
      </c>
    </row>
    <row r="806" spans="1:5" ht="15" thickBot="1">
      <c r="A806" s="21" t="s">
        <v>13484</v>
      </c>
      <c r="B806" s="21" t="s">
        <v>13485</v>
      </c>
      <c r="C806" s="21"/>
      <c r="D806" s="21"/>
      <c r="E806">
        <f t="shared" si="12"/>
        <v>0</v>
      </c>
    </row>
    <row r="807" spans="1:5" ht="15" thickBot="1">
      <c r="A807" s="21"/>
      <c r="B807" s="21" t="s">
        <v>13486</v>
      </c>
      <c r="C807" s="21"/>
      <c r="D807" s="21"/>
      <c r="E807">
        <f t="shared" si="12"/>
        <v>0</v>
      </c>
    </row>
    <row r="808" spans="1:5" ht="26.25" thickBot="1">
      <c r="A808" s="21"/>
      <c r="B808" s="21" t="s">
        <v>13487</v>
      </c>
      <c r="C808" s="21" t="s">
        <v>8643</v>
      </c>
      <c r="D808" s="21"/>
      <c r="E808">
        <f t="shared" si="12"/>
        <v>0</v>
      </c>
    </row>
    <row r="809" spans="1:5" ht="15" thickBot="1">
      <c r="A809" s="21"/>
      <c r="B809" s="21" t="s">
        <v>13488</v>
      </c>
      <c r="C809" s="21"/>
      <c r="D809" s="21"/>
      <c r="E809">
        <f t="shared" si="12"/>
        <v>0</v>
      </c>
    </row>
    <row r="810" spans="1:5" ht="26.25" thickBot="1">
      <c r="A810" s="21" t="s">
        <v>13489</v>
      </c>
      <c r="B810" s="21" t="s">
        <v>13490</v>
      </c>
      <c r="C810" s="21"/>
      <c r="D810" s="21"/>
      <c r="E810">
        <f t="shared" si="12"/>
        <v>0</v>
      </c>
    </row>
    <row r="811" spans="1:5" ht="15" thickBot="1">
      <c r="A811" s="21" t="s">
        <v>13491</v>
      </c>
      <c r="B811" s="21" t="s">
        <v>13492</v>
      </c>
      <c r="C811" s="21"/>
      <c r="D811" s="21"/>
      <c r="E811">
        <f t="shared" si="12"/>
        <v>0</v>
      </c>
    </row>
    <row r="812" spans="1:5" ht="26.25" thickBot="1">
      <c r="A812" s="21" t="s">
        <v>13493</v>
      </c>
      <c r="B812" s="21" t="s">
        <v>13494</v>
      </c>
      <c r="C812" s="21"/>
      <c r="D812" s="21"/>
      <c r="E812">
        <f t="shared" si="12"/>
        <v>0</v>
      </c>
    </row>
    <row r="813" spans="1:5" ht="39" thickBot="1">
      <c r="A813" s="21" t="s">
        <v>13499</v>
      </c>
      <c r="B813" s="21" t="s">
        <v>13500</v>
      </c>
      <c r="C813" s="21"/>
      <c r="D813" s="21"/>
      <c r="E813">
        <f t="shared" si="12"/>
        <v>0</v>
      </c>
    </row>
    <row r="814" spans="1:5" ht="15" thickBot="1">
      <c r="A814" s="21" t="s">
        <v>13501</v>
      </c>
      <c r="B814" s="21" t="s">
        <v>7818</v>
      </c>
      <c r="C814" s="21"/>
      <c r="D814" s="21"/>
      <c r="E814">
        <f t="shared" si="12"/>
        <v>0</v>
      </c>
    </row>
    <row r="815" spans="1:5" ht="15" thickBot="1">
      <c r="A815" s="21"/>
      <c r="B815" s="21" t="s">
        <v>8206</v>
      </c>
      <c r="C815" s="21" t="s">
        <v>8206</v>
      </c>
      <c r="D815" s="21"/>
      <c r="E815">
        <f t="shared" si="12"/>
        <v>0</v>
      </c>
    </row>
    <row r="816" spans="1:5" ht="39" thickBot="1">
      <c r="A816" s="21" t="s">
        <v>13502</v>
      </c>
      <c r="B816" s="21" t="s">
        <v>13503</v>
      </c>
      <c r="C816" s="21"/>
      <c r="D816" s="21"/>
      <c r="E816">
        <f t="shared" si="12"/>
        <v>0</v>
      </c>
    </row>
    <row r="817" spans="1:5" ht="26.25" thickBot="1">
      <c r="A817" s="21" t="s">
        <v>13504</v>
      </c>
      <c r="B817" s="21" t="s">
        <v>13505</v>
      </c>
      <c r="C817" s="21"/>
      <c r="D817" s="21"/>
      <c r="E817">
        <f t="shared" si="12"/>
        <v>0</v>
      </c>
    </row>
    <row r="818" spans="1:5" ht="26.25" thickBot="1">
      <c r="A818" s="21" t="s">
        <v>13508</v>
      </c>
      <c r="B818" s="21" t="s">
        <v>13509</v>
      </c>
      <c r="C818" s="21"/>
      <c r="D818" s="21"/>
      <c r="E818">
        <f t="shared" si="12"/>
        <v>0</v>
      </c>
    </row>
    <row r="819" spans="1:5" ht="15" thickBot="1">
      <c r="A819" s="21"/>
      <c r="B819" s="21" t="s">
        <v>9034</v>
      </c>
      <c r="C819" s="22" t="s">
        <v>13510</v>
      </c>
      <c r="D819" s="21"/>
      <c r="E819">
        <f t="shared" si="12"/>
        <v>0</v>
      </c>
    </row>
    <row r="820" spans="1:5" ht="15" thickBot="1">
      <c r="A820" s="21" t="s">
        <v>13512</v>
      </c>
      <c r="B820" s="21" t="s">
        <v>13513</v>
      </c>
      <c r="C820" s="21"/>
      <c r="D820" s="21"/>
      <c r="E820">
        <f t="shared" si="12"/>
        <v>0</v>
      </c>
    </row>
    <row r="821" spans="1:5" ht="15" thickBot="1">
      <c r="A821" s="21" t="s">
        <v>13514</v>
      </c>
      <c r="B821" s="21" t="s">
        <v>13515</v>
      </c>
      <c r="C821" s="21"/>
      <c r="D821" s="21"/>
      <c r="E821">
        <f t="shared" si="12"/>
        <v>0</v>
      </c>
    </row>
    <row r="822" spans="1:5" ht="15" thickBot="1">
      <c r="A822" s="21" t="s">
        <v>13516</v>
      </c>
      <c r="B822" s="21" t="s">
        <v>8365</v>
      </c>
      <c r="C822" s="21"/>
      <c r="D822" s="21"/>
      <c r="E822">
        <f t="shared" si="12"/>
        <v>0</v>
      </c>
    </row>
    <row r="823" spans="1:5" ht="15" thickBot="1">
      <c r="A823" s="21" t="s">
        <v>13517</v>
      </c>
      <c r="B823" s="21" t="s">
        <v>8325</v>
      </c>
      <c r="C823" s="21"/>
      <c r="D823" s="21"/>
      <c r="E823">
        <f t="shared" si="12"/>
        <v>0</v>
      </c>
    </row>
    <row r="824" spans="1:5" ht="26.25" thickBot="1">
      <c r="A824" s="21"/>
      <c r="B824" s="21" t="s">
        <v>13520</v>
      </c>
      <c r="C824" s="21" t="s">
        <v>13521</v>
      </c>
      <c r="D824" s="21"/>
      <c r="E824">
        <f t="shared" si="12"/>
        <v>0</v>
      </c>
    </row>
    <row r="825" spans="1:5" ht="15" thickBot="1">
      <c r="A825" s="21"/>
      <c r="B825" s="21" t="s">
        <v>7399</v>
      </c>
      <c r="C825" s="21"/>
      <c r="D825" s="21"/>
      <c r="E825">
        <f t="shared" si="12"/>
        <v>0</v>
      </c>
    </row>
    <row r="826" spans="1:5" ht="26.25" thickBot="1">
      <c r="A826" s="21" t="s">
        <v>13522</v>
      </c>
      <c r="B826" s="21" t="s">
        <v>13523</v>
      </c>
      <c r="C826" s="21"/>
      <c r="D826" s="21"/>
      <c r="E826">
        <f t="shared" si="12"/>
        <v>0</v>
      </c>
    </row>
    <row r="827" spans="1:5" ht="15" thickBot="1">
      <c r="A827" s="21" t="s">
        <v>13525</v>
      </c>
      <c r="B827" s="21" t="s">
        <v>13526</v>
      </c>
      <c r="C827" s="21"/>
      <c r="D827" s="21"/>
      <c r="E827">
        <f t="shared" si="12"/>
        <v>0</v>
      </c>
    </row>
    <row r="828" spans="1:5" ht="26.25" thickBot="1">
      <c r="A828" s="21" t="s">
        <v>13527</v>
      </c>
      <c r="B828" s="21" t="s">
        <v>13528</v>
      </c>
      <c r="C828" s="21"/>
      <c r="D828" s="21"/>
      <c r="E828">
        <f t="shared" si="12"/>
        <v>0</v>
      </c>
    </row>
    <row r="829" spans="1:5" ht="26.25" thickBot="1">
      <c r="A829" s="21" t="s">
        <v>13529</v>
      </c>
      <c r="B829" s="21" t="s">
        <v>13530</v>
      </c>
      <c r="C829" s="21"/>
      <c r="D829" s="21"/>
      <c r="E829">
        <f t="shared" si="12"/>
        <v>0</v>
      </c>
    </row>
    <row r="830" spans="1:5" ht="26.25" thickBot="1">
      <c r="A830" s="21" t="s">
        <v>13531</v>
      </c>
      <c r="B830" s="21" t="s">
        <v>13532</v>
      </c>
      <c r="C830" s="21"/>
      <c r="D830" s="21"/>
      <c r="E830">
        <f t="shared" si="12"/>
        <v>0</v>
      </c>
    </row>
    <row r="831" spans="1:5" ht="26.25" thickBot="1">
      <c r="A831" s="21"/>
      <c r="B831" s="21" t="s">
        <v>13534</v>
      </c>
      <c r="C831" s="21"/>
      <c r="D831" s="21"/>
      <c r="E831">
        <f t="shared" si="12"/>
        <v>0</v>
      </c>
    </row>
    <row r="832" spans="1:5" ht="15" thickBot="1">
      <c r="A832" s="21" t="s">
        <v>13535</v>
      </c>
      <c r="B832" s="21" t="s">
        <v>13536</v>
      </c>
      <c r="C832" s="21"/>
      <c r="D832" s="21"/>
      <c r="E832">
        <f t="shared" si="12"/>
        <v>0</v>
      </c>
    </row>
    <row r="833" spans="1:5" ht="26.25" thickBot="1">
      <c r="A833" s="21" t="s">
        <v>13537</v>
      </c>
      <c r="B833" s="21" t="s">
        <v>12648</v>
      </c>
      <c r="C833" s="21"/>
      <c r="D833" s="21"/>
      <c r="E833">
        <f t="shared" si="12"/>
        <v>0</v>
      </c>
    </row>
    <row r="834" spans="1:5" ht="39" thickBot="1">
      <c r="A834" s="21"/>
      <c r="B834" s="21" t="s">
        <v>13538</v>
      </c>
      <c r="C834" s="21"/>
      <c r="D834" s="21"/>
      <c r="E834">
        <f t="shared" ref="E834:E897" si="13">IF(A834&lt;1,D834,)</f>
        <v>0</v>
      </c>
    </row>
    <row r="835" spans="1:5" ht="26.25" thickBot="1">
      <c r="A835" s="21" t="s">
        <v>13539</v>
      </c>
      <c r="B835" s="21" t="s">
        <v>13540</v>
      </c>
      <c r="C835" s="21"/>
      <c r="D835" s="21"/>
      <c r="E835">
        <f t="shared" si="13"/>
        <v>0</v>
      </c>
    </row>
    <row r="836" spans="1:5" ht="26.25" thickBot="1">
      <c r="A836" s="21" t="s">
        <v>13541</v>
      </c>
      <c r="B836" s="21" t="s">
        <v>13542</v>
      </c>
      <c r="C836" s="21"/>
      <c r="D836" s="21"/>
      <c r="E836">
        <f t="shared" si="13"/>
        <v>0</v>
      </c>
    </row>
    <row r="837" spans="1:5" ht="26.25" thickBot="1">
      <c r="A837" s="21" t="s">
        <v>13543</v>
      </c>
      <c r="B837" s="21" t="s">
        <v>13544</v>
      </c>
      <c r="C837" s="21"/>
      <c r="D837" s="21"/>
      <c r="E837">
        <f t="shared" si="13"/>
        <v>0</v>
      </c>
    </row>
    <row r="838" spans="1:5" ht="26.25" thickBot="1">
      <c r="A838" s="21"/>
      <c r="B838" s="21" t="s">
        <v>13545</v>
      </c>
      <c r="C838" s="21"/>
      <c r="D838" s="21"/>
      <c r="E838">
        <f t="shared" si="13"/>
        <v>0</v>
      </c>
    </row>
    <row r="839" spans="1:5" ht="15" thickBot="1">
      <c r="A839" s="21" t="s">
        <v>13548</v>
      </c>
      <c r="B839" s="21" t="s">
        <v>9977</v>
      </c>
      <c r="C839" s="21"/>
      <c r="D839" s="21"/>
      <c r="E839">
        <f t="shared" si="13"/>
        <v>0</v>
      </c>
    </row>
    <row r="840" spans="1:5" ht="26.25" thickBot="1">
      <c r="A840" s="21" t="s">
        <v>13549</v>
      </c>
      <c r="B840" s="21" t="s">
        <v>13550</v>
      </c>
      <c r="C840" s="21"/>
      <c r="D840" s="21"/>
      <c r="E840">
        <f t="shared" si="13"/>
        <v>0</v>
      </c>
    </row>
    <row r="841" spans="1:5" ht="26.25" thickBot="1">
      <c r="A841" s="21" t="s">
        <v>13551</v>
      </c>
      <c r="B841" s="21" t="s">
        <v>13552</v>
      </c>
      <c r="C841" s="21"/>
      <c r="D841" s="21"/>
      <c r="E841">
        <f t="shared" si="13"/>
        <v>0</v>
      </c>
    </row>
    <row r="842" spans="1:5" ht="15" thickBot="1">
      <c r="A842" s="21" t="s">
        <v>13553</v>
      </c>
      <c r="B842" s="22" t="s">
        <v>13554</v>
      </c>
      <c r="C842" s="21"/>
      <c r="D842" s="21"/>
      <c r="E842">
        <f t="shared" si="13"/>
        <v>0</v>
      </c>
    </row>
    <row r="843" spans="1:5" ht="15" thickBot="1">
      <c r="A843" s="21" t="s">
        <v>13555</v>
      </c>
      <c r="B843" s="21" t="s">
        <v>11657</v>
      </c>
      <c r="C843" s="21"/>
      <c r="D843" s="21"/>
      <c r="E843">
        <f t="shared" si="13"/>
        <v>0</v>
      </c>
    </row>
    <row r="844" spans="1:5" ht="26.25" thickBot="1">
      <c r="A844" s="21" t="s">
        <v>13556</v>
      </c>
      <c r="B844" s="21" t="s">
        <v>13557</v>
      </c>
      <c r="C844" s="21"/>
      <c r="D844" s="21"/>
      <c r="E844">
        <f t="shared" si="13"/>
        <v>0</v>
      </c>
    </row>
    <row r="845" spans="1:5" ht="15" thickBot="1">
      <c r="A845" s="21" t="s">
        <v>13558</v>
      </c>
      <c r="B845" s="21" t="s">
        <v>13559</v>
      </c>
      <c r="C845" s="21"/>
      <c r="D845" s="21"/>
      <c r="E845">
        <f t="shared" si="13"/>
        <v>0</v>
      </c>
    </row>
    <row r="846" spans="1:5" ht="39" thickBot="1">
      <c r="A846" s="21" t="s">
        <v>13560</v>
      </c>
      <c r="B846" s="21" t="s">
        <v>13561</v>
      </c>
      <c r="C846" s="21"/>
      <c r="D846" s="21"/>
      <c r="E846">
        <f t="shared" si="13"/>
        <v>0</v>
      </c>
    </row>
    <row r="847" spans="1:5" ht="26.25" thickBot="1">
      <c r="A847" s="21" t="s">
        <v>13562</v>
      </c>
      <c r="B847" s="21" t="s">
        <v>13563</v>
      </c>
      <c r="C847" s="21"/>
      <c r="D847" s="21"/>
      <c r="E847">
        <f t="shared" si="13"/>
        <v>0</v>
      </c>
    </row>
    <row r="848" spans="1:5" ht="26.25" thickBot="1">
      <c r="A848" s="21"/>
      <c r="B848" s="21" t="s">
        <v>13564</v>
      </c>
      <c r="C848" s="21"/>
      <c r="D848" s="21"/>
      <c r="E848">
        <f t="shared" si="13"/>
        <v>0</v>
      </c>
    </row>
    <row r="849" spans="1:5" ht="26.25" thickBot="1">
      <c r="A849" s="21" t="s">
        <v>13565</v>
      </c>
      <c r="B849" s="21" t="s">
        <v>13566</v>
      </c>
      <c r="C849" s="21"/>
      <c r="D849" s="21"/>
      <c r="E849">
        <f t="shared" si="13"/>
        <v>0</v>
      </c>
    </row>
    <row r="850" spans="1:5" ht="39" thickBot="1">
      <c r="A850" s="21"/>
      <c r="B850" s="21" t="s">
        <v>13567</v>
      </c>
      <c r="C850" s="21"/>
      <c r="D850" s="21"/>
      <c r="E850">
        <f t="shared" si="13"/>
        <v>0</v>
      </c>
    </row>
    <row r="851" spans="1:5" ht="15" thickBot="1">
      <c r="A851" s="21" t="s">
        <v>13568</v>
      </c>
      <c r="B851" s="21" t="s">
        <v>13569</v>
      </c>
      <c r="C851" s="21"/>
      <c r="D851" s="21"/>
      <c r="E851">
        <f t="shared" si="13"/>
        <v>0</v>
      </c>
    </row>
    <row r="852" spans="1:5" ht="26.25" thickBot="1">
      <c r="A852" s="21"/>
      <c r="B852" s="21" t="s">
        <v>13570</v>
      </c>
      <c r="C852" s="21"/>
      <c r="D852" s="21"/>
      <c r="E852">
        <f t="shared" si="13"/>
        <v>0</v>
      </c>
    </row>
    <row r="853" spans="1:5" ht="39" thickBot="1">
      <c r="A853" s="21" t="s">
        <v>13571</v>
      </c>
      <c r="B853" s="21" t="s">
        <v>13572</v>
      </c>
      <c r="C853" s="21"/>
      <c r="D853" s="21"/>
      <c r="E853">
        <f t="shared" si="13"/>
        <v>0</v>
      </c>
    </row>
    <row r="854" spans="1:5" ht="15" thickBot="1">
      <c r="A854" s="21" t="s">
        <v>13573</v>
      </c>
      <c r="B854" s="21" t="s">
        <v>8229</v>
      </c>
      <c r="C854" s="21"/>
      <c r="D854" s="21"/>
      <c r="E854">
        <f t="shared" si="13"/>
        <v>0</v>
      </c>
    </row>
    <row r="855" spans="1:5" ht="26.25" thickBot="1">
      <c r="A855" s="21"/>
      <c r="B855" s="21" t="s">
        <v>13574</v>
      </c>
      <c r="C855" s="21"/>
      <c r="D855" s="21"/>
      <c r="E855">
        <f t="shared" si="13"/>
        <v>0</v>
      </c>
    </row>
    <row r="856" spans="1:5" ht="15" thickBot="1">
      <c r="A856" s="21"/>
      <c r="B856" s="21" t="s">
        <v>13575</v>
      </c>
      <c r="C856" s="21" t="s">
        <v>8903</v>
      </c>
      <c r="D856" s="21"/>
      <c r="E856">
        <f t="shared" si="13"/>
        <v>0</v>
      </c>
    </row>
    <row r="857" spans="1:5" ht="15" thickBot="1">
      <c r="A857" s="21"/>
      <c r="B857" s="21" t="s">
        <v>8479</v>
      </c>
      <c r="C857" s="21" t="s">
        <v>8479</v>
      </c>
      <c r="D857" s="21"/>
      <c r="E857">
        <f t="shared" si="13"/>
        <v>0</v>
      </c>
    </row>
    <row r="858" spans="1:5" ht="15" thickBot="1">
      <c r="A858" s="21" t="s">
        <v>13576</v>
      </c>
      <c r="B858" s="21" t="s">
        <v>8216</v>
      </c>
      <c r="C858" s="21"/>
      <c r="D858" s="21"/>
      <c r="E858">
        <f t="shared" si="13"/>
        <v>0</v>
      </c>
    </row>
    <row r="859" spans="1:5" ht="26.25" thickBot="1">
      <c r="A859" s="21" t="s">
        <v>13577</v>
      </c>
      <c r="B859" s="21" t="s">
        <v>13578</v>
      </c>
      <c r="C859" s="21"/>
      <c r="D859" s="21"/>
      <c r="E859">
        <f t="shared" si="13"/>
        <v>0</v>
      </c>
    </row>
    <row r="860" spans="1:5" ht="15" thickBot="1">
      <c r="A860" s="21" t="s">
        <v>13580</v>
      </c>
      <c r="B860" s="22" t="s">
        <v>13581</v>
      </c>
      <c r="C860" s="21"/>
      <c r="D860" s="21"/>
      <c r="E860">
        <f t="shared" si="13"/>
        <v>0</v>
      </c>
    </row>
    <row r="861" spans="1:5" ht="15" thickBot="1">
      <c r="A861" s="21" t="s">
        <v>13583</v>
      </c>
      <c r="B861" s="21" t="s">
        <v>8283</v>
      </c>
      <c r="C861" s="21"/>
      <c r="D861" s="21"/>
      <c r="E861">
        <f t="shared" si="13"/>
        <v>0</v>
      </c>
    </row>
    <row r="862" spans="1:5" ht="26.25" thickBot="1">
      <c r="A862" s="21"/>
      <c r="B862" s="21" t="s">
        <v>13584</v>
      </c>
      <c r="C862" s="21"/>
      <c r="D862" s="21"/>
      <c r="E862">
        <f t="shared" si="13"/>
        <v>0</v>
      </c>
    </row>
    <row r="863" spans="1:5" ht="26.25" thickBot="1">
      <c r="A863" s="21" t="s">
        <v>13585</v>
      </c>
      <c r="B863" s="21" t="s">
        <v>13586</v>
      </c>
      <c r="C863" s="21"/>
      <c r="D863" s="21"/>
      <c r="E863">
        <f t="shared" si="13"/>
        <v>0</v>
      </c>
    </row>
    <row r="864" spans="1:5" ht="39" thickBot="1">
      <c r="A864" s="21" t="s">
        <v>13587</v>
      </c>
      <c r="B864" s="21" t="s">
        <v>13588</v>
      </c>
      <c r="C864" s="21"/>
      <c r="D864" s="21"/>
      <c r="E864">
        <f t="shared" si="13"/>
        <v>0</v>
      </c>
    </row>
    <row r="865" spans="1:5" ht="15" thickBot="1">
      <c r="A865" s="21" t="s">
        <v>13589</v>
      </c>
      <c r="B865" s="21" t="s">
        <v>13590</v>
      </c>
      <c r="C865" s="21"/>
      <c r="D865" s="21"/>
      <c r="E865">
        <f t="shared" si="13"/>
        <v>0</v>
      </c>
    </row>
    <row r="866" spans="1:5" ht="15" thickBot="1">
      <c r="A866" s="21"/>
      <c r="B866" s="21" t="s">
        <v>8866</v>
      </c>
      <c r="C866" s="21"/>
      <c r="D866" s="21"/>
      <c r="E866">
        <f t="shared" si="13"/>
        <v>0</v>
      </c>
    </row>
    <row r="867" spans="1:5" ht="26.25" thickBot="1">
      <c r="A867" s="21"/>
      <c r="B867" s="21" t="s">
        <v>13592</v>
      </c>
      <c r="C867" s="21" t="s">
        <v>9157</v>
      </c>
      <c r="D867" s="21"/>
      <c r="E867">
        <f t="shared" si="13"/>
        <v>0</v>
      </c>
    </row>
    <row r="868" spans="1:5" ht="26.25" thickBot="1">
      <c r="A868" s="21" t="s">
        <v>13593</v>
      </c>
      <c r="B868" s="21" t="s">
        <v>13594</v>
      </c>
      <c r="C868" s="21"/>
      <c r="D868" s="21"/>
      <c r="E868">
        <f t="shared" si="13"/>
        <v>0</v>
      </c>
    </row>
    <row r="869" spans="1:5" ht="26.25" thickBot="1">
      <c r="A869" s="21" t="s">
        <v>13595</v>
      </c>
      <c r="B869" s="21" t="s">
        <v>13596</v>
      </c>
      <c r="C869" s="21"/>
      <c r="D869" s="21"/>
      <c r="E869">
        <f t="shared" si="13"/>
        <v>0</v>
      </c>
    </row>
    <row r="870" spans="1:5" ht="39" thickBot="1">
      <c r="A870" s="21" t="s">
        <v>13597</v>
      </c>
      <c r="B870" s="21" t="s">
        <v>13598</v>
      </c>
      <c r="C870" s="21"/>
      <c r="D870" s="21"/>
      <c r="E870">
        <f t="shared" si="13"/>
        <v>0</v>
      </c>
    </row>
    <row r="871" spans="1:5" ht="15" thickBot="1">
      <c r="A871" s="21"/>
      <c r="B871" s="21" t="s">
        <v>13599</v>
      </c>
      <c r="C871" s="21"/>
      <c r="D871" s="21"/>
      <c r="E871">
        <f t="shared" si="13"/>
        <v>0</v>
      </c>
    </row>
    <row r="872" spans="1:5" ht="15" thickBot="1">
      <c r="A872" s="21" t="s">
        <v>13600</v>
      </c>
      <c r="B872" s="21" t="s">
        <v>10398</v>
      </c>
      <c r="C872" s="21"/>
      <c r="D872" s="21"/>
      <c r="E872">
        <f t="shared" si="13"/>
        <v>0</v>
      </c>
    </row>
    <row r="873" spans="1:5" ht="15" thickBot="1">
      <c r="A873" s="21" t="s">
        <v>13601</v>
      </c>
      <c r="B873" s="21" t="s">
        <v>8643</v>
      </c>
      <c r="C873" s="21"/>
      <c r="D873" s="21"/>
      <c r="E873">
        <f t="shared" si="13"/>
        <v>0</v>
      </c>
    </row>
    <row r="874" spans="1:5" ht="15" thickBot="1">
      <c r="A874" s="21" t="s">
        <v>13603</v>
      </c>
      <c r="B874" s="21" t="s">
        <v>8365</v>
      </c>
      <c r="C874" s="21"/>
      <c r="D874" s="21"/>
      <c r="E874">
        <f t="shared" si="13"/>
        <v>0</v>
      </c>
    </row>
    <row r="875" spans="1:5" ht="26.25" thickBot="1">
      <c r="A875" s="21" t="s">
        <v>13604</v>
      </c>
      <c r="B875" s="21" t="s">
        <v>13605</v>
      </c>
      <c r="C875" s="21"/>
      <c r="D875" s="21"/>
      <c r="E875">
        <f t="shared" si="13"/>
        <v>0</v>
      </c>
    </row>
    <row r="876" spans="1:5" ht="15" thickBot="1">
      <c r="A876" s="21"/>
      <c r="B876" s="21" t="s">
        <v>11520</v>
      </c>
      <c r="C876" s="21" t="s">
        <v>7399</v>
      </c>
      <c r="D876" s="21"/>
      <c r="E876">
        <f t="shared" si="13"/>
        <v>0</v>
      </c>
    </row>
    <row r="877" spans="1:5" ht="15" thickBot="1">
      <c r="A877" s="21" t="s">
        <v>13606</v>
      </c>
      <c r="B877" s="21" t="s">
        <v>8895</v>
      </c>
      <c r="C877" s="21"/>
      <c r="D877" s="21"/>
      <c r="E877">
        <f t="shared" si="13"/>
        <v>0</v>
      </c>
    </row>
    <row r="878" spans="1:5" ht="15" thickBot="1">
      <c r="A878" s="21"/>
      <c r="B878" s="21" t="s">
        <v>8283</v>
      </c>
      <c r="C878" s="21" t="s">
        <v>8283</v>
      </c>
      <c r="D878" s="21"/>
      <c r="E878">
        <f t="shared" si="13"/>
        <v>0</v>
      </c>
    </row>
    <row r="879" spans="1:5" ht="26.25" thickBot="1">
      <c r="A879" s="21" t="s">
        <v>13607</v>
      </c>
      <c r="B879" s="21" t="s">
        <v>13608</v>
      </c>
      <c r="C879" s="21"/>
      <c r="D879" s="21"/>
      <c r="E879">
        <f t="shared" si="13"/>
        <v>0</v>
      </c>
    </row>
    <row r="880" spans="1:5" ht="15" thickBot="1">
      <c r="A880" s="21"/>
      <c r="B880" s="21" t="s">
        <v>8365</v>
      </c>
      <c r="C880" s="21"/>
      <c r="D880" s="21"/>
      <c r="E880">
        <f t="shared" si="13"/>
        <v>0</v>
      </c>
    </row>
    <row r="881" spans="1:5" ht="39" thickBot="1">
      <c r="A881" s="21" t="s">
        <v>13609</v>
      </c>
      <c r="B881" s="21" t="s">
        <v>13610</v>
      </c>
      <c r="C881" s="21"/>
      <c r="D881" s="21"/>
      <c r="E881">
        <f t="shared" si="13"/>
        <v>0</v>
      </c>
    </row>
    <row r="882" spans="1:5" ht="15" thickBot="1">
      <c r="A882" s="21"/>
      <c r="B882" s="21" t="s">
        <v>7818</v>
      </c>
      <c r="C882" s="21"/>
      <c r="D882" s="21"/>
      <c r="E882">
        <f t="shared" si="13"/>
        <v>0</v>
      </c>
    </row>
    <row r="883" spans="1:5" ht="26.25" thickBot="1">
      <c r="A883" s="21" t="s">
        <v>13611</v>
      </c>
      <c r="B883" s="21" t="s">
        <v>13612</v>
      </c>
      <c r="C883" s="21"/>
      <c r="D883" s="21"/>
      <c r="E883">
        <f t="shared" si="13"/>
        <v>0</v>
      </c>
    </row>
    <row r="884" spans="1:5" ht="26.25" thickBot="1">
      <c r="A884" s="21" t="s">
        <v>13614</v>
      </c>
      <c r="B884" s="21" t="s">
        <v>13615</v>
      </c>
      <c r="C884" s="21"/>
      <c r="D884" s="21"/>
      <c r="E884">
        <f t="shared" si="13"/>
        <v>0</v>
      </c>
    </row>
    <row r="885" spans="1:5" ht="15" thickBot="1">
      <c r="A885" s="21" t="s">
        <v>13616</v>
      </c>
      <c r="B885" s="21" t="s">
        <v>7768</v>
      </c>
      <c r="C885" s="21"/>
      <c r="D885" s="21"/>
      <c r="E885">
        <f t="shared" si="13"/>
        <v>0</v>
      </c>
    </row>
    <row r="886" spans="1:5" ht="15" thickBot="1">
      <c r="A886" s="21" t="s">
        <v>13617</v>
      </c>
      <c r="B886" s="21" t="s">
        <v>13618</v>
      </c>
      <c r="C886" s="21"/>
      <c r="D886" s="21"/>
      <c r="E886">
        <f t="shared" si="13"/>
        <v>0</v>
      </c>
    </row>
    <row r="887" spans="1:5" ht="39" thickBot="1">
      <c r="A887" s="21" t="s">
        <v>13619</v>
      </c>
      <c r="B887" s="21" t="s">
        <v>13620</v>
      </c>
      <c r="C887" s="21"/>
      <c r="D887" s="21"/>
      <c r="E887">
        <f t="shared" si="13"/>
        <v>0</v>
      </c>
    </row>
    <row r="888" spans="1:5" ht="15" thickBot="1">
      <c r="A888" s="21" t="s">
        <v>13621</v>
      </c>
      <c r="B888" s="21" t="s">
        <v>13622</v>
      </c>
      <c r="C888" s="21"/>
      <c r="D888" s="21"/>
      <c r="E888">
        <f t="shared" si="13"/>
        <v>0</v>
      </c>
    </row>
    <row r="889" spans="1:5" ht="26.25" thickBot="1">
      <c r="A889" s="21" t="s">
        <v>13623</v>
      </c>
      <c r="B889" s="21" t="s">
        <v>13624</v>
      </c>
      <c r="C889" s="21"/>
      <c r="D889" s="21"/>
      <c r="E889">
        <f t="shared" si="13"/>
        <v>0</v>
      </c>
    </row>
    <row r="890" spans="1:5" ht="15" thickBot="1">
      <c r="A890" s="21"/>
      <c r="B890" s="21" t="s">
        <v>9562</v>
      </c>
      <c r="C890" s="21"/>
      <c r="D890" s="21"/>
      <c r="E890">
        <f t="shared" si="13"/>
        <v>0</v>
      </c>
    </row>
    <row r="891" spans="1:5" ht="15" thickBot="1">
      <c r="A891" s="21"/>
      <c r="B891" s="21" t="s">
        <v>9505</v>
      </c>
      <c r="C891" s="21" t="s">
        <v>9505</v>
      </c>
      <c r="D891" s="21"/>
      <c r="E891">
        <f t="shared" si="13"/>
        <v>0</v>
      </c>
    </row>
    <row r="892" spans="1:5" ht="15" thickBot="1">
      <c r="A892" s="21" t="s">
        <v>13625</v>
      </c>
      <c r="B892" s="21" t="s">
        <v>13626</v>
      </c>
      <c r="C892" s="21"/>
      <c r="D892" s="21"/>
      <c r="E892">
        <f t="shared" si="13"/>
        <v>0</v>
      </c>
    </row>
    <row r="893" spans="1:5" ht="15" thickBot="1">
      <c r="A893" s="21" t="s">
        <v>13627</v>
      </c>
      <c r="B893" s="21" t="s">
        <v>13628</v>
      </c>
      <c r="C893" s="21"/>
      <c r="D893" s="21"/>
      <c r="E893">
        <f t="shared" si="13"/>
        <v>0</v>
      </c>
    </row>
    <row r="894" spans="1:5" ht="26.25" thickBot="1">
      <c r="A894" s="21"/>
      <c r="B894" s="21" t="s">
        <v>13629</v>
      </c>
      <c r="C894" s="21"/>
      <c r="D894" s="21"/>
      <c r="E894">
        <f t="shared" si="13"/>
        <v>0</v>
      </c>
    </row>
    <row r="895" spans="1:5" ht="26.25" thickBot="1">
      <c r="A895" s="21"/>
      <c r="B895" s="21" t="s">
        <v>13630</v>
      </c>
      <c r="C895" s="21"/>
      <c r="D895" s="21"/>
      <c r="E895">
        <f t="shared" si="13"/>
        <v>0</v>
      </c>
    </row>
    <row r="896" spans="1:5" ht="26.25" thickBot="1">
      <c r="A896" s="21" t="s">
        <v>13631</v>
      </c>
      <c r="B896" s="21" t="s">
        <v>13632</v>
      </c>
      <c r="C896" s="21"/>
      <c r="D896" s="21"/>
      <c r="E896">
        <f t="shared" si="13"/>
        <v>0</v>
      </c>
    </row>
    <row r="897" spans="1:5" ht="26.25" thickBot="1">
      <c r="A897" s="21"/>
      <c r="B897" s="21" t="s">
        <v>13633</v>
      </c>
      <c r="C897" s="21" t="s">
        <v>10461</v>
      </c>
      <c r="D897" s="21"/>
      <c r="E897">
        <f t="shared" si="13"/>
        <v>0</v>
      </c>
    </row>
    <row r="898" spans="1:5" ht="15" thickBot="1">
      <c r="A898" s="21"/>
      <c r="B898" s="21" t="s">
        <v>13634</v>
      </c>
      <c r="C898" s="21"/>
      <c r="D898" s="21"/>
      <c r="E898">
        <f t="shared" ref="E898:E961" si="14">IF(A898&lt;1,D898,)</f>
        <v>0</v>
      </c>
    </row>
    <row r="899" spans="1:5" ht="15" thickBot="1">
      <c r="A899" s="21" t="s">
        <v>13635</v>
      </c>
      <c r="B899" s="21" t="s">
        <v>13636</v>
      </c>
      <c r="C899" s="21"/>
      <c r="D899" s="21"/>
      <c r="E899">
        <f t="shared" si="14"/>
        <v>0</v>
      </c>
    </row>
    <row r="900" spans="1:5" ht="26.25" thickBot="1">
      <c r="A900" s="21"/>
      <c r="B900" s="21" t="s">
        <v>13637</v>
      </c>
      <c r="C900" s="21" t="s">
        <v>10169</v>
      </c>
      <c r="D900" s="21"/>
      <c r="E900">
        <f t="shared" si="14"/>
        <v>0</v>
      </c>
    </row>
    <row r="901" spans="1:5" ht="26.25" thickBot="1">
      <c r="A901" s="21"/>
      <c r="B901" s="21" t="s">
        <v>13639</v>
      </c>
      <c r="C901" s="21"/>
      <c r="D901" s="21"/>
      <c r="E901">
        <f t="shared" si="14"/>
        <v>0</v>
      </c>
    </row>
    <row r="902" spans="1:5" ht="39" thickBot="1">
      <c r="A902" s="21"/>
      <c r="B902" s="21" t="s">
        <v>13640</v>
      </c>
      <c r="C902" s="21" t="s">
        <v>7768</v>
      </c>
      <c r="D902" s="21"/>
      <c r="E902">
        <f t="shared" si="14"/>
        <v>0</v>
      </c>
    </row>
    <row r="903" spans="1:5" ht="15" thickBot="1">
      <c r="A903" s="21" t="s">
        <v>13641</v>
      </c>
      <c r="B903" s="22" t="s">
        <v>13642</v>
      </c>
      <c r="C903" s="21"/>
      <c r="D903" s="21"/>
      <c r="E903">
        <f t="shared" si="14"/>
        <v>0</v>
      </c>
    </row>
    <row r="904" spans="1:5" ht="15" thickBot="1">
      <c r="A904" s="21"/>
      <c r="B904" s="21" t="s">
        <v>13644</v>
      </c>
      <c r="C904" s="21"/>
      <c r="D904" s="21"/>
      <c r="E904">
        <f t="shared" si="14"/>
        <v>0</v>
      </c>
    </row>
    <row r="905" spans="1:5" ht="15" thickBot="1">
      <c r="A905" s="21"/>
      <c r="B905" s="21" t="s">
        <v>13645</v>
      </c>
      <c r="C905" s="21"/>
      <c r="D905" s="21"/>
      <c r="E905">
        <f t="shared" si="14"/>
        <v>0</v>
      </c>
    </row>
    <row r="906" spans="1:5" ht="26.25" thickBot="1">
      <c r="A906" s="21" t="s">
        <v>13648</v>
      </c>
      <c r="B906" s="21" t="s">
        <v>13649</v>
      </c>
      <c r="C906" s="21"/>
      <c r="D906" s="21"/>
      <c r="E906">
        <f t="shared" si="14"/>
        <v>0</v>
      </c>
    </row>
    <row r="907" spans="1:5" ht="15" thickBot="1">
      <c r="A907" s="21"/>
      <c r="B907" s="21" t="s">
        <v>13652</v>
      </c>
      <c r="C907" s="21" t="s">
        <v>8628</v>
      </c>
      <c r="D907" s="21"/>
      <c r="E907">
        <f t="shared" si="14"/>
        <v>0</v>
      </c>
    </row>
    <row r="908" spans="1:5" ht="39" thickBot="1">
      <c r="A908" s="21" t="s">
        <v>13653</v>
      </c>
      <c r="B908" s="21" t="s">
        <v>13654</v>
      </c>
      <c r="C908" s="21"/>
      <c r="D908" s="21"/>
      <c r="E908">
        <f t="shared" si="14"/>
        <v>0</v>
      </c>
    </row>
    <row r="909" spans="1:5" ht="26.25" thickBot="1">
      <c r="A909" s="21"/>
      <c r="B909" s="21" t="s">
        <v>13655</v>
      </c>
      <c r="C909" s="21" t="s">
        <v>10492</v>
      </c>
      <c r="D909" s="21"/>
      <c r="E909">
        <f t="shared" si="14"/>
        <v>0</v>
      </c>
    </row>
    <row r="910" spans="1:5" ht="39" thickBot="1">
      <c r="A910" s="21"/>
      <c r="B910" s="21" t="s">
        <v>13656</v>
      </c>
      <c r="C910" s="21"/>
      <c r="D910" s="21"/>
      <c r="E910">
        <f t="shared" si="14"/>
        <v>0</v>
      </c>
    </row>
    <row r="911" spans="1:5" ht="15" thickBot="1">
      <c r="A911" s="21" t="s">
        <v>13657</v>
      </c>
      <c r="B911" s="22" t="s">
        <v>13658</v>
      </c>
      <c r="C911" s="21"/>
      <c r="D911" s="21"/>
      <c r="E911">
        <f t="shared" si="14"/>
        <v>0</v>
      </c>
    </row>
    <row r="912" spans="1:5" ht="26.25" thickBot="1">
      <c r="A912" s="21" t="s">
        <v>13661</v>
      </c>
      <c r="B912" s="21" t="s">
        <v>13662</v>
      </c>
      <c r="C912" s="21"/>
      <c r="D912" s="21"/>
      <c r="E912">
        <f t="shared" si="14"/>
        <v>0</v>
      </c>
    </row>
    <row r="913" spans="1:5" ht="26.25" thickBot="1">
      <c r="A913" s="21"/>
      <c r="B913" s="21" t="s">
        <v>13663</v>
      </c>
      <c r="C913" s="21"/>
      <c r="D913" s="21"/>
      <c r="E913">
        <f t="shared" si="14"/>
        <v>0</v>
      </c>
    </row>
    <row r="914" spans="1:5" ht="39" thickBot="1">
      <c r="A914" s="21" t="s">
        <v>13664</v>
      </c>
      <c r="B914" s="21" t="s">
        <v>13665</v>
      </c>
      <c r="C914" s="21"/>
      <c r="D914" s="21"/>
      <c r="E914">
        <f t="shared" si="14"/>
        <v>0</v>
      </c>
    </row>
    <row r="915" spans="1:5" ht="15" thickBot="1">
      <c r="A915" s="21" t="s">
        <v>13666</v>
      </c>
      <c r="B915" s="21" t="s">
        <v>13667</v>
      </c>
      <c r="C915" s="21"/>
      <c r="D915" s="21"/>
      <c r="E915">
        <f t="shared" si="14"/>
        <v>0</v>
      </c>
    </row>
    <row r="916" spans="1:5" ht="26.25" thickBot="1">
      <c r="A916" s="21" t="s">
        <v>13668</v>
      </c>
      <c r="B916" s="21" t="s">
        <v>13669</v>
      </c>
      <c r="C916" s="21"/>
      <c r="D916" s="21"/>
      <c r="E916">
        <f t="shared" si="14"/>
        <v>0</v>
      </c>
    </row>
    <row r="917" spans="1:5" ht="26.25" thickBot="1">
      <c r="A917" s="21"/>
      <c r="B917" s="21" t="s">
        <v>13670</v>
      </c>
      <c r="C917" s="21"/>
      <c r="D917" s="21"/>
      <c r="E917">
        <f t="shared" si="14"/>
        <v>0</v>
      </c>
    </row>
    <row r="918" spans="1:5" ht="15" thickBot="1">
      <c r="A918" s="21" t="s">
        <v>13671</v>
      </c>
      <c r="B918" s="21" t="s">
        <v>8694</v>
      </c>
      <c r="C918" s="21"/>
      <c r="D918" s="21"/>
      <c r="E918">
        <f t="shared" si="14"/>
        <v>0</v>
      </c>
    </row>
    <row r="919" spans="1:5" ht="26.25" thickBot="1">
      <c r="A919" s="21" t="s">
        <v>13672</v>
      </c>
      <c r="B919" s="21" t="s">
        <v>13673</v>
      </c>
      <c r="C919" s="21"/>
      <c r="D919" s="21"/>
      <c r="E919">
        <f t="shared" si="14"/>
        <v>0</v>
      </c>
    </row>
    <row r="920" spans="1:5" ht="26.25" thickBot="1">
      <c r="A920" s="21" t="s">
        <v>13674</v>
      </c>
      <c r="B920" s="21" t="s">
        <v>13675</v>
      </c>
      <c r="C920" s="21"/>
      <c r="D920" s="21"/>
      <c r="E920">
        <f t="shared" si="14"/>
        <v>0</v>
      </c>
    </row>
    <row r="921" spans="1:5" ht="26.25" thickBot="1">
      <c r="A921" s="21" t="s">
        <v>13676</v>
      </c>
      <c r="B921" s="21" t="s">
        <v>13677</v>
      </c>
      <c r="C921" s="21"/>
      <c r="D921" s="21"/>
      <c r="E921">
        <f t="shared" si="14"/>
        <v>0</v>
      </c>
    </row>
    <row r="922" spans="1:5" ht="15" thickBot="1">
      <c r="A922" s="21"/>
      <c r="B922" s="21" t="s">
        <v>7131</v>
      </c>
      <c r="C922" s="21"/>
      <c r="D922" s="21"/>
      <c r="E922">
        <f t="shared" si="14"/>
        <v>0</v>
      </c>
    </row>
    <row r="923" spans="1:5" ht="15" thickBot="1">
      <c r="A923" s="21" t="s">
        <v>13678</v>
      </c>
      <c r="B923" s="21" t="s">
        <v>13679</v>
      </c>
      <c r="C923" s="21"/>
      <c r="D923" s="21"/>
      <c r="E923">
        <f t="shared" si="14"/>
        <v>0</v>
      </c>
    </row>
    <row r="924" spans="1:5" ht="15" thickBot="1">
      <c r="A924" s="21" t="s">
        <v>13680</v>
      </c>
      <c r="B924" s="21" t="s">
        <v>9358</v>
      </c>
      <c r="C924" s="21"/>
      <c r="D924" s="21"/>
      <c r="E924">
        <f t="shared" si="14"/>
        <v>0</v>
      </c>
    </row>
    <row r="925" spans="1:5" ht="15" thickBot="1">
      <c r="A925" s="21" t="s">
        <v>13681</v>
      </c>
      <c r="B925" s="21" t="s">
        <v>8197</v>
      </c>
      <c r="C925" s="21"/>
      <c r="D925" s="21"/>
      <c r="E925">
        <f t="shared" si="14"/>
        <v>0</v>
      </c>
    </row>
    <row r="926" spans="1:5" ht="39" thickBot="1">
      <c r="A926" s="21"/>
      <c r="B926" s="21" t="s">
        <v>13682</v>
      </c>
      <c r="C926" s="21"/>
      <c r="D926" s="21"/>
      <c r="E926">
        <f t="shared" si="14"/>
        <v>0</v>
      </c>
    </row>
    <row r="927" spans="1:5" ht="39" thickBot="1">
      <c r="A927" s="21"/>
      <c r="B927" s="21" t="s">
        <v>13683</v>
      </c>
      <c r="C927" s="21"/>
      <c r="D927" s="21"/>
      <c r="E927">
        <f t="shared" si="14"/>
        <v>0</v>
      </c>
    </row>
    <row r="928" spans="1:5" ht="26.25" thickBot="1">
      <c r="A928" s="21" t="s">
        <v>13684</v>
      </c>
      <c r="B928" s="21" t="s">
        <v>13685</v>
      </c>
      <c r="C928" s="21"/>
      <c r="D928" s="21"/>
      <c r="E928">
        <f t="shared" si="14"/>
        <v>0</v>
      </c>
    </row>
    <row r="929" spans="1:5" ht="15" thickBot="1">
      <c r="A929" s="21" t="s">
        <v>13686</v>
      </c>
      <c r="B929" s="21" t="s">
        <v>13687</v>
      </c>
      <c r="C929" s="21"/>
      <c r="D929" s="21"/>
      <c r="E929">
        <f t="shared" si="14"/>
        <v>0</v>
      </c>
    </row>
    <row r="930" spans="1:5" ht="26.25" thickBot="1">
      <c r="A930" s="21" t="s">
        <v>13688</v>
      </c>
      <c r="B930" s="21" t="s">
        <v>13689</v>
      </c>
      <c r="C930" s="21"/>
      <c r="D930" s="21"/>
      <c r="E930">
        <f t="shared" si="14"/>
        <v>0</v>
      </c>
    </row>
    <row r="931" spans="1:5" ht="15" thickBot="1">
      <c r="A931" s="21"/>
      <c r="B931" s="21" t="s">
        <v>13691</v>
      </c>
      <c r="C931" s="21"/>
      <c r="D931" s="21"/>
      <c r="E931">
        <f t="shared" si="14"/>
        <v>0</v>
      </c>
    </row>
    <row r="932" spans="1:5" ht="26.25" thickBot="1">
      <c r="A932" s="21" t="s">
        <v>13692</v>
      </c>
      <c r="B932" s="21" t="s">
        <v>13693</v>
      </c>
      <c r="C932" s="21"/>
      <c r="D932" s="21"/>
      <c r="E932">
        <f t="shared" si="14"/>
        <v>0</v>
      </c>
    </row>
    <row r="933" spans="1:5" ht="15" thickBot="1">
      <c r="A933" s="21"/>
      <c r="B933" s="21" t="s">
        <v>13694</v>
      </c>
      <c r="C933" s="21"/>
      <c r="D933" s="21"/>
      <c r="E933">
        <f t="shared" si="14"/>
        <v>0</v>
      </c>
    </row>
    <row r="934" spans="1:5" ht="26.25" thickBot="1">
      <c r="A934" s="21" t="s">
        <v>13695</v>
      </c>
      <c r="B934" s="21" t="s">
        <v>13696</v>
      </c>
      <c r="C934" s="21"/>
      <c r="D934" s="21"/>
      <c r="E934">
        <f t="shared" si="14"/>
        <v>0</v>
      </c>
    </row>
    <row r="935" spans="1:5" ht="15" thickBot="1">
      <c r="A935" s="21"/>
      <c r="B935" s="21" t="s">
        <v>13697</v>
      </c>
      <c r="C935" s="21"/>
      <c r="D935" s="21"/>
      <c r="E935">
        <f t="shared" si="14"/>
        <v>0</v>
      </c>
    </row>
    <row r="936" spans="1:5" ht="15" thickBot="1">
      <c r="A936" s="21"/>
      <c r="B936" s="21" t="s">
        <v>13698</v>
      </c>
      <c r="C936" s="21"/>
      <c r="D936" s="21"/>
      <c r="E936">
        <f t="shared" si="14"/>
        <v>0</v>
      </c>
    </row>
    <row r="937" spans="1:5" ht="15" thickBot="1">
      <c r="A937" s="21"/>
      <c r="B937" s="21" t="s">
        <v>8479</v>
      </c>
      <c r="C937" s="21"/>
      <c r="D937" s="21"/>
      <c r="E937">
        <f t="shared" si="14"/>
        <v>0</v>
      </c>
    </row>
    <row r="938" spans="1:5" ht="15" thickBot="1">
      <c r="A938" s="21" t="s">
        <v>13699</v>
      </c>
      <c r="B938" s="21" t="s">
        <v>8982</v>
      </c>
      <c r="C938" s="21"/>
      <c r="D938" s="21"/>
      <c r="E938">
        <f t="shared" si="14"/>
        <v>0</v>
      </c>
    </row>
    <row r="939" spans="1:5" ht="26.25" thickBot="1">
      <c r="A939" s="21" t="s">
        <v>13700</v>
      </c>
      <c r="B939" s="21" t="s">
        <v>13701</v>
      </c>
      <c r="C939" s="21"/>
      <c r="D939" s="21"/>
      <c r="E939">
        <f t="shared" si="14"/>
        <v>0</v>
      </c>
    </row>
    <row r="940" spans="1:5" ht="15" thickBot="1">
      <c r="A940" s="21"/>
      <c r="B940" s="21" t="s">
        <v>11229</v>
      </c>
      <c r="C940" s="21"/>
      <c r="D940" s="21"/>
      <c r="E940">
        <f t="shared" si="14"/>
        <v>0</v>
      </c>
    </row>
    <row r="941" spans="1:5" ht="15" thickBot="1">
      <c r="A941" s="21" t="s">
        <v>13702</v>
      </c>
      <c r="B941" s="21" t="s">
        <v>8365</v>
      </c>
      <c r="C941" s="21"/>
      <c r="D941" s="21"/>
      <c r="E941">
        <f t="shared" si="14"/>
        <v>0</v>
      </c>
    </row>
    <row r="942" spans="1:5" ht="15" thickBot="1">
      <c r="A942" s="21" t="s">
        <v>13703</v>
      </c>
      <c r="B942" s="21" t="s">
        <v>8234</v>
      </c>
      <c r="C942" s="21"/>
      <c r="D942" s="21"/>
      <c r="E942">
        <f t="shared" si="14"/>
        <v>0</v>
      </c>
    </row>
    <row r="943" spans="1:5" ht="26.25" thickBot="1">
      <c r="A943" s="21"/>
      <c r="B943" s="21" t="s">
        <v>13704</v>
      </c>
      <c r="C943" s="21" t="s">
        <v>8857</v>
      </c>
      <c r="D943" s="21"/>
      <c r="E943">
        <f t="shared" si="14"/>
        <v>0</v>
      </c>
    </row>
    <row r="944" spans="1:5" ht="26.25" thickBot="1">
      <c r="A944" s="21" t="s">
        <v>13705</v>
      </c>
      <c r="B944" s="21" t="s">
        <v>13706</v>
      </c>
      <c r="C944" s="21"/>
      <c r="D944" s="21"/>
      <c r="E944">
        <f t="shared" si="14"/>
        <v>0</v>
      </c>
    </row>
    <row r="945" spans="1:5" ht="15" thickBot="1">
      <c r="A945" s="21" t="s">
        <v>13707</v>
      </c>
      <c r="B945" s="21" t="s">
        <v>13708</v>
      </c>
      <c r="C945" s="21"/>
      <c r="D945" s="21"/>
      <c r="E945">
        <f t="shared" si="14"/>
        <v>0</v>
      </c>
    </row>
    <row r="946" spans="1:5" ht="26.25" thickBot="1">
      <c r="A946" s="21" t="s">
        <v>13709</v>
      </c>
      <c r="B946" s="21" t="s">
        <v>13710</v>
      </c>
      <c r="C946" s="21"/>
      <c r="D946" s="21"/>
      <c r="E946">
        <f t="shared" si="14"/>
        <v>0</v>
      </c>
    </row>
    <row r="947" spans="1:5" ht="15" thickBot="1">
      <c r="A947" s="21" t="s">
        <v>13711</v>
      </c>
      <c r="B947" s="22" t="s">
        <v>13712</v>
      </c>
      <c r="C947" s="21"/>
      <c r="D947" s="21"/>
      <c r="E947">
        <f t="shared" si="14"/>
        <v>0</v>
      </c>
    </row>
    <row r="948" spans="1:5" ht="26.25" thickBot="1">
      <c r="A948" s="21" t="s">
        <v>13713</v>
      </c>
      <c r="B948" s="21" t="s">
        <v>13714</v>
      </c>
      <c r="C948" s="21"/>
      <c r="D948" s="21"/>
      <c r="E948">
        <f t="shared" si="14"/>
        <v>0</v>
      </c>
    </row>
    <row r="949" spans="1:5" ht="39" thickBot="1">
      <c r="A949" s="21"/>
      <c r="B949" s="21" t="s">
        <v>13717</v>
      </c>
      <c r="C949" s="21" t="s">
        <v>8479</v>
      </c>
      <c r="D949" s="21"/>
      <c r="E949">
        <f t="shared" si="14"/>
        <v>0</v>
      </c>
    </row>
    <row r="950" spans="1:5" ht="15" thickBot="1">
      <c r="A950" s="21" t="s">
        <v>13718</v>
      </c>
      <c r="B950" s="21" t="s">
        <v>12734</v>
      </c>
      <c r="C950" s="21"/>
      <c r="D950" s="21"/>
      <c r="E950">
        <f t="shared" si="14"/>
        <v>0</v>
      </c>
    </row>
    <row r="951" spans="1:5" ht="26.25" thickBot="1">
      <c r="A951" s="21"/>
      <c r="B951" s="21" t="s">
        <v>13719</v>
      </c>
      <c r="C951" s="21"/>
      <c r="D951" s="21"/>
      <c r="E951">
        <f t="shared" si="14"/>
        <v>0</v>
      </c>
    </row>
    <row r="952" spans="1:5" ht="26.25" thickBot="1">
      <c r="A952" s="21" t="s">
        <v>13720</v>
      </c>
      <c r="B952" s="21" t="s">
        <v>13721</v>
      </c>
      <c r="C952" s="21"/>
      <c r="D952" s="21"/>
      <c r="E952">
        <f t="shared" si="14"/>
        <v>0</v>
      </c>
    </row>
    <row r="953" spans="1:5" ht="15" thickBot="1">
      <c r="A953" s="21"/>
      <c r="B953" s="21" t="s">
        <v>8930</v>
      </c>
      <c r="C953" s="21"/>
      <c r="D953" s="21"/>
      <c r="E953">
        <f t="shared" si="14"/>
        <v>0</v>
      </c>
    </row>
    <row r="954" spans="1:5" ht="15" thickBot="1">
      <c r="A954" s="21" t="s">
        <v>13724</v>
      </c>
      <c r="B954" s="21" t="s">
        <v>10817</v>
      </c>
      <c r="C954" s="21"/>
      <c r="D954" s="21"/>
      <c r="E954">
        <f t="shared" si="14"/>
        <v>0</v>
      </c>
    </row>
    <row r="955" spans="1:5" ht="26.25" thickBot="1">
      <c r="A955" s="21" t="s">
        <v>13725</v>
      </c>
      <c r="B955" s="21" t="s">
        <v>13726</v>
      </c>
      <c r="C955" s="21"/>
      <c r="D955" s="21"/>
      <c r="E955">
        <f t="shared" si="14"/>
        <v>0</v>
      </c>
    </row>
    <row r="956" spans="1:5" ht="39" thickBot="1">
      <c r="A956" s="21"/>
      <c r="B956" s="21" t="s">
        <v>13727</v>
      </c>
      <c r="C956" s="21"/>
      <c r="D956" s="21"/>
      <c r="E956">
        <f t="shared" si="14"/>
        <v>0</v>
      </c>
    </row>
    <row r="957" spans="1:5" ht="26.25" thickBot="1">
      <c r="A957" s="21" t="s">
        <v>13728</v>
      </c>
      <c r="B957" s="21" t="s">
        <v>13729</v>
      </c>
      <c r="C957" s="21"/>
      <c r="D957" s="21"/>
      <c r="E957">
        <f t="shared" si="14"/>
        <v>0</v>
      </c>
    </row>
    <row r="958" spans="1:5" ht="26.25" thickBot="1">
      <c r="A958" s="21"/>
      <c r="B958" s="21" t="s">
        <v>13730</v>
      </c>
      <c r="C958" s="21" t="s">
        <v>8444</v>
      </c>
      <c r="D958" s="21"/>
      <c r="E958">
        <f t="shared" si="14"/>
        <v>0</v>
      </c>
    </row>
    <row r="959" spans="1:5" ht="15" thickBot="1">
      <c r="A959" s="21" t="s">
        <v>13731</v>
      </c>
      <c r="B959" s="21" t="s">
        <v>8581</v>
      </c>
      <c r="C959" s="21"/>
      <c r="D959" s="21"/>
      <c r="E959">
        <f t="shared" si="14"/>
        <v>0</v>
      </c>
    </row>
    <row r="960" spans="1:5" ht="26.25" thickBot="1">
      <c r="A960" s="21" t="s">
        <v>13732</v>
      </c>
      <c r="B960" s="23" t="s">
        <v>13733</v>
      </c>
      <c r="C960" s="21"/>
      <c r="D960" s="21"/>
      <c r="E960">
        <f t="shared" si="14"/>
        <v>0</v>
      </c>
    </row>
    <row r="961" spans="1:5" ht="15" thickBot="1">
      <c r="A961" s="21"/>
      <c r="B961" s="21" t="s">
        <v>13734</v>
      </c>
      <c r="C961" s="21"/>
      <c r="D961" s="21"/>
      <c r="E961">
        <f t="shared" si="14"/>
        <v>0</v>
      </c>
    </row>
    <row r="962" spans="1:5" ht="26.25" thickBot="1">
      <c r="A962" s="21"/>
      <c r="B962" s="21" t="s">
        <v>13735</v>
      </c>
      <c r="C962" s="21" t="s">
        <v>13736</v>
      </c>
      <c r="D962" s="21"/>
      <c r="E962">
        <f t="shared" ref="E962:E1025" si="15">IF(A962&lt;1,D962,)</f>
        <v>0</v>
      </c>
    </row>
    <row r="963" spans="1:5" ht="15" thickBot="1">
      <c r="A963" s="21" t="s">
        <v>13737</v>
      </c>
      <c r="B963" s="22" t="s">
        <v>13738</v>
      </c>
      <c r="C963" s="21"/>
      <c r="D963" s="21"/>
      <c r="E963">
        <f t="shared" si="15"/>
        <v>0</v>
      </c>
    </row>
    <row r="964" spans="1:5" ht="26.25" thickBot="1">
      <c r="A964" s="21" t="s">
        <v>13739</v>
      </c>
      <c r="B964" s="21" t="s">
        <v>13740</v>
      </c>
      <c r="C964" s="21"/>
      <c r="D964" s="21"/>
      <c r="E964">
        <f t="shared" si="15"/>
        <v>0</v>
      </c>
    </row>
    <row r="965" spans="1:5" ht="15" thickBot="1">
      <c r="A965" s="21" t="s">
        <v>13741</v>
      </c>
      <c r="B965" s="21" t="s">
        <v>7399</v>
      </c>
      <c r="C965" s="21"/>
      <c r="D965" s="21"/>
      <c r="E965">
        <f t="shared" si="15"/>
        <v>0</v>
      </c>
    </row>
    <row r="966" spans="1:5" ht="15" thickBot="1">
      <c r="A966" s="21"/>
      <c r="B966" s="21" t="s">
        <v>13742</v>
      </c>
      <c r="C966" s="21" t="s">
        <v>8866</v>
      </c>
      <c r="D966" s="21"/>
      <c r="E966">
        <f t="shared" si="15"/>
        <v>0</v>
      </c>
    </row>
    <row r="967" spans="1:5" ht="15" thickBot="1">
      <c r="A967" s="21"/>
      <c r="B967" s="21" t="s">
        <v>13745</v>
      </c>
      <c r="C967" s="21"/>
      <c r="D967" s="21"/>
      <c r="E967">
        <f t="shared" si="15"/>
        <v>0</v>
      </c>
    </row>
    <row r="968" spans="1:5" ht="15" thickBot="1">
      <c r="A968" s="21"/>
      <c r="B968" s="21" t="s">
        <v>13746</v>
      </c>
      <c r="C968" s="21"/>
      <c r="D968" s="21"/>
      <c r="E968">
        <f t="shared" si="15"/>
        <v>0</v>
      </c>
    </row>
    <row r="969" spans="1:5" ht="15" thickBot="1">
      <c r="A969" s="21" t="s">
        <v>13747</v>
      </c>
      <c r="B969" s="21" t="s">
        <v>13748</v>
      </c>
      <c r="C969" s="21"/>
      <c r="D969" s="21"/>
      <c r="E969">
        <f t="shared" si="15"/>
        <v>0</v>
      </c>
    </row>
    <row r="970" spans="1:5" ht="15" thickBot="1">
      <c r="A970" s="21"/>
      <c r="B970" s="21" t="s">
        <v>9624</v>
      </c>
      <c r="C970" s="21" t="s">
        <v>8866</v>
      </c>
      <c r="D970" s="21"/>
      <c r="E970">
        <f t="shared" si="15"/>
        <v>0</v>
      </c>
    </row>
    <row r="971" spans="1:5" ht="15" thickBot="1">
      <c r="A971" s="21"/>
      <c r="B971" s="21" t="s">
        <v>11091</v>
      </c>
      <c r="C971" s="21"/>
      <c r="D971" s="21"/>
      <c r="E971">
        <f t="shared" si="15"/>
        <v>0</v>
      </c>
    </row>
    <row r="972" spans="1:5" ht="26.25" thickBot="1">
      <c r="A972" s="21"/>
      <c r="B972" s="21" t="s">
        <v>13749</v>
      </c>
      <c r="C972" s="21"/>
      <c r="D972" s="21"/>
      <c r="E972">
        <f t="shared" si="15"/>
        <v>0</v>
      </c>
    </row>
    <row r="973" spans="1:5" ht="15" thickBot="1">
      <c r="A973" s="21"/>
      <c r="B973" s="21" t="s">
        <v>13026</v>
      </c>
      <c r="C973" s="21"/>
      <c r="D973" s="21"/>
      <c r="E973">
        <f t="shared" si="15"/>
        <v>0</v>
      </c>
    </row>
    <row r="974" spans="1:5" ht="26.25" thickBot="1">
      <c r="A974" s="21" t="s">
        <v>13750</v>
      </c>
      <c r="B974" s="21" t="s">
        <v>13751</v>
      </c>
      <c r="C974" s="21"/>
      <c r="D974" s="21"/>
      <c r="E974">
        <f t="shared" si="15"/>
        <v>0</v>
      </c>
    </row>
    <row r="975" spans="1:5" ht="39" thickBot="1">
      <c r="A975" s="21" t="s">
        <v>13752</v>
      </c>
      <c r="B975" s="21" t="s">
        <v>13753</v>
      </c>
      <c r="C975" s="21"/>
      <c r="D975" s="21"/>
      <c r="E975">
        <f t="shared" si="15"/>
        <v>0</v>
      </c>
    </row>
    <row r="976" spans="1:5" ht="15" thickBot="1">
      <c r="A976" s="21" t="s">
        <v>13755</v>
      </c>
      <c r="B976" s="21" t="s">
        <v>8283</v>
      </c>
      <c r="C976" s="21"/>
      <c r="D976" s="21"/>
      <c r="E976">
        <f t="shared" si="15"/>
        <v>0</v>
      </c>
    </row>
    <row r="977" spans="1:5" ht="15" thickBot="1">
      <c r="A977" s="21" t="s">
        <v>13756</v>
      </c>
      <c r="B977" s="21" t="s">
        <v>13757</v>
      </c>
      <c r="C977" s="21"/>
      <c r="D977" s="21"/>
      <c r="E977">
        <f t="shared" si="15"/>
        <v>0</v>
      </c>
    </row>
    <row r="978" spans="1:5" ht="15" thickBot="1">
      <c r="A978" s="21"/>
      <c r="B978" s="21" t="s">
        <v>13758</v>
      </c>
      <c r="C978" s="21"/>
      <c r="D978" s="21"/>
      <c r="E978">
        <f t="shared" si="15"/>
        <v>0</v>
      </c>
    </row>
    <row r="979" spans="1:5" ht="39" thickBot="1">
      <c r="A979" s="21"/>
      <c r="B979" s="21" t="s">
        <v>13759</v>
      </c>
      <c r="C979" s="21"/>
      <c r="D979" s="21"/>
      <c r="E979">
        <f t="shared" si="15"/>
        <v>0</v>
      </c>
    </row>
    <row r="980" spans="1:5" ht="26.25" thickBot="1">
      <c r="A980" s="21"/>
      <c r="B980" s="21" t="s">
        <v>13761</v>
      </c>
      <c r="C980" s="21"/>
      <c r="D980" s="21"/>
      <c r="E980">
        <f t="shared" si="15"/>
        <v>0</v>
      </c>
    </row>
    <row r="981" spans="1:5" ht="15" thickBot="1">
      <c r="A981" s="21"/>
      <c r="B981" s="21" t="s">
        <v>10874</v>
      </c>
      <c r="C981" s="21"/>
      <c r="D981" s="21"/>
      <c r="E981">
        <f t="shared" si="15"/>
        <v>0</v>
      </c>
    </row>
    <row r="982" spans="1:5" ht="26.25" thickBot="1">
      <c r="A982" s="21" t="s">
        <v>13762</v>
      </c>
      <c r="B982" s="21" t="s">
        <v>13763</v>
      </c>
      <c r="C982" s="21"/>
      <c r="D982" s="21"/>
      <c r="E982">
        <f t="shared" si="15"/>
        <v>0</v>
      </c>
    </row>
    <row r="983" spans="1:5" ht="15" thickBot="1">
      <c r="A983" s="21" t="s">
        <v>13764</v>
      </c>
      <c r="B983" s="21" t="s">
        <v>13765</v>
      </c>
      <c r="C983" s="21"/>
      <c r="D983" s="21"/>
      <c r="E983">
        <f t="shared" si="15"/>
        <v>0</v>
      </c>
    </row>
    <row r="984" spans="1:5" ht="15" thickBot="1">
      <c r="A984" s="21" t="s">
        <v>13766</v>
      </c>
      <c r="B984" s="21" t="s">
        <v>8431</v>
      </c>
      <c r="C984" s="21"/>
      <c r="D984" s="21"/>
      <c r="E984">
        <f t="shared" si="15"/>
        <v>0</v>
      </c>
    </row>
    <row r="985" spans="1:5" ht="15" thickBot="1">
      <c r="A985" s="21"/>
      <c r="B985" s="21" t="s">
        <v>13767</v>
      </c>
      <c r="C985" s="21"/>
      <c r="D985" s="21"/>
      <c r="E985">
        <f t="shared" si="15"/>
        <v>0</v>
      </c>
    </row>
    <row r="986" spans="1:5" ht="39" thickBot="1">
      <c r="A986" s="21"/>
      <c r="B986" s="21" t="s">
        <v>13768</v>
      </c>
      <c r="C986" s="21"/>
      <c r="D986" s="21"/>
      <c r="E986">
        <f t="shared" si="15"/>
        <v>0</v>
      </c>
    </row>
    <row r="987" spans="1:5" ht="26.25" thickBot="1">
      <c r="A987" s="21" t="s">
        <v>13769</v>
      </c>
      <c r="B987" s="21" t="s">
        <v>13770</v>
      </c>
      <c r="C987" s="21"/>
      <c r="D987" s="21"/>
      <c r="E987">
        <f t="shared" si="15"/>
        <v>0</v>
      </c>
    </row>
    <row r="988" spans="1:5" ht="26.25" thickBot="1">
      <c r="A988" s="21" t="s">
        <v>13771</v>
      </c>
      <c r="B988" s="21" t="s">
        <v>13772</v>
      </c>
      <c r="C988" s="21"/>
      <c r="D988" s="21"/>
      <c r="E988">
        <f t="shared" si="15"/>
        <v>0</v>
      </c>
    </row>
    <row r="989" spans="1:5" ht="26.25" thickBot="1">
      <c r="A989" s="21" t="s">
        <v>13775</v>
      </c>
      <c r="B989" s="21" t="s">
        <v>13776</v>
      </c>
      <c r="C989" s="21"/>
      <c r="D989" s="21"/>
      <c r="E989">
        <f t="shared" si="15"/>
        <v>0</v>
      </c>
    </row>
    <row r="990" spans="1:5" ht="26.25" thickBot="1">
      <c r="A990" s="21" t="s">
        <v>13777</v>
      </c>
      <c r="B990" s="21" t="s">
        <v>13778</v>
      </c>
      <c r="C990" s="21"/>
      <c r="D990" s="21"/>
      <c r="E990">
        <f t="shared" si="15"/>
        <v>0</v>
      </c>
    </row>
    <row r="991" spans="1:5" ht="15" thickBot="1">
      <c r="A991" s="21"/>
      <c r="B991" s="21" t="s">
        <v>13779</v>
      </c>
      <c r="C991" s="21"/>
      <c r="D991" s="21"/>
      <c r="E991">
        <f t="shared" si="15"/>
        <v>0</v>
      </c>
    </row>
    <row r="992" spans="1:5" ht="15" thickBot="1">
      <c r="A992" s="21"/>
      <c r="B992" s="21" t="s">
        <v>13780</v>
      </c>
      <c r="C992" s="21" t="s">
        <v>7818</v>
      </c>
      <c r="D992" s="21"/>
      <c r="E992">
        <f t="shared" si="15"/>
        <v>0</v>
      </c>
    </row>
    <row r="993" spans="1:5" ht="15" thickBot="1">
      <c r="A993" s="21"/>
      <c r="B993" s="21" t="s">
        <v>8479</v>
      </c>
      <c r="C993" s="22" t="s">
        <v>13781</v>
      </c>
      <c r="D993" s="21"/>
      <c r="E993">
        <f t="shared" si="15"/>
        <v>0</v>
      </c>
    </row>
    <row r="994" spans="1:5" ht="15" thickBot="1">
      <c r="A994" s="21"/>
      <c r="B994" s="21" t="s">
        <v>8434</v>
      </c>
      <c r="C994" s="21" t="s">
        <v>8434</v>
      </c>
      <c r="D994" s="21"/>
      <c r="E994">
        <f t="shared" si="15"/>
        <v>0</v>
      </c>
    </row>
    <row r="995" spans="1:5" ht="15" thickBot="1">
      <c r="A995" s="21"/>
      <c r="B995" s="21" t="s">
        <v>8162</v>
      </c>
      <c r="C995" s="22" t="s">
        <v>13782</v>
      </c>
      <c r="D995" s="21"/>
      <c r="E995">
        <f t="shared" si="15"/>
        <v>0</v>
      </c>
    </row>
    <row r="996" spans="1:5" ht="15" thickBot="1">
      <c r="A996" s="21" t="s">
        <v>13783</v>
      </c>
      <c r="B996" s="21" t="s">
        <v>9358</v>
      </c>
      <c r="C996" s="21"/>
      <c r="D996" s="21"/>
      <c r="E996">
        <f t="shared" si="15"/>
        <v>0</v>
      </c>
    </row>
    <row r="997" spans="1:5" ht="15" thickBot="1">
      <c r="A997" s="21" t="s">
        <v>13784</v>
      </c>
      <c r="B997" s="21" t="s">
        <v>12487</v>
      </c>
      <c r="C997" s="21"/>
      <c r="D997" s="21"/>
      <c r="E997">
        <f t="shared" si="15"/>
        <v>0</v>
      </c>
    </row>
    <row r="998" spans="1:5" ht="15" thickBot="1">
      <c r="A998" s="21" t="s">
        <v>13785</v>
      </c>
      <c r="B998" s="21" t="s">
        <v>13045</v>
      </c>
      <c r="C998" s="21"/>
      <c r="D998" s="21"/>
      <c r="E998">
        <f t="shared" si="15"/>
        <v>0</v>
      </c>
    </row>
    <row r="999" spans="1:5" ht="15" thickBot="1">
      <c r="A999" s="21"/>
      <c r="B999" s="21" t="s">
        <v>10416</v>
      </c>
      <c r="C999" s="21"/>
      <c r="D999" s="21"/>
      <c r="E999">
        <f t="shared" si="15"/>
        <v>0</v>
      </c>
    </row>
    <row r="1000" spans="1:5" ht="26.25" thickBot="1">
      <c r="A1000" s="21"/>
      <c r="B1000" s="21" t="s">
        <v>13787</v>
      </c>
      <c r="C1000" s="21"/>
      <c r="D1000" s="21"/>
      <c r="E1000">
        <f t="shared" si="15"/>
        <v>0</v>
      </c>
    </row>
    <row r="1001" spans="1:5" ht="15" thickBot="1">
      <c r="A1001" s="21"/>
      <c r="B1001" s="21" t="s">
        <v>12768</v>
      </c>
      <c r="C1001" s="21"/>
      <c r="D1001" s="21"/>
      <c r="E1001">
        <f t="shared" si="15"/>
        <v>0</v>
      </c>
    </row>
    <row r="1002" spans="1:5" ht="26.25" thickBot="1">
      <c r="A1002" s="21" t="s">
        <v>13788</v>
      </c>
      <c r="B1002" s="21" t="s">
        <v>13789</v>
      </c>
      <c r="C1002" s="21"/>
      <c r="D1002" s="21"/>
      <c r="E1002">
        <f t="shared" si="15"/>
        <v>0</v>
      </c>
    </row>
    <row r="1003" spans="1:5" ht="26.25" thickBot="1">
      <c r="A1003" s="21" t="s">
        <v>13790</v>
      </c>
      <c r="B1003" s="21" t="s">
        <v>13791</v>
      </c>
      <c r="C1003" s="21"/>
      <c r="D1003" s="21"/>
      <c r="E1003">
        <f t="shared" si="15"/>
        <v>0</v>
      </c>
    </row>
    <row r="1004" spans="1:5" ht="26.25" thickBot="1">
      <c r="A1004" s="21" t="s">
        <v>13792</v>
      </c>
      <c r="B1004" s="21" t="s">
        <v>13793</v>
      </c>
      <c r="C1004" s="21"/>
      <c r="D1004" s="21"/>
      <c r="E1004">
        <f t="shared" si="15"/>
        <v>0</v>
      </c>
    </row>
    <row r="1005" spans="1:5" ht="15" thickBot="1">
      <c r="A1005" s="21"/>
      <c r="B1005" s="21" t="s">
        <v>7919</v>
      </c>
      <c r="C1005" s="21"/>
      <c r="D1005" s="21"/>
      <c r="E1005">
        <f t="shared" si="15"/>
        <v>0</v>
      </c>
    </row>
    <row r="1006" spans="1:5" ht="26.25" thickBot="1">
      <c r="A1006" s="21"/>
      <c r="B1006" s="21" t="s">
        <v>13794</v>
      </c>
      <c r="C1006" s="21"/>
      <c r="D1006" s="21"/>
      <c r="E1006">
        <f t="shared" si="15"/>
        <v>0</v>
      </c>
    </row>
    <row r="1007" spans="1:5" ht="26.25" thickBot="1">
      <c r="A1007" s="21" t="s">
        <v>13795</v>
      </c>
      <c r="B1007" s="21" t="s">
        <v>13796</v>
      </c>
      <c r="C1007" s="21"/>
      <c r="D1007" s="21"/>
      <c r="E1007">
        <f t="shared" si="15"/>
        <v>0</v>
      </c>
    </row>
    <row r="1008" spans="1:5" ht="39" thickBot="1">
      <c r="A1008" s="21" t="s">
        <v>13797</v>
      </c>
      <c r="B1008" s="21" t="s">
        <v>13798</v>
      </c>
      <c r="C1008" s="21"/>
      <c r="D1008" s="21"/>
      <c r="E1008">
        <f t="shared" si="15"/>
        <v>0</v>
      </c>
    </row>
    <row r="1009" spans="1:5" ht="26.25" thickBot="1">
      <c r="A1009" s="21" t="s">
        <v>13799</v>
      </c>
      <c r="B1009" s="21" t="s">
        <v>13800</v>
      </c>
      <c r="C1009" s="21"/>
      <c r="D1009" s="21"/>
      <c r="E1009">
        <f t="shared" si="15"/>
        <v>0</v>
      </c>
    </row>
    <row r="1010" spans="1:5" ht="26.25" thickBot="1">
      <c r="A1010" s="21"/>
      <c r="B1010" s="21" t="s">
        <v>13801</v>
      </c>
      <c r="C1010" s="21"/>
      <c r="D1010" s="21"/>
      <c r="E1010">
        <f t="shared" si="15"/>
        <v>0</v>
      </c>
    </row>
    <row r="1011" spans="1:5" ht="26.25" thickBot="1">
      <c r="A1011" s="21" t="s">
        <v>13802</v>
      </c>
      <c r="B1011" s="21" t="s">
        <v>13803</v>
      </c>
      <c r="C1011" s="21"/>
      <c r="D1011" s="21"/>
      <c r="E1011">
        <f t="shared" si="15"/>
        <v>0</v>
      </c>
    </row>
    <row r="1012" spans="1:5" ht="15" thickBot="1">
      <c r="A1012" s="21"/>
      <c r="B1012" s="21" t="s">
        <v>13804</v>
      </c>
      <c r="C1012" s="21"/>
      <c r="D1012" s="21"/>
      <c r="E1012">
        <f t="shared" si="15"/>
        <v>0</v>
      </c>
    </row>
    <row r="1013" spans="1:5" ht="26.25" thickBot="1">
      <c r="A1013" s="21"/>
      <c r="B1013" s="21" t="s">
        <v>13805</v>
      </c>
      <c r="C1013" s="21"/>
      <c r="D1013" s="21"/>
      <c r="E1013">
        <f t="shared" si="15"/>
        <v>0</v>
      </c>
    </row>
    <row r="1014" spans="1:5" ht="15" thickBot="1">
      <c r="A1014" s="21" t="s">
        <v>13806</v>
      </c>
      <c r="B1014" s="21" t="s">
        <v>13807</v>
      </c>
      <c r="C1014" s="21"/>
      <c r="D1014" s="21"/>
      <c r="E1014">
        <f t="shared" si="15"/>
        <v>0</v>
      </c>
    </row>
    <row r="1015" spans="1:5" ht="39" thickBot="1">
      <c r="A1015" s="21" t="s">
        <v>13808</v>
      </c>
      <c r="B1015" s="21" t="s">
        <v>13809</v>
      </c>
      <c r="C1015" s="21"/>
      <c r="D1015" s="21"/>
      <c r="E1015">
        <f t="shared" si="15"/>
        <v>0</v>
      </c>
    </row>
    <row r="1016" spans="1:5" ht="15" thickBot="1">
      <c r="A1016" s="21"/>
      <c r="B1016" s="21" t="s">
        <v>8604</v>
      </c>
      <c r="C1016" s="21"/>
      <c r="D1016" s="21"/>
      <c r="E1016">
        <f t="shared" si="15"/>
        <v>0</v>
      </c>
    </row>
    <row r="1017" spans="1:5" ht="15" thickBot="1">
      <c r="A1017" s="21" t="s">
        <v>13811</v>
      </c>
      <c r="B1017" s="21" t="s">
        <v>13812</v>
      </c>
      <c r="C1017" s="21"/>
      <c r="D1017" s="21"/>
      <c r="E1017">
        <f t="shared" si="15"/>
        <v>0</v>
      </c>
    </row>
    <row r="1018" spans="1:5" ht="15" thickBot="1">
      <c r="A1018" s="21" t="s">
        <v>13813</v>
      </c>
      <c r="B1018" s="21" t="s">
        <v>13814</v>
      </c>
      <c r="C1018" s="21"/>
      <c r="D1018" s="21"/>
      <c r="E1018">
        <f t="shared" si="15"/>
        <v>0</v>
      </c>
    </row>
    <row r="1019" spans="1:5" ht="39" thickBot="1">
      <c r="A1019" s="21" t="s">
        <v>13815</v>
      </c>
      <c r="B1019" s="21" t="s">
        <v>13816</v>
      </c>
      <c r="C1019" s="21"/>
      <c r="D1019" s="21"/>
      <c r="E1019">
        <f t="shared" si="15"/>
        <v>0</v>
      </c>
    </row>
    <row r="1020" spans="1:5" ht="26.25" thickBot="1">
      <c r="A1020" s="21" t="s">
        <v>13817</v>
      </c>
      <c r="B1020" s="21" t="s">
        <v>13818</v>
      </c>
      <c r="C1020" s="21"/>
      <c r="D1020" s="21"/>
      <c r="E1020">
        <f t="shared" si="15"/>
        <v>0</v>
      </c>
    </row>
    <row r="1021" spans="1:5" ht="39" thickBot="1">
      <c r="A1021" s="21" t="s">
        <v>13819</v>
      </c>
      <c r="B1021" s="21" t="s">
        <v>13820</v>
      </c>
      <c r="C1021" s="21"/>
      <c r="D1021" s="21"/>
      <c r="E1021">
        <f t="shared" si="15"/>
        <v>0</v>
      </c>
    </row>
    <row r="1022" spans="1:5" ht="15" thickBot="1">
      <c r="A1022" s="21" t="s">
        <v>13821</v>
      </c>
      <c r="B1022" s="21" t="s">
        <v>8581</v>
      </c>
      <c r="C1022" s="21"/>
      <c r="D1022" s="21"/>
      <c r="E1022">
        <f t="shared" si="15"/>
        <v>0</v>
      </c>
    </row>
    <row r="1023" spans="1:5" ht="26.25" thickBot="1">
      <c r="A1023" s="21"/>
      <c r="B1023" s="21" t="s">
        <v>13822</v>
      </c>
      <c r="C1023" s="21" t="s">
        <v>7768</v>
      </c>
      <c r="D1023" s="21"/>
      <c r="E1023">
        <f t="shared" si="15"/>
        <v>0</v>
      </c>
    </row>
    <row r="1024" spans="1:5" ht="26.25" thickBot="1">
      <c r="A1024" s="21"/>
      <c r="B1024" s="21" t="s">
        <v>13823</v>
      </c>
      <c r="C1024" s="21"/>
      <c r="D1024" s="21"/>
      <c r="E1024">
        <f t="shared" si="15"/>
        <v>0</v>
      </c>
    </row>
    <row r="1025" spans="1:5" ht="15" thickBot="1">
      <c r="A1025" s="21" t="s">
        <v>13824</v>
      </c>
      <c r="B1025" s="21" t="s">
        <v>13825</v>
      </c>
      <c r="C1025" s="21"/>
      <c r="D1025" s="21"/>
      <c r="E1025">
        <f t="shared" si="15"/>
        <v>0</v>
      </c>
    </row>
    <row r="1026" spans="1:5" ht="26.25" thickBot="1">
      <c r="A1026" s="21"/>
      <c r="B1026" s="21" t="s">
        <v>13826</v>
      </c>
      <c r="C1026" s="21"/>
      <c r="D1026" s="21"/>
      <c r="E1026">
        <f t="shared" ref="E1026:E1089" si="16">IF(A1026&lt;1,D1026,)</f>
        <v>0</v>
      </c>
    </row>
    <row r="1027" spans="1:5" ht="15" thickBot="1">
      <c r="A1027" s="21"/>
      <c r="B1027" s="21" t="s">
        <v>7787</v>
      </c>
      <c r="C1027" s="21"/>
      <c r="D1027" s="21"/>
      <c r="E1027">
        <f t="shared" si="16"/>
        <v>0</v>
      </c>
    </row>
    <row r="1028" spans="1:5" ht="26.25" thickBot="1">
      <c r="A1028" s="21" t="s">
        <v>13827</v>
      </c>
      <c r="B1028" s="21" t="s">
        <v>13828</v>
      </c>
      <c r="C1028" s="21"/>
      <c r="D1028" s="21"/>
      <c r="E1028">
        <f t="shared" si="16"/>
        <v>0</v>
      </c>
    </row>
    <row r="1029" spans="1:5" ht="15" thickBot="1">
      <c r="A1029" s="21" t="s">
        <v>13829</v>
      </c>
      <c r="B1029" s="21" t="s">
        <v>10549</v>
      </c>
      <c r="C1029" s="21"/>
      <c r="D1029" s="21"/>
      <c r="E1029">
        <f t="shared" si="16"/>
        <v>0</v>
      </c>
    </row>
    <row r="1030" spans="1:5" ht="39" thickBot="1">
      <c r="A1030" s="21" t="s">
        <v>13830</v>
      </c>
      <c r="B1030" s="21" t="s">
        <v>13831</v>
      </c>
      <c r="C1030" s="21"/>
      <c r="D1030" s="21"/>
      <c r="E1030">
        <f t="shared" si="16"/>
        <v>0</v>
      </c>
    </row>
    <row r="1031" spans="1:5" ht="26.25" thickBot="1">
      <c r="A1031" s="21" t="s">
        <v>13832</v>
      </c>
      <c r="B1031" s="21" t="s">
        <v>1139</v>
      </c>
      <c r="C1031" s="21"/>
      <c r="D1031" s="21"/>
      <c r="E1031">
        <f t="shared" si="16"/>
        <v>0</v>
      </c>
    </row>
    <row r="1032" spans="1:5" ht="15" thickBot="1">
      <c r="A1032" s="21" t="s">
        <v>13833</v>
      </c>
      <c r="B1032" s="21" t="s">
        <v>8373</v>
      </c>
      <c r="C1032" s="21"/>
      <c r="D1032" s="21"/>
      <c r="E1032">
        <f t="shared" si="16"/>
        <v>0</v>
      </c>
    </row>
    <row r="1033" spans="1:5" ht="15" thickBot="1">
      <c r="A1033" s="21"/>
      <c r="B1033" s="21" t="s">
        <v>12660</v>
      </c>
      <c r="C1033" s="21"/>
      <c r="D1033" s="21"/>
      <c r="E1033">
        <f t="shared" si="16"/>
        <v>0</v>
      </c>
    </row>
    <row r="1034" spans="1:5" ht="15" thickBot="1">
      <c r="A1034" s="21"/>
      <c r="B1034" s="21" t="s">
        <v>13834</v>
      </c>
      <c r="C1034" s="21"/>
      <c r="D1034" s="21"/>
      <c r="E1034">
        <f t="shared" si="16"/>
        <v>0</v>
      </c>
    </row>
    <row r="1035" spans="1:5" ht="26.25" thickBot="1">
      <c r="A1035" s="21"/>
      <c r="B1035" s="21" t="s">
        <v>13835</v>
      </c>
      <c r="C1035" s="21"/>
      <c r="D1035" s="21"/>
      <c r="E1035">
        <f t="shared" si="16"/>
        <v>0</v>
      </c>
    </row>
    <row r="1036" spans="1:5" ht="51.75" thickBot="1">
      <c r="A1036" s="21"/>
      <c r="B1036" s="21" t="s">
        <v>13836</v>
      </c>
      <c r="C1036" s="21" t="s">
        <v>8206</v>
      </c>
      <c r="D1036" s="21"/>
      <c r="E1036">
        <f t="shared" si="16"/>
        <v>0</v>
      </c>
    </row>
    <row r="1037" spans="1:5" ht="26.25" thickBot="1">
      <c r="A1037" s="21"/>
      <c r="B1037" s="21" t="s">
        <v>13837</v>
      </c>
      <c r="C1037" s="21"/>
      <c r="D1037" s="21"/>
      <c r="E1037">
        <f t="shared" si="16"/>
        <v>0</v>
      </c>
    </row>
    <row r="1038" spans="1:5" ht="26.25" thickBot="1">
      <c r="A1038" s="21"/>
      <c r="B1038" s="21" t="s">
        <v>13839</v>
      </c>
      <c r="C1038" s="21"/>
      <c r="D1038" s="21"/>
      <c r="E1038">
        <f t="shared" si="16"/>
        <v>0</v>
      </c>
    </row>
    <row r="1039" spans="1:5" ht="15" thickBot="1">
      <c r="A1039" s="21"/>
      <c r="B1039" s="21" t="s">
        <v>8638</v>
      </c>
      <c r="C1039" s="21" t="s">
        <v>8206</v>
      </c>
      <c r="D1039" s="21"/>
      <c r="E1039">
        <f t="shared" si="16"/>
        <v>0</v>
      </c>
    </row>
    <row r="1040" spans="1:5" ht="15" thickBot="1">
      <c r="A1040" s="21" t="s">
        <v>13840</v>
      </c>
      <c r="B1040" s="21" t="s">
        <v>13078</v>
      </c>
      <c r="C1040" s="21"/>
      <c r="D1040" s="21"/>
      <c r="E1040">
        <f t="shared" si="16"/>
        <v>0</v>
      </c>
    </row>
    <row r="1041" spans="1:5" ht="15" thickBot="1">
      <c r="A1041" s="21"/>
      <c r="B1041" s="21" t="s">
        <v>13841</v>
      </c>
      <c r="C1041" s="21" t="s">
        <v>12563</v>
      </c>
      <c r="D1041" s="21"/>
      <c r="E1041">
        <f t="shared" si="16"/>
        <v>0</v>
      </c>
    </row>
    <row r="1042" spans="1:5" ht="15" thickBot="1">
      <c r="A1042" s="21" t="s">
        <v>13843</v>
      </c>
      <c r="B1042" s="22" t="s">
        <v>13844</v>
      </c>
      <c r="C1042" s="21"/>
      <c r="D1042" s="21"/>
      <c r="E1042">
        <f t="shared" si="16"/>
        <v>0</v>
      </c>
    </row>
    <row r="1043" spans="1:5" ht="26.25" thickBot="1">
      <c r="A1043" s="21" t="s">
        <v>12470</v>
      </c>
      <c r="B1043" s="21" t="s">
        <v>12471</v>
      </c>
      <c r="C1043" s="21"/>
      <c r="D1043" s="21"/>
    </row>
    <row r="1044" spans="1:5" ht="15" thickBot="1">
      <c r="A1044" s="21" t="s">
        <v>12472</v>
      </c>
      <c r="B1044" s="23">
        <v>12554</v>
      </c>
      <c r="C1044" s="21"/>
      <c r="D1044" s="21"/>
    </row>
    <row r="1045" spans="1:5" ht="15" thickBot="1">
      <c r="A1045" s="21"/>
      <c r="B1045" s="21"/>
      <c r="C1045" s="21"/>
      <c r="D1045" s="21"/>
    </row>
    <row r="1046" spans="1:5" ht="15" thickBot="1">
      <c r="A1046" s="21"/>
      <c r="B1046" s="21" t="s">
        <v>8304</v>
      </c>
      <c r="C1046" s="21"/>
      <c r="D1046" s="21"/>
    </row>
    <row r="1047" spans="1:5" ht="15" thickBot="1">
      <c r="A1047" s="21"/>
      <c r="B1047" s="21">
        <v>92878</v>
      </c>
      <c r="C1047" s="21" t="s">
        <v>11224</v>
      </c>
      <c r="D1047" s="21">
        <v>79657294037</v>
      </c>
    </row>
    <row r="1048" spans="1:5" ht="26.25" thickBot="1">
      <c r="A1048" s="21" t="s">
        <v>13845</v>
      </c>
      <c r="B1048" s="21" t="s">
        <v>13846</v>
      </c>
      <c r="C1048" s="21"/>
      <c r="D1048" s="21"/>
    </row>
    <row r="1049" spans="1:5" ht="15" thickBot="1">
      <c r="A1049" s="21" t="s">
        <v>13847</v>
      </c>
      <c r="B1049" s="21" t="s">
        <v>8206</v>
      </c>
      <c r="C1049" s="21"/>
      <c r="D1049" s="21"/>
    </row>
    <row r="1050" spans="1:5" ht="15" thickBot="1">
      <c r="A1050" s="21"/>
      <c r="B1050" s="21"/>
      <c r="C1050" s="21"/>
      <c r="D1050" s="21"/>
    </row>
    <row r="1051" spans="1:5" ht="15" thickBot="1">
      <c r="A1051" s="21"/>
      <c r="B1051" s="21"/>
      <c r="C1051" s="21"/>
      <c r="D1051" s="21"/>
    </row>
    <row r="1052" spans="1:5" ht="15" thickBot="1">
      <c r="A1052" s="21"/>
      <c r="B1052" s="21"/>
      <c r="C1052" s="21"/>
      <c r="D1052" s="21"/>
    </row>
    <row r="1053" spans="1:5" ht="15" thickBot="1">
      <c r="A1053" s="21"/>
      <c r="B1053" s="21"/>
      <c r="C1053" s="21"/>
      <c r="D1053" s="21"/>
    </row>
    <row r="1054" spans="1:5" ht="15" thickBot="1">
      <c r="A1054" s="21"/>
      <c r="B1054" s="21"/>
      <c r="C1054" s="21"/>
      <c r="D1054" s="21"/>
    </row>
    <row r="1055" spans="1:5" ht="15" thickBot="1">
      <c r="A1055" s="21"/>
      <c r="B1055" s="21"/>
      <c r="C1055" s="21"/>
      <c r="D1055" s="21"/>
    </row>
    <row r="1056" spans="1:5" ht="15" thickBot="1">
      <c r="A1056" s="21"/>
      <c r="B1056" s="21"/>
      <c r="C1056" s="21"/>
      <c r="D1056" s="21"/>
    </row>
    <row r="1057" spans="1:4" ht="15" thickBot="1">
      <c r="A1057" s="21"/>
      <c r="B1057" s="21"/>
      <c r="C1057" s="21"/>
      <c r="D1057" s="21"/>
    </row>
    <row r="1058" spans="1:4" ht="15" thickBot="1">
      <c r="A1058" s="21"/>
      <c r="B1058" s="21"/>
      <c r="C1058" s="21"/>
      <c r="D1058" s="21"/>
    </row>
    <row r="1059" spans="1:4" ht="15" thickBot="1">
      <c r="A1059" s="21"/>
      <c r="B1059" s="21"/>
      <c r="C1059" s="21"/>
      <c r="D1059" s="21"/>
    </row>
    <row r="1060" spans="1:4" ht="15" thickBot="1">
      <c r="A1060" s="21"/>
      <c r="B1060" s="21"/>
      <c r="C1060" s="21"/>
      <c r="D1060" s="21"/>
    </row>
    <row r="1061" spans="1:4" ht="15" thickBot="1">
      <c r="A1061" s="21"/>
      <c r="B1061" s="21"/>
      <c r="C1061" s="21"/>
      <c r="D1061" s="21"/>
    </row>
    <row r="1062" spans="1:4" ht="15" thickBot="1">
      <c r="A1062" s="21"/>
      <c r="B1062" s="21"/>
      <c r="C1062" s="21"/>
      <c r="D1062" s="21"/>
    </row>
    <row r="1063" spans="1:4" ht="15" thickBot="1">
      <c r="A1063" s="21"/>
      <c r="B1063" s="21"/>
      <c r="C1063" s="21"/>
      <c r="D1063" s="21"/>
    </row>
    <row r="1064" spans="1:4" ht="15" thickBot="1">
      <c r="A1064" s="21"/>
      <c r="B1064" s="21"/>
      <c r="C1064" s="21"/>
      <c r="D1064" s="21"/>
    </row>
    <row r="1065" spans="1:4" ht="15" thickBot="1">
      <c r="A1065" s="21"/>
      <c r="B1065" s="21"/>
      <c r="C1065" s="21"/>
      <c r="D1065" s="21"/>
    </row>
    <row r="1066" spans="1:4" ht="15" thickBot="1">
      <c r="A1066" s="21"/>
      <c r="B1066" s="21"/>
      <c r="C1066" s="21"/>
      <c r="D1066" s="21"/>
    </row>
    <row r="1067" spans="1:4" ht="15" thickBot="1">
      <c r="A1067" s="21"/>
      <c r="B1067" s="21"/>
      <c r="C1067" s="21"/>
      <c r="D1067" s="21"/>
    </row>
    <row r="1068" spans="1:4" ht="15" thickBot="1">
      <c r="A1068" s="21"/>
      <c r="B1068" s="21"/>
      <c r="C1068" s="21"/>
      <c r="D1068" s="21"/>
    </row>
    <row r="1069" spans="1:4" ht="15" thickBot="1">
      <c r="A1069" s="21"/>
      <c r="B1069" s="21"/>
      <c r="C1069" s="21"/>
      <c r="D1069" s="21"/>
    </row>
    <row r="1070" spans="1:4" ht="15" thickBot="1">
      <c r="A1070" s="21"/>
      <c r="B1070" s="21"/>
      <c r="C1070" s="21"/>
      <c r="D1070" s="21"/>
    </row>
    <row r="1071" spans="1:4" ht="15" thickBot="1">
      <c r="A1071" s="21"/>
      <c r="B1071" s="21"/>
      <c r="C1071" s="21"/>
      <c r="D1071" s="21"/>
    </row>
    <row r="1072" spans="1:4" ht="15" thickBot="1">
      <c r="A1072" s="21"/>
      <c r="B1072" s="21"/>
      <c r="C1072" s="21"/>
      <c r="D1072" s="21"/>
    </row>
    <row r="1073" spans="1:4" ht="15" thickBot="1">
      <c r="A1073" s="21"/>
      <c r="B1073" s="21"/>
      <c r="C1073" s="21"/>
      <c r="D1073" s="21"/>
    </row>
    <row r="1074" spans="1:4" ht="15" thickBot="1">
      <c r="A1074" s="21"/>
      <c r="B1074" s="21"/>
      <c r="C1074" s="21"/>
      <c r="D1074" s="21"/>
    </row>
    <row r="1075" spans="1:4" ht="15" thickBot="1">
      <c r="A1075" s="21"/>
      <c r="B1075" s="21"/>
      <c r="C1075" s="21"/>
      <c r="D1075" s="21"/>
    </row>
    <row r="1076" spans="1:4" ht="15" thickBot="1">
      <c r="A1076" s="21"/>
      <c r="B1076" s="21"/>
      <c r="C1076" s="21"/>
      <c r="D1076" s="21"/>
    </row>
    <row r="1077" spans="1:4" ht="15" thickBot="1">
      <c r="A1077" s="21"/>
      <c r="B1077" s="21"/>
      <c r="C1077" s="21"/>
      <c r="D1077" s="21"/>
    </row>
    <row r="1078" spans="1:4" ht="15" thickBot="1">
      <c r="A1078" s="21"/>
      <c r="B1078" s="21"/>
      <c r="C1078" s="21"/>
      <c r="D1078" s="21"/>
    </row>
    <row r="1079" spans="1:4" ht="15" thickBot="1">
      <c r="A1079" s="21"/>
      <c r="B1079" s="21"/>
      <c r="C1079" s="21"/>
      <c r="D1079" s="21"/>
    </row>
    <row r="1080" spans="1:4" ht="15" thickBot="1">
      <c r="A1080" s="21"/>
      <c r="B1080" s="21"/>
      <c r="C1080" s="21"/>
      <c r="D1080" s="21"/>
    </row>
    <row r="1081" spans="1:4" ht="15" thickBot="1">
      <c r="A1081" s="21"/>
      <c r="B1081" s="21"/>
      <c r="C1081" s="21"/>
      <c r="D1081" s="21"/>
    </row>
    <row r="1082" spans="1:4" ht="15" thickBot="1">
      <c r="A1082" s="21"/>
      <c r="B1082" s="21"/>
      <c r="C1082" s="21"/>
      <c r="D1082" s="21"/>
    </row>
    <row r="1083" spans="1:4" ht="15" thickBot="1">
      <c r="A1083" s="21"/>
      <c r="B1083" s="21"/>
      <c r="C1083" s="21"/>
      <c r="D1083" s="21"/>
    </row>
    <row r="1084" spans="1:4" ht="15" thickBot="1">
      <c r="A1084" s="21"/>
      <c r="B1084" s="21"/>
      <c r="C1084" s="21"/>
      <c r="D1084" s="21"/>
    </row>
    <row r="1085" spans="1:4" ht="15" thickBot="1">
      <c r="A1085" s="21"/>
      <c r="B1085" s="21"/>
      <c r="C1085" s="21"/>
      <c r="D1085" s="21"/>
    </row>
    <row r="1086" spans="1:4" ht="15" thickBot="1">
      <c r="A1086" s="21"/>
      <c r="B1086" s="21"/>
      <c r="C1086" s="21"/>
      <c r="D1086" s="21"/>
    </row>
    <row r="1087" spans="1:4" ht="15" thickBot="1">
      <c r="A1087" s="21"/>
      <c r="B1087" s="21"/>
      <c r="C1087" s="21"/>
      <c r="D1087" s="21"/>
    </row>
    <row r="1088" spans="1:4" ht="15" thickBot="1">
      <c r="A1088" s="21"/>
      <c r="B1088" s="21"/>
      <c r="C1088" s="21"/>
      <c r="D1088" s="21"/>
    </row>
    <row r="1089" spans="1:4" ht="15" thickBot="1">
      <c r="A1089" s="21"/>
      <c r="B1089" s="21"/>
      <c r="C1089" s="21"/>
      <c r="D1089" s="21"/>
    </row>
    <row r="1090" spans="1:4" ht="15" thickBot="1">
      <c r="A1090" s="21"/>
      <c r="B1090" s="21"/>
      <c r="C1090" s="21"/>
      <c r="D1090" s="21"/>
    </row>
    <row r="1091" spans="1:4" ht="15" thickBot="1">
      <c r="A1091" s="21"/>
      <c r="B1091" s="21"/>
      <c r="C1091" s="21"/>
      <c r="D1091" s="21"/>
    </row>
    <row r="1092" spans="1:4" ht="15" thickBot="1">
      <c r="A1092" s="21"/>
      <c r="B1092" s="21"/>
      <c r="C1092" s="21"/>
      <c r="D1092" s="21"/>
    </row>
    <row r="1093" spans="1:4" ht="15" thickBot="1">
      <c r="A1093" s="21"/>
      <c r="B1093" s="21"/>
      <c r="C1093" s="21"/>
      <c r="D1093" s="21"/>
    </row>
    <row r="1094" spans="1:4" ht="15" thickBot="1">
      <c r="A1094" s="21"/>
      <c r="B1094" s="21"/>
      <c r="C1094" s="21"/>
      <c r="D1094" s="21"/>
    </row>
    <row r="1095" spans="1:4" ht="15" thickBot="1">
      <c r="A1095" s="21"/>
      <c r="B1095" s="21"/>
      <c r="C1095" s="21"/>
      <c r="D1095" s="21"/>
    </row>
    <row r="1096" spans="1:4" ht="15" thickBot="1">
      <c r="A1096" s="21"/>
      <c r="B1096" s="21"/>
      <c r="C1096" s="21"/>
      <c r="D1096" s="21"/>
    </row>
    <row r="1097" spans="1:4" ht="15" thickBot="1">
      <c r="A1097" s="21"/>
      <c r="B1097" s="21"/>
      <c r="C1097" s="21"/>
      <c r="D1097" s="21"/>
    </row>
    <row r="1098" spans="1:4" ht="15" thickBot="1">
      <c r="A1098" s="21"/>
      <c r="B1098" s="21"/>
      <c r="C1098" s="21"/>
      <c r="D1098" s="21"/>
    </row>
    <row r="1099" spans="1:4" ht="15" thickBot="1">
      <c r="A1099" s="21"/>
      <c r="B1099" s="21"/>
      <c r="C1099" s="21"/>
      <c r="D1099" s="21"/>
    </row>
    <row r="1100" spans="1:4" ht="15" thickBot="1">
      <c r="A1100" s="21"/>
      <c r="B1100" s="21"/>
      <c r="C1100" s="21"/>
      <c r="D1100" s="21"/>
    </row>
    <row r="1101" spans="1:4" ht="15" thickBot="1">
      <c r="A1101" s="21"/>
      <c r="B1101" s="21"/>
      <c r="C1101" s="21"/>
      <c r="D1101" s="21"/>
    </row>
    <row r="1102" spans="1:4" ht="15" thickBot="1">
      <c r="A1102" s="21"/>
      <c r="B1102" s="21"/>
      <c r="C1102" s="21"/>
      <c r="D1102" s="21"/>
    </row>
    <row r="1103" spans="1:4" ht="15" thickBot="1">
      <c r="A1103" s="21"/>
      <c r="B1103" s="21"/>
      <c r="C1103" s="21"/>
      <c r="D1103" s="21"/>
    </row>
    <row r="1104" spans="1:4" ht="15" thickBot="1">
      <c r="A1104" s="21"/>
      <c r="B1104" s="21"/>
      <c r="C1104" s="21"/>
      <c r="D1104" s="21"/>
    </row>
    <row r="1105" spans="1:4" ht="15" thickBot="1">
      <c r="A1105" s="21"/>
      <c r="B1105" s="21"/>
      <c r="C1105" s="21"/>
      <c r="D1105" s="21"/>
    </row>
    <row r="1106" spans="1:4" ht="15" thickBot="1">
      <c r="A1106" s="21"/>
      <c r="B1106" s="21"/>
      <c r="C1106" s="21"/>
      <c r="D1106" s="21"/>
    </row>
    <row r="1107" spans="1:4" ht="15" thickBot="1">
      <c r="A1107" s="21"/>
      <c r="B1107" s="21"/>
      <c r="C1107" s="21"/>
      <c r="D1107" s="21"/>
    </row>
    <row r="1108" spans="1:4" ht="15" thickBot="1">
      <c r="A1108" s="21"/>
      <c r="B1108" s="21"/>
      <c r="C1108" s="21"/>
      <c r="D1108" s="21"/>
    </row>
    <row r="1109" spans="1:4" ht="15" thickBot="1">
      <c r="A1109" s="21"/>
      <c r="B1109" s="21"/>
      <c r="C1109" s="21"/>
      <c r="D1109" s="21"/>
    </row>
    <row r="1110" spans="1:4" ht="15" thickBot="1">
      <c r="A1110" s="21"/>
      <c r="B1110" s="21"/>
      <c r="C1110" s="21"/>
      <c r="D1110" s="21"/>
    </row>
    <row r="1111" spans="1:4" ht="15" thickBot="1">
      <c r="A1111" s="21"/>
      <c r="B1111" s="21"/>
      <c r="C1111" s="21"/>
      <c r="D1111" s="21"/>
    </row>
    <row r="1112" spans="1:4" ht="15" thickBot="1">
      <c r="A1112" s="21"/>
      <c r="B1112" s="21"/>
      <c r="C1112" s="21"/>
      <c r="D1112" s="21"/>
    </row>
    <row r="1113" spans="1:4" ht="15" thickBot="1">
      <c r="A1113" s="21"/>
      <c r="B1113" s="21"/>
      <c r="C1113" s="21"/>
      <c r="D1113" s="21"/>
    </row>
    <row r="1114" spans="1:4" ht="15" thickBot="1">
      <c r="A1114" s="21"/>
      <c r="B1114" s="21"/>
      <c r="C1114" s="21"/>
      <c r="D1114" s="21"/>
    </row>
    <row r="1115" spans="1:4" ht="15" thickBot="1">
      <c r="A1115" s="21"/>
      <c r="B1115" s="21"/>
      <c r="C1115" s="21"/>
      <c r="D1115" s="21"/>
    </row>
    <row r="1116" spans="1:4" ht="15" thickBot="1">
      <c r="A1116" s="21"/>
      <c r="B1116" s="21"/>
      <c r="C1116" s="21"/>
      <c r="D1116" s="21"/>
    </row>
    <row r="1117" spans="1:4" ht="15" thickBot="1">
      <c r="A1117" s="21"/>
      <c r="B1117" s="21"/>
      <c r="C1117" s="21"/>
      <c r="D1117" s="21"/>
    </row>
    <row r="1118" spans="1:4" ht="15" thickBot="1">
      <c r="A1118" s="21"/>
      <c r="B1118" s="21"/>
      <c r="C1118" s="21"/>
      <c r="D1118" s="21"/>
    </row>
    <row r="1119" spans="1:4" ht="15" thickBot="1">
      <c r="A1119" s="21"/>
      <c r="B1119" s="21"/>
      <c r="C1119" s="21"/>
      <c r="D1119" s="21"/>
    </row>
    <row r="1120" spans="1:4" ht="15" thickBot="1">
      <c r="A1120" s="21"/>
      <c r="B1120" s="21"/>
      <c r="C1120" s="21"/>
      <c r="D1120" s="21"/>
    </row>
    <row r="1121" spans="1:4" ht="15" thickBot="1">
      <c r="A1121" s="21"/>
      <c r="B1121" s="21"/>
      <c r="C1121" s="21"/>
      <c r="D1121" s="21"/>
    </row>
    <row r="1122" spans="1:4" ht="15" thickBot="1">
      <c r="A1122" s="21"/>
      <c r="B1122" s="21"/>
      <c r="C1122" s="21"/>
      <c r="D1122" s="21"/>
    </row>
    <row r="1123" spans="1:4" ht="15" thickBot="1">
      <c r="A1123" s="21"/>
      <c r="B1123" s="21"/>
      <c r="C1123" s="21"/>
      <c r="D1123" s="21"/>
    </row>
    <row r="1124" spans="1:4" ht="15" thickBot="1">
      <c r="A1124" s="21"/>
      <c r="B1124" s="21"/>
      <c r="C1124" s="21"/>
      <c r="D1124" s="21"/>
    </row>
    <row r="1125" spans="1:4" ht="15" thickBot="1">
      <c r="A1125" s="21"/>
      <c r="B1125" s="21"/>
      <c r="C1125" s="21"/>
      <c r="D1125" s="21"/>
    </row>
    <row r="1126" spans="1:4" ht="15" thickBot="1">
      <c r="A1126" s="21"/>
      <c r="B1126" s="21"/>
      <c r="C1126" s="21"/>
      <c r="D1126" s="21"/>
    </row>
    <row r="1127" spans="1:4" ht="15" thickBot="1">
      <c r="A1127" s="21"/>
      <c r="B1127" s="21"/>
      <c r="C1127" s="21"/>
      <c r="D1127" s="21"/>
    </row>
    <row r="1128" spans="1:4" ht="15" thickBot="1">
      <c r="A1128" s="21"/>
      <c r="B1128" s="21"/>
      <c r="C1128" s="21"/>
      <c r="D1128" s="21"/>
    </row>
    <row r="1129" spans="1:4" ht="15" thickBot="1">
      <c r="A1129" s="21"/>
      <c r="B1129" s="21"/>
      <c r="C1129" s="21"/>
      <c r="D1129" s="21"/>
    </row>
    <row r="1130" spans="1:4" ht="15" thickBot="1">
      <c r="A1130" s="21"/>
      <c r="B1130" s="21"/>
      <c r="C1130" s="21"/>
      <c r="D1130" s="21"/>
    </row>
    <row r="1131" spans="1:4" ht="15" thickBot="1">
      <c r="A1131" s="21"/>
      <c r="B1131" s="21"/>
      <c r="C1131" s="21"/>
      <c r="D1131" s="21"/>
    </row>
    <row r="1132" spans="1:4" ht="15" thickBot="1">
      <c r="A1132" s="21"/>
      <c r="B1132" s="21"/>
      <c r="C1132" s="21"/>
      <c r="D1132" s="21"/>
    </row>
    <row r="1133" spans="1:4" ht="15" thickBot="1">
      <c r="A1133" s="21"/>
      <c r="B1133" s="21"/>
      <c r="C1133" s="21"/>
      <c r="D1133" s="21"/>
    </row>
    <row r="1134" spans="1:4" ht="15" thickBot="1">
      <c r="A1134" s="21"/>
      <c r="B1134" s="21"/>
      <c r="C1134" s="21"/>
      <c r="D1134" s="21"/>
    </row>
    <row r="1135" spans="1:4" ht="15" thickBot="1">
      <c r="A1135" s="21"/>
      <c r="B1135" s="21"/>
      <c r="C1135" s="21"/>
      <c r="D1135" s="21"/>
    </row>
    <row r="1136" spans="1:4" ht="15" thickBot="1">
      <c r="A1136" s="21"/>
      <c r="B1136" s="21"/>
      <c r="C1136" s="21"/>
      <c r="D1136" s="21"/>
    </row>
    <row r="1137" spans="1:4" ht="15" thickBot="1">
      <c r="A1137" s="21"/>
      <c r="B1137" s="21"/>
      <c r="C1137" s="21"/>
      <c r="D1137" s="21"/>
    </row>
    <row r="1138" spans="1:4" ht="15" thickBot="1">
      <c r="A1138" s="21"/>
      <c r="B1138" s="21"/>
      <c r="C1138" s="21"/>
      <c r="D1138" s="21"/>
    </row>
    <row r="1139" spans="1:4" ht="15" thickBot="1">
      <c r="A1139" s="21"/>
      <c r="B1139" s="21"/>
      <c r="C1139" s="21"/>
      <c r="D1139" s="21"/>
    </row>
    <row r="1140" spans="1:4" ht="15" thickBot="1">
      <c r="A1140" s="21"/>
      <c r="B1140" s="21"/>
      <c r="C1140" s="21"/>
      <c r="D1140" s="21"/>
    </row>
    <row r="1141" spans="1:4" ht="15" thickBot="1">
      <c r="A1141" s="21"/>
      <c r="B1141" s="21"/>
      <c r="C1141" s="21"/>
      <c r="D1141" s="21"/>
    </row>
    <row r="1142" spans="1:4" ht="15" thickBot="1">
      <c r="A1142" s="21"/>
      <c r="B1142" s="21"/>
      <c r="C1142" s="21"/>
      <c r="D1142" s="21"/>
    </row>
    <row r="1143" spans="1:4" ht="15" thickBot="1">
      <c r="A1143" s="21"/>
      <c r="B1143" s="21"/>
      <c r="C1143" s="21"/>
      <c r="D1143" s="21"/>
    </row>
    <row r="1144" spans="1:4" ht="15" thickBot="1">
      <c r="A1144" s="21"/>
      <c r="B1144" s="21"/>
      <c r="C1144" s="21"/>
      <c r="D1144" s="21"/>
    </row>
    <row r="1145" spans="1:4" ht="15" thickBot="1">
      <c r="A1145" s="21"/>
      <c r="B1145" s="21"/>
      <c r="C1145" s="21"/>
      <c r="D1145" s="21"/>
    </row>
    <row r="1146" spans="1:4" ht="15" thickBot="1">
      <c r="A1146" s="21"/>
      <c r="B1146" s="21"/>
      <c r="C1146" s="21"/>
      <c r="D1146" s="21"/>
    </row>
    <row r="1147" spans="1:4" ht="15" thickBot="1">
      <c r="A1147" s="21"/>
      <c r="B1147" s="21"/>
      <c r="C1147" s="21"/>
      <c r="D1147" s="21"/>
    </row>
    <row r="1148" spans="1:4" ht="15" thickBot="1">
      <c r="A1148" s="21"/>
      <c r="B1148" s="21"/>
      <c r="C1148" s="21"/>
      <c r="D1148" s="21"/>
    </row>
    <row r="1149" spans="1:4" ht="15" thickBot="1">
      <c r="A1149" s="21"/>
      <c r="B1149" s="21"/>
      <c r="C1149" s="21"/>
      <c r="D1149" s="21"/>
    </row>
    <row r="1150" spans="1:4" ht="15" thickBot="1">
      <c r="A1150" s="21"/>
      <c r="B1150" s="21"/>
      <c r="C1150" s="21"/>
      <c r="D1150" s="21"/>
    </row>
    <row r="1151" spans="1:4" ht="15" thickBot="1">
      <c r="A1151" s="21"/>
      <c r="B1151" s="21"/>
      <c r="C1151" s="21"/>
      <c r="D1151" s="21"/>
    </row>
    <row r="1152" spans="1:4" ht="15" thickBot="1">
      <c r="A1152" s="21"/>
      <c r="B1152" s="21"/>
      <c r="C1152" s="21"/>
      <c r="D1152" s="21"/>
    </row>
    <row r="1153" spans="1:4" ht="15" thickBot="1">
      <c r="A1153" s="21"/>
      <c r="B1153" s="21"/>
      <c r="C1153" s="21"/>
      <c r="D1153" s="21"/>
    </row>
    <row r="1154" spans="1:4" ht="15" thickBot="1">
      <c r="A1154" s="21"/>
      <c r="B1154" s="21"/>
      <c r="C1154" s="21"/>
      <c r="D1154" s="21"/>
    </row>
    <row r="1155" spans="1:4" ht="15" thickBot="1">
      <c r="A1155" s="21"/>
      <c r="B1155" s="21"/>
      <c r="C1155" s="21"/>
      <c r="D1155" s="21"/>
    </row>
    <row r="1156" spans="1:4" ht="15" thickBot="1">
      <c r="A1156" s="21"/>
      <c r="B1156" s="21"/>
      <c r="C1156" s="21"/>
      <c r="D1156" s="21"/>
    </row>
    <row r="1157" spans="1:4" ht="15" thickBot="1">
      <c r="A1157" s="21"/>
      <c r="B1157" s="21"/>
      <c r="C1157" s="21"/>
      <c r="D1157" s="21"/>
    </row>
    <row r="1158" spans="1:4" ht="15" thickBot="1">
      <c r="A1158" s="21"/>
      <c r="B1158" s="21"/>
      <c r="C1158" s="21"/>
      <c r="D1158" s="21"/>
    </row>
    <row r="1159" spans="1:4" ht="15" thickBot="1">
      <c r="A1159" s="21"/>
      <c r="B1159" s="21"/>
      <c r="C1159" s="21"/>
      <c r="D1159" s="21"/>
    </row>
    <row r="1160" spans="1:4" ht="15" thickBot="1">
      <c r="A1160" s="21"/>
      <c r="B1160" s="21"/>
      <c r="C1160" s="21"/>
      <c r="D1160" s="21"/>
    </row>
    <row r="1161" spans="1:4" ht="15" thickBot="1">
      <c r="A1161" s="21"/>
      <c r="B1161" s="21"/>
      <c r="C1161" s="21"/>
      <c r="D1161" s="21"/>
    </row>
    <row r="1162" spans="1:4" ht="15" thickBot="1">
      <c r="A1162" s="21"/>
      <c r="B1162" s="21"/>
      <c r="C1162" s="21"/>
      <c r="D1162" s="21"/>
    </row>
    <row r="1163" spans="1:4" ht="15" thickBot="1">
      <c r="A1163" s="21"/>
      <c r="B1163" s="21"/>
      <c r="C1163" s="21"/>
      <c r="D1163" s="21"/>
    </row>
    <row r="1164" spans="1:4" ht="15" thickBot="1">
      <c r="A1164" s="21"/>
      <c r="B1164" s="21"/>
      <c r="C1164" s="21"/>
      <c r="D1164" s="21"/>
    </row>
    <row r="1165" spans="1:4" ht="15" thickBot="1">
      <c r="A1165" s="21"/>
      <c r="B1165" s="21"/>
      <c r="C1165" s="21"/>
      <c r="D1165" s="21"/>
    </row>
    <row r="1166" spans="1:4" ht="15" thickBot="1">
      <c r="A1166" s="21"/>
      <c r="B1166" s="21"/>
      <c r="C1166" s="21"/>
      <c r="D1166" s="21"/>
    </row>
    <row r="1167" spans="1:4" ht="15" thickBot="1">
      <c r="A1167" s="21"/>
      <c r="B1167" s="21"/>
      <c r="C1167" s="21"/>
      <c r="D1167" s="21"/>
    </row>
    <row r="1168" spans="1:4" ht="15" thickBot="1">
      <c r="A1168" s="21"/>
      <c r="B1168" s="21"/>
      <c r="C1168" s="21"/>
      <c r="D1168" s="21"/>
    </row>
    <row r="1169" spans="1:4" ht="15" thickBot="1">
      <c r="A1169" s="21"/>
      <c r="B1169" s="21"/>
      <c r="C1169" s="21"/>
      <c r="D1169" s="21"/>
    </row>
    <row r="1170" spans="1:4" ht="15" thickBot="1">
      <c r="A1170" s="21"/>
      <c r="B1170" s="21"/>
      <c r="C1170" s="21"/>
      <c r="D1170" s="21"/>
    </row>
    <row r="1171" spans="1:4" ht="15" thickBot="1">
      <c r="A1171" s="21"/>
      <c r="B1171" s="21"/>
      <c r="C1171" s="21"/>
      <c r="D1171" s="21"/>
    </row>
    <row r="1172" spans="1:4" ht="15" thickBot="1">
      <c r="A1172" s="21"/>
      <c r="B1172" s="21"/>
      <c r="C1172" s="21"/>
      <c r="D1172" s="21"/>
    </row>
    <row r="1173" spans="1:4" ht="15" thickBot="1">
      <c r="A1173" s="21"/>
      <c r="B1173" s="21"/>
      <c r="C1173" s="21"/>
      <c r="D1173" s="21"/>
    </row>
    <row r="1174" spans="1:4" ht="15" thickBot="1">
      <c r="A1174" s="21"/>
      <c r="B1174" s="21"/>
      <c r="C1174" s="21"/>
      <c r="D1174" s="21"/>
    </row>
    <row r="1175" spans="1:4" ht="15" thickBot="1">
      <c r="A1175" s="21"/>
      <c r="B1175" s="21"/>
      <c r="C1175" s="21"/>
      <c r="D1175" s="21"/>
    </row>
    <row r="1176" spans="1:4" ht="15" thickBot="1">
      <c r="A1176" s="21"/>
      <c r="B1176" s="21"/>
      <c r="C1176" s="21"/>
      <c r="D1176" s="21"/>
    </row>
    <row r="1177" spans="1:4" ht="15" thickBot="1">
      <c r="A1177" s="21"/>
      <c r="B1177" s="21"/>
      <c r="C1177" s="21"/>
      <c r="D1177" s="21"/>
    </row>
    <row r="1178" spans="1:4" ht="15" thickBot="1">
      <c r="A1178" s="21"/>
      <c r="B1178" s="21"/>
      <c r="C1178" s="21"/>
      <c r="D1178" s="21"/>
    </row>
    <row r="1179" spans="1:4" ht="15" thickBot="1">
      <c r="A1179" s="21"/>
      <c r="B1179" s="21"/>
      <c r="C1179" s="21"/>
      <c r="D1179" s="21"/>
    </row>
    <row r="1180" spans="1:4" ht="15" thickBot="1">
      <c r="A1180" s="21"/>
      <c r="B1180" s="21"/>
      <c r="C1180" s="21"/>
      <c r="D1180" s="21"/>
    </row>
    <row r="1181" spans="1:4" ht="15" thickBot="1">
      <c r="A1181" s="21"/>
      <c r="B1181" s="21"/>
      <c r="C1181" s="21"/>
      <c r="D1181" s="21"/>
    </row>
    <row r="1182" spans="1:4" ht="15" thickBot="1">
      <c r="A1182" s="21"/>
      <c r="B1182" s="21"/>
      <c r="C1182" s="21"/>
      <c r="D1182" s="21"/>
    </row>
    <row r="1183" spans="1:4" ht="15" thickBot="1">
      <c r="A1183" s="21"/>
      <c r="B1183" s="21"/>
      <c r="C1183" s="21"/>
      <c r="D1183" s="21"/>
    </row>
    <row r="1184" spans="1:4" ht="15" thickBot="1">
      <c r="A1184" s="21"/>
      <c r="B1184" s="21"/>
      <c r="C1184" s="21"/>
      <c r="D1184" s="21"/>
    </row>
    <row r="1185" spans="1:4" ht="15" thickBot="1">
      <c r="A1185" s="21"/>
      <c r="B1185" s="21"/>
      <c r="C1185" s="21"/>
      <c r="D1185" s="21"/>
    </row>
    <row r="1186" spans="1:4" ht="15" thickBot="1">
      <c r="A1186" s="21"/>
      <c r="B1186" s="21"/>
      <c r="C1186" s="21"/>
      <c r="D1186" s="21"/>
    </row>
    <row r="1187" spans="1:4" ht="15" thickBot="1">
      <c r="A1187" s="21"/>
      <c r="B1187" s="21"/>
      <c r="C1187" s="21"/>
      <c r="D1187" s="21"/>
    </row>
    <row r="1188" spans="1:4" ht="15" thickBot="1">
      <c r="A1188" s="21"/>
      <c r="B1188" s="21"/>
      <c r="C1188" s="21"/>
      <c r="D1188" s="21"/>
    </row>
    <row r="1189" spans="1:4" ht="15" thickBot="1">
      <c r="A1189" s="21"/>
      <c r="B1189" s="21"/>
      <c r="C1189" s="21"/>
      <c r="D1189" s="21"/>
    </row>
    <row r="1190" spans="1:4" ht="15" thickBot="1">
      <c r="A1190" s="21"/>
      <c r="B1190" s="21"/>
      <c r="C1190" s="21"/>
      <c r="D1190" s="21"/>
    </row>
    <row r="1191" spans="1:4" ht="15" thickBot="1">
      <c r="A1191" s="21"/>
      <c r="B1191" s="21"/>
      <c r="C1191" s="21"/>
      <c r="D1191" s="21"/>
    </row>
    <row r="1192" spans="1:4" ht="15" thickBot="1">
      <c r="A1192" s="21"/>
      <c r="B1192" s="21"/>
      <c r="C1192" s="21"/>
      <c r="D1192" s="21"/>
    </row>
    <row r="1193" spans="1:4" ht="15" thickBot="1">
      <c r="A1193" s="21"/>
      <c r="B1193" s="21"/>
      <c r="C1193" s="21"/>
      <c r="D1193" s="21"/>
    </row>
    <row r="1194" spans="1:4" ht="15" thickBot="1">
      <c r="A1194" s="21"/>
      <c r="B1194" s="21"/>
      <c r="C1194" s="21"/>
      <c r="D1194" s="21"/>
    </row>
    <row r="1195" spans="1:4" ht="15" thickBot="1">
      <c r="A1195" s="21"/>
      <c r="B1195" s="21"/>
      <c r="C1195" s="21"/>
      <c r="D1195" s="21"/>
    </row>
    <row r="1196" spans="1:4" ht="15" thickBot="1">
      <c r="A1196" s="21"/>
      <c r="B1196" s="21"/>
      <c r="C1196" s="21"/>
      <c r="D1196" s="21"/>
    </row>
    <row r="1197" spans="1:4" ht="15" thickBot="1">
      <c r="A1197" s="21"/>
      <c r="B1197" s="21"/>
      <c r="C1197" s="21"/>
      <c r="D1197" s="21"/>
    </row>
    <row r="1198" spans="1:4" ht="15" thickBot="1">
      <c r="A1198" s="21"/>
      <c r="B1198" s="21"/>
      <c r="C1198" s="21"/>
      <c r="D1198" s="21"/>
    </row>
    <row r="1199" spans="1:4" ht="15" thickBot="1">
      <c r="A1199" s="21"/>
      <c r="B1199" s="21"/>
      <c r="C1199" s="21"/>
      <c r="D1199" s="21"/>
    </row>
    <row r="1200" spans="1:4" ht="15" thickBot="1">
      <c r="A1200" s="21"/>
      <c r="B1200" s="21"/>
      <c r="C1200" s="21"/>
      <c r="D1200" s="21"/>
    </row>
    <row r="1201" spans="1:4" ht="15" thickBot="1">
      <c r="A1201" s="21"/>
      <c r="B1201" s="21"/>
      <c r="C1201" s="21"/>
      <c r="D1201" s="21"/>
    </row>
    <row r="1202" spans="1:4" ht="15" thickBot="1">
      <c r="A1202" s="21"/>
      <c r="B1202" s="21"/>
      <c r="C1202" s="21"/>
      <c r="D1202" s="21"/>
    </row>
    <row r="1203" spans="1:4" ht="15" thickBot="1">
      <c r="A1203" s="21"/>
      <c r="B1203" s="21"/>
      <c r="C1203" s="21"/>
      <c r="D1203" s="21"/>
    </row>
    <row r="1204" spans="1:4" ht="15" thickBot="1">
      <c r="A1204" s="21"/>
      <c r="B1204" s="21"/>
      <c r="C1204" s="21"/>
      <c r="D1204" s="21"/>
    </row>
    <row r="1205" spans="1:4" ht="15" thickBot="1">
      <c r="A1205" s="21"/>
      <c r="B1205" s="21"/>
      <c r="C1205" s="21"/>
      <c r="D1205" s="21"/>
    </row>
    <row r="1206" spans="1:4" ht="15" thickBot="1">
      <c r="A1206" s="21"/>
      <c r="B1206" s="21"/>
      <c r="C1206" s="21"/>
      <c r="D1206" s="21"/>
    </row>
    <row r="1207" spans="1:4" ht="15" thickBot="1">
      <c r="A1207" s="21"/>
      <c r="B1207" s="21"/>
      <c r="C1207" s="21"/>
      <c r="D1207" s="21"/>
    </row>
    <row r="1208" spans="1:4" ht="15" thickBot="1">
      <c r="A1208" s="21"/>
      <c r="B1208" s="21"/>
      <c r="C1208" s="21"/>
      <c r="D1208" s="21"/>
    </row>
    <row r="1209" spans="1:4" ht="15" thickBot="1">
      <c r="A1209" s="21"/>
      <c r="B1209" s="21"/>
      <c r="C1209" s="21"/>
      <c r="D1209" s="21"/>
    </row>
    <row r="1210" spans="1:4" ht="15" thickBot="1">
      <c r="A1210" s="21"/>
      <c r="B1210" s="21"/>
      <c r="C1210" s="21"/>
      <c r="D1210" s="21"/>
    </row>
    <row r="1211" spans="1:4" ht="15" thickBot="1">
      <c r="A1211" s="21"/>
      <c r="B1211" s="21"/>
      <c r="C1211" s="21"/>
      <c r="D1211" s="21"/>
    </row>
    <row r="1212" spans="1:4" ht="15" thickBot="1">
      <c r="A1212" s="21"/>
      <c r="B1212" s="21"/>
      <c r="C1212" s="21"/>
      <c r="D1212" s="21"/>
    </row>
    <row r="1213" spans="1:4" ht="15" thickBot="1">
      <c r="A1213" s="21"/>
      <c r="B1213" s="21"/>
      <c r="C1213" s="21"/>
      <c r="D1213" s="21"/>
    </row>
    <row r="1214" spans="1:4" ht="15" thickBot="1">
      <c r="A1214" s="21"/>
      <c r="B1214" s="21"/>
      <c r="C1214" s="21"/>
      <c r="D1214" s="21"/>
    </row>
    <row r="1215" spans="1:4" ht="15" thickBot="1">
      <c r="A1215" s="21"/>
      <c r="B1215" s="21"/>
      <c r="C1215" s="21"/>
      <c r="D1215" s="21"/>
    </row>
    <row r="1216" spans="1:4" ht="15" thickBot="1">
      <c r="A1216" s="21"/>
      <c r="B1216" s="21"/>
      <c r="C1216" s="21"/>
      <c r="D1216" s="21"/>
    </row>
    <row r="1217" spans="1:4" ht="15" thickBot="1">
      <c r="A1217" s="21"/>
      <c r="B1217" s="21"/>
      <c r="C1217" s="21"/>
      <c r="D1217" s="21"/>
    </row>
    <row r="1218" spans="1:4" ht="15" thickBot="1">
      <c r="A1218" s="21"/>
      <c r="B1218" s="21"/>
      <c r="C1218" s="21"/>
      <c r="D1218" s="21"/>
    </row>
    <row r="1219" spans="1:4" ht="15" thickBot="1">
      <c r="A1219" s="21"/>
      <c r="B1219" s="21"/>
      <c r="C1219" s="21"/>
      <c r="D1219" s="21"/>
    </row>
    <row r="1220" spans="1:4" ht="15" thickBot="1">
      <c r="A1220" s="21"/>
      <c r="B1220" s="21"/>
      <c r="C1220" s="21"/>
      <c r="D1220" s="21"/>
    </row>
    <row r="1221" spans="1:4" ht="15" thickBot="1">
      <c r="A1221" s="21"/>
      <c r="B1221" s="21"/>
      <c r="C1221" s="21"/>
      <c r="D1221" s="21"/>
    </row>
    <row r="1222" spans="1:4" ht="15" thickBot="1">
      <c r="A1222" s="21"/>
      <c r="B1222" s="21"/>
      <c r="C1222" s="21"/>
      <c r="D1222" s="21"/>
    </row>
    <row r="1223" spans="1:4" ht="15" thickBot="1">
      <c r="A1223" s="21"/>
      <c r="B1223" s="21"/>
      <c r="C1223" s="21"/>
      <c r="D1223" s="21"/>
    </row>
    <row r="1224" spans="1:4" ht="15" thickBot="1">
      <c r="A1224" s="21"/>
      <c r="B1224" s="21"/>
      <c r="C1224" s="21"/>
      <c r="D1224" s="21"/>
    </row>
    <row r="1225" spans="1:4" ht="15" thickBot="1">
      <c r="A1225" s="21"/>
      <c r="B1225" s="21"/>
      <c r="C1225" s="21"/>
      <c r="D1225" s="21"/>
    </row>
    <row r="1226" spans="1:4" ht="15" thickBot="1">
      <c r="A1226" s="21"/>
      <c r="B1226" s="21"/>
      <c r="C1226" s="21"/>
      <c r="D1226" s="21"/>
    </row>
    <row r="1227" spans="1:4" ht="15" thickBot="1">
      <c r="A1227" s="21"/>
      <c r="B1227" s="21"/>
      <c r="C1227" s="21"/>
      <c r="D1227" s="21"/>
    </row>
    <row r="1228" spans="1:4" ht="15" thickBot="1">
      <c r="A1228" s="21"/>
      <c r="B1228" s="21"/>
      <c r="C1228" s="21"/>
      <c r="D1228" s="21"/>
    </row>
    <row r="1229" spans="1:4" ht="15" thickBot="1">
      <c r="A1229" s="21"/>
      <c r="B1229" s="21"/>
      <c r="C1229" s="21"/>
      <c r="D1229" s="21"/>
    </row>
    <row r="1230" spans="1:4" ht="15" thickBot="1">
      <c r="A1230" s="21"/>
      <c r="B1230" s="21"/>
      <c r="C1230" s="21"/>
      <c r="D1230" s="21"/>
    </row>
    <row r="1231" spans="1:4" ht="15" thickBot="1">
      <c r="A1231" s="21"/>
      <c r="B1231" s="21"/>
      <c r="C1231" s="21"/>
      <c r="D1231" s="21"/>
    </row>
    <row r="1232" spans="1:4" ht="15" thickBot="1">
      <c r="A1232" s="21"/>
      <c r="B1232" s="21"/>
      <c r="C1232" s="21"/>
      <c r="D1232" s="21"/>
    </row>
    <row r="1233" spans="1:4" ht="15" thickBot="1">
      <c r="A1233" s="21"/>
      <c r="B1233" s="21"/>
      <c r="C1233" s="21"/>
      <c r="D1233" s="21"/>
    </row>
    <row r="1234" spans="1:4" ht="15" thickBot="1">
      <c r="A1234" s="21"/>
      <c r="B1234" s="21"/>
      <c r="C1234" s="21"/>
      <c r="D1234" s="21"/>
    </row>
    <row r="1235" spans="1:4" ht="15" thickBot="1">
      <c r="A1235" s="21"/>
      <c r="B1235" s="21"/>
      <c r="C1235" s="21"/>
      <c r="D1235" s="21"/>
    </row>
    <row r="1236" spans="1:4" ht="15" thickBot="1">
      <c r="A1236" s="21"/>
      <c r="B1236" s="21"/>
      <c r="C1236" s="21"/>
      <c r="D1236" s="21"/>
    </row>
    <row r="1237" spans="1:4" ht="15" thickBot="1">
      <c r="A1237" s="21"/>
      <c r="B1237" s="21"/>
      <c r="C1237" s="21"/>
      <c r="D1237" s="21"/>
    </row>
    <row r="1238" spans="1:4" ht="15" thickBot="1">
      <c r="A1238" s="21"/>
      <c r="B1238" s="21"/>
      <c r="C1238" s="21"/>
      <c r="D1238" s="21"/>
    </row>
    <row r="1239" spans="1:4" ht="15" thickBot="1">
      <c r="A1239" s="21"/>
      <c r="B1239" s="21"/>
      <c r="C1239" s="21"/>
      <c r="D1239" s="21"/>
    </row>
    <row r="1240" spans="1:4" ht="15" thickBot="1">
      <c r="A1240" s="21"/>
      <c r="B1240" s="21"/>
      <c r="C1240" s="21"/>
      <c r="D1240" s="21"/>
    </row>
    <row r="1241" spans="1:4" ht="15" thickBot="1">
      <c r="A1241" s="21"/>
      <c r="B1241" s="21"/>
      <c r="C1241" s="21"/>
      <c r="D1241" s="21"/>
    </row>
    <row r="1242" spans="1:4" ht="15" thickBot="1">
      <c r="A1242" s="21"/>
      <c r="B1242" s="21"/>
      <c r="C1242" s="21"/>
      <c r="D1242" s="21"/>
    </row>
    <row r="1243" spans="1:4" ht="15" thickBot="1">
      <c r="A1243" s="21"/>
      <c r="B1243" s="21"/>
      <c r="C1243" s="21"/>
      <c r="D1243" s="21"/>
    </row>
    <row r="1244" spans="1:4" ht="15" thickBot="1">
      <c r="A1244" s="21"/>
      <c r="B1244" s="21"/>
      <c r="C1244" s="21"/>
      <c r="D1244" s="21"/>
    </row>
    <row r="1245" spans="1:4" ht="15" thickBot="1">
      <c r="A1245" s="21"/>
      <c r="B1245" s="21"/>
      <c r="C1245" s="21"/>
      <c r="D1245" s="21"/>
    </row>
    <row r="1246" spans="1:4" ht="15" thickBot="1">
      <c r="A1246" s="21"/>
      <c r="B1246" s="21"/>
      <c r="C1246" s="21"/>
      <c r="D1246" s="21"/>
    </row>
    <row r="1247" spans="1:4" ht="15" thickBot="1">
      <c r="A1247" s="21"/>
      <c r="B1247" s="21"/>
      <c r="C1247" s="21"/>
      <c r="D1247" s="21"/>
    </row>
    <row r="1248" spans="1:4" ht="15" thickBot="1">
      <c r="A1248" s="21"/>
      <c r="B1248" s="21"/>
      <c r="C1248" s="21"/>
      <c r="D1248" s="21"/>
    </row>
    <row r="1249" spans="1:4" ht="15" thickBot="1">
      <c r="A1249" s="21"/>
      <c r="B1249" s="21"/>
      <c r="C1249" s="21"/>
      <c r="D1249" s="21"/>
    </row>
    <row r="1250" spans="1:4" ht="15" thickBot="1">
      <c r="A1250" s="21"/>
      <c r="B1250" s="21"/>
      <c r="C1250" s="21"/>
      <c r="D1250" s="21"/>
    </row>
    <row r="1251" spans="1:4" ht="15" thickBot="1">
      <c r="A1251" s="21"/>
      <c r="B1251" s="21"/>
      <c r="C1251" s="21"/>
      <c r="D1251" s="21"/>
    </row>
    <row r="1252" spans="1:4" ht="15" thickBot="1">
      <c r="A1252" s="21"/>
      <c r="B1252" s="21"/>
      <c r="C1252" s="21"/>
      <c r="D1252" s="21"/>
    </row>
    <row r="1253" spans="1:4" ht="15" thickBot="1">
      <c r="A1253" s="21"/>
      <c r="B1253" s="21"/>
      <c r="C1253" s="21"/>
      <c r="D1253" s="21"/>
    </row>
    <row r="1254" spans="1:4" ht="15" thickBot="1">
      <c r="A1254" s="21"/>
      <c r="B1254" s="21"/>
      <c r="C1254" s="21"/>
      <c r="D1254" s="21"/>
    </row>
    <row r="1255" spans="1:4" ht="15" thickBot="1">
      <c r="A1255" s="21"/>
      <c r="B1255" s="21"/>
      <c r="C1255" s="21"/>
      <c r="D1255" s="21"/>
    </row>
    <row r="1256" spans="1:4" ht="15" thickBot="1">
      <c r="A1256" s="21"/>
      <c r="B1256" s="21"/>
      <c r="C1256" s="21"/>
      <c r="D1256" s="21"/>
    </row>
    <row r="1257" spans="1:4" ht="15" thickBot="1">
      <c r="A1257" s="21"/>
      <c r="B1257" s="21"/>
      <c r="C1257" s="21"/>
      <c r="D1257" s="21"/>
    </row>
    <row r="1258" spans="1:4" ht="15" thickBot="1">
      <c r="A1258" s="21"/>
      <c r="B1258" s="21"/>
      <c r="C1258" s="21"/>
      <c r="D1258" s="21"/>
    </row>
    <row r="1259" spans="1:4" ht="15" thickBot="1">
      <c r="A1259" s="21"/>
      <c r="B1259" s="21"/>
      <c r="C1259" s="21"/>
      <c r="D1259" s="21"/>
    </row>
    <row r="1260" spans="1:4" ht="15" thickBot="1">
      <c r="A1260" s="21"/>
      <c r="B1260" s="21"/>
      <c r="C1260" s="21"/>
      <c r="D1260" s="21"/>
    </row>
    <row r="1261" spans="1:4" ht="15" thickBot="1">
      <c r="A1261" s="21"/>
      <c r="B1261" s="21"/>
      <c r="C1261" s="21"/>
      <c r="D1261" s="21"/>
    </row>
    <row r="1262" spans="1:4" ht="15" thickBot="1">
      <c r="A1262" s="21"/>
      <c r="B1262" s="21"/>
      <c r="C1262" s="21"/>
      <c r="D1262" s="21"/>
    </row>
    <row r="1263" spans="1:4" ht="15" thickBot="1">
      <c r="A1263" s="21"/>
      <c r="B1263" s="21"/>
      <c r="C1263" s="21"/>
      <c r="D1263" s="21"/>
    </row>
    <row r="1264" spans="1:4" ht="15" thickBot="1">
      <c r="A1264" s="21"/>
      <c r="B1264" s="21"/>
      <c r="C1264" s="21"/>
      <c r="D1264" s="21"/>
    </row>
    <row r="1265" spans="1:4" ht="15" thickBot="1">
      <c r="A1265" s="21"/>
      <c r="B1265" s="21"/>
      <c r="C1265" s="21"/>
      <c r="D1265" s="21"/>
    </row>
    <row r="1266" spans="1:4" ht="15" thickBot="1">
      <c r="A1266" s="21"/>
      <c r="B1266" s="21"/>
      <c r="C1266" s="21"/>
      <c r="D1266" s="21"/>
    </row>
    <row r="1267" spans="1:4" ht="15" thickBot="1">
      <c r="A1267" s="21"/>
      <c r="B1267" s="21"/>
      <c r="C1267" s="21"/>
      <c r="D1267" s="21"/>
    </row>
    <row r="1268" spans="1:4" ht="15" thickBot="1">
      <c r="A1268" s="21"/>
      <c r="B1268" s="21"/>
      <c r="C1268" s="21"/>
      <c r="D1268" s="21"/>
    </row>
    <row r="1269" spans="1:4" ht="15" thickBot="1">
      <c r="A1269" s="21"/>
      <c r="B1269" s="21"/>
      <c r="C1269" s="21"/>
      <c r="D1269" s="21"/>
    </row>
    <row r="1270" spans="1:4" ht="15" thickBot="1">
      <c r="A1270" s="21"/>
      <c r="B1270" s="21"/>
      <c r="C1270" s="21"/>
      <c r="D1270" s="21"/>
    </row>
    <row r="1271" spans="1:4" ht="15" thickBot="1">
      <c r="A1271" s="21"/>
      <c r="B1271" s="21"/>
      <c r="C1271" s="21"/>
      <c r="D1271" s="21"/>
    </row>
    <row r="1272" spans="1:4" ht="15" thickBot="1">
      <c r="A1272" s="21"/>
      <c r="B1272" s="21"/>
      <c r="C1272" s="21"/>
      <c r="D1272" s="21"/>
    </row>
    <row r="1273" spans="1:4" ht="15" thickBot="1">
      <c r="A1273" s="21"/>
      <c r="B1273" s="21"/>
      <c r="C1273" s="21"/>
      <c r="D1273" s="21"/>
    </row>
    <row r="1274" spans="1:4" ht="15" thickBot="1">
      <c r="A1274" s="21"/>
      <c r="B1274" s="21"/>
      <c r="C1274" s="21"/>
      <c r="D1274" s="21"/>
    </row>
    <row r="1275" spans="1:4" ht="15" thickBot="1">
      <c r="A1275" s="21"/>
      <c r="B1275" s="21"/>
      <c r="C1275" s="21"/>
      <c r="D1275" s="21"/>
    </row>
    <row r="1276" spans="1:4" ht="15" thickBot="1">
      <c r="A1276" s="21"/>
      <c r="B1276" s="21"/>
      <c r="C1276" s="21"/>
      <c r="D1276" s="21"/>
    </row>
    <row r="1277" spans="1:4" ht="15" thickBot="1">
      <c r="A1277" s="21"/>
      <c r="B1277" s="21"/>
      <c r="C1277" s="21"/>
      <c r="D1277" s="21"/>
    </row>
    <row r="1278" spans="1:4" ht="15" thickBot="1">
      <c r="A1278" s="21"/>
      <c r="B1278" s="21"/>
      <c r="C1278" s="21"/>
      <c r="D1278" s="21"/>
    </row>
    <row r="1279" spans="1:4" ht="15" thickBot="1">
      <c r="A1279" s="21"/>
      <c r="B1279" s="21"/>
      <c r="C1279" s="21"/>
      <c r="D1279" s="21"/>
    </row>
    <row r="1280" spans="1:4" ht="15" thickBot="1">
      <c r="A1280" s="21"/>
      <c r="B1280" s="21"/>
      <c r="C1280" s="21"/>
      <c r="D1280" s="21"/>
    </row>
    <row r="1281" spans="1:4" ht="15" thickBot="1">
      <c r="A1281" s="21"/>
      <c r="B1281" s="21"/>
      <c r="C1281" s="21"/>
      <c r="D1281" s="21"/>
    </row>
    <row r="1282" spans="1:4" ht="15" thickBot="1">
      <c r="A1282" s="21"/>
      <c r="B1282" s="21"/>
      <c r="C1282" s="21"/>
      <c r="D1282" s="21"/>
    </row>
    <row r="1283" spans="1:4" ht="15" thickBot="1">
      <c r="A1283" s="21"/>
      <c r="B1283" s="21"/>
      <c r="C1283" s="21"/>
      <c r="D1283" s="21"/>
    </row>
    <row r="1284" spans="1:4" ht="15" thickBot="1">
      <c r="A1284" s="21"/>
      <c r="B1284" s="21"/>
      <c r="C1284" s="21"/>
      <c r="D1284" s="21"/>
    </row>
    <row r="1285" spans="1:4" ht="15" thickBot="1">
      <c r="A1285" s="21"/>
      <c r="B1285" s="21"/>
      <c r="C1285" s="21"/>
      <c r="D1285" s="21"/>
    </row>
    <row r="1286" spans="1:4" ht="15" thickBot="1">
      <c r="A1286" s="21"/>
      <c r="B1286" s="21"/>
      <c r="C1286" s="21"/>
      <c r="D1286" s="21"/>
    </row>
    <row r="1287" spans="1:4" ht="15" thickBot="1">
      <c r="A1287" s="21"/>
      <c r="B1287" s="21"/>
      <c r="C1287" s="21"/>
      <c r="D1287" s="21"/>
    </row>
    <row r="1288" spans="1:4" ht="15" thickBot="1">
      <c r="A1288" s="21"/>
      <c r="B1288" s="21"/>
      <c r="C1288" s="21"/>
      <c r="D1288" s="21"/>
    </row>
    <row r="1289" spans="1:4" ht="15" thickBot="1">
      <c r="A1289" s="21"/>
      <c r="B1289" s="21"/>
      <c r="C1289" s="21"/>
      <c r="D1289" s="21"/>
    </row>
    <row r="1290" spans="1:4" ht="15" thickBot="1">
      <c r="A1290" s="21"/>
      <c r="B1290" s="21"/>
      <c r="C1290" s="21"/>
      <c r="D1290" s="21"/>
    </row>
    <row r="1291" spans="1:4" ht="15" thickBot="1">
      <c r="A1291" s="21"/>
      <c r="B1291" s="21"/>
      <c r="C1291" s="21"/>
      <c r="D1291" s="21"/>
    </row>
    <row r="1292" spans="1:4" ht="15" thickBot="1">
      <c r="A1292" s="21"/>
      <c r="B1292" s="21"/>
      <c r="C1292" s="21"/>
      <c r="D1292" s="21"/>
    </row>
    <row r="1293" spans="1:4" ht="15" thickBot="1">
      <c r="A1293" s="21"/>
      <c r="B1293" s="21"/>
      <c r="C1293" s="21"/>
      <c r="D1293" s="21"/>
    </row>
    <row r="1294" spans="1:4" ht="15" thickBot="1">
      <c r="A1294" s="21"/>
      <c r="B1294" s="21"/>
      <c r="C1294" s="21"/>
      <c r="D1294" s="21"/>
    </row>
    <row r="1295" spans="1:4" ht="15" thickBot="1">
      <c r="A1295" s="21"/>
      <c r="B1295" s="21"/>
      <c r="C1295" s="21"/>
      <c r="D1295" s="21"/>
    </row>
    <row r="1296" spans="1:4" ht="15" thickBot="1">
      <c r="A1296" s="21"/>
      <c r="B1296" s="21"/>
      <c r="C1296" s="21"/>
      <c r="D1296" s="21"/>
    </row>
    <row r="1297" spans="1:4" ht="15" thickBot="1">
      <c r="A1297" s="21"/>
      <c r="B1297" s="21"/>
      <c r="C1297" s="21"/>
      <c r="D1297" s="21"/>
    </row>
    <row r="1298" spans="1:4" ht="15" thickBot="1">
      <c r="A1298" s="21"/>
      <c r="B1298" s="21"/>
      <c r="C1298" s="21"/>
      <c r="D1298" s="21"/>
    </row>
    <row r="1299" spans="1:4" ht="15" thickBot="1">
      <c r="A1299" s="21"/>
      <c r="B1299" s="21"/>
      <c r="C1299" s="21"/>
      <c r="D1299" s="21"/>
    </row>
    <row r="1300" spans="1:4" ht="15" thickBot="1">
      <c r="A1300" s="21"/>
      <c r="B1300" s="21"/>
      <c r="C1300" s="21"/>
      <c r="D1300" s="21"/>
    </row>
    <row r="1301" spans="1:4" ht="15" thickBot="1">
      <c r="A1301" s="21"/>
      <c r="B1301" s="21"/>
      <c r="C1301" s="21"/>
      <c r="D1301" s="21"/>
    </row>
    <row r="1302" spans="1:4" ht="15" thickBot="1">
      <c r="A1302" s="21"/>
      <c r="B1302" s="21"/>
      <c r="C1302" s="21"/>
      <c r="D1302" s="21"/>
    </row>
    <row r="1303" spans="1:4" ht="15" thickBot="1">
      <c r="A1303" s="21"/>
      <c r="B1303" s="21"/>
      <c r="C1303" s="21"/>
      <c r="D1303" s="21"/>
    </row>
    <row r="1304" spans="1:4" ht="15" thickBot="1">
      <c r="A1304" s="21"/>
      <c r="B1304" s="21"/>
      <c r="C1304" s="21"/>
      <c r="D1304" s="21"/>
    </row>
    <row r="1305" spans="1:4" ht="15" thickBot="1">
      <c r="A1305" s="21"/>
      <c r="B1305" s="21"/>
      <c r="C1305" s="21"/>
      <c r="D1305" s="21"/>
    </row>
    <row r="1306" spans="1:4" ht="15" thickBot="1">
      <c r="A1306" s="21"/>
      <c r="B1306" s="21"/>
      <c r="C1306" s="21"/>
      <c r="D1306" s="21"/>
    </row>
    <row r="1307" spans="1:4" ht="15" thickBot="1">
      <c r="A1307" s="21"/>
      <c r="B1307" s="21"/>
      <c r="C1307" s="21"/>
      <c r="D1307" s="21"/>
    </row>
    <row r="1308" spans="1:4" ht="15" thickBot="1">
      <c r="A1308" s="21"/>
      <c r="B1308" s="21"/>
      <c r="C1308" s="21"/>
      <c r="D1308" s="21"/>
    </row>
    <row r="1309" spans="1:4" ht="15" thickBot="1">
      <c r="A1309" s="21"/>
      <c r="B1309" s="21"/>
      <c r="C1309" s="21"/>
      <c r="D1309" s="21"/>
    </row>
    <row r="1310" spans="1:4" ht="15" thickBot="1">
      <c r="A1310" s="21"/>
      <c r="B1310" s="21"/>
      <c r="C1310" s="21"/>
      <c r="D1310" s="21"/>
    </row>
    <row r="1311" spans="1:4" ht="15" thickBot="1">
      <c r="A1311" s="21"/>
      <c r="B1311" s="21"/>
      <c r="C1311" s="21"/>
      <c r="D1311" s="21"/>
    </row>
    <row r="1312" spans="1:4" ht="15" thickBot="1">
      <c r="A1312" s="21"/>
      <c r="B1312" s="21"/>
      <c r="C1312" s="21"/>
      <c r="D1312" s="21"/>
    </row>
    <row r="1313" spans="1:4" ht="15" thickBot="1">
      <c r="A1313" s="21"/>
      <c r="B1313" s="21"/>
      <c r="C1313" s="21"/>
      <c r="D1313" s="21"/>
    </row>
    <row r="1314" spans="1:4" ht="15" thickBot="1">
      <c r="A1314" s="21"/>
      <c r="B1314" s="21"/>
      <c r="C1314" s="21"/>
      <c r="D1314" s="21"/>
    </row>
    <row r="1315" spans="1:4" ht="15" thickBot="1">
      <c r="A1315" s="21"/>
      <c r="B1315" s="21"/>
      <c r="C1315" s="21"/>
      <c r="D1315" s="21"/>
    </row>
    <row r="1316" spans="1:4" ht="15" thickBot="1">
      <c r="A1316" s="21"/>
      <c r="B1316" s="21"/>
      <c r="C1316" s="21"/>
      <c r="D1316" s="21"/>
    </row>
    <row r="1317" spans="1:4" ht="15" thickBot="1">
      <c r="A1317" s="21"/>
      <c r="B1317" s="21"/>
      <c r="C1317" s="21"/>
      <c r="D1317" s="21"/>
    </row>
    <row r="1318" spans="1:4" ht="15" thickBot="1">
      <c r="A1318" s="21"/>
      <c r="B1318" s="21"/>
      <c r="C1318" s="21"/>
      <c r="D1318" s="21"/>
    </row>
    <row r="1319" spans="1:4" ht="15" thickBot="1">
      <c r="A1319" s="21"/>
      <c r="B1319" s="21"/>
      <c r="C1319" s="21"/>
      <c r="D1319" s="21"/>
    </row>
    <row r="1320" spans="1:4" ht="15" thickBot="1">
      <c r="A1320" s="21"/>
      <c r="B1320" s="21"/>
      <c r="C1320" s="21"/>
      <c r="D1320" s="21"/>
    </row>
    <row r="1321" spans="1:4" ht="15" thickBot="1">
      <c r="A1321" s="21"/>
      <c r="B1321" s="21"/>
      <c r="C1321" s="21"/>
      <c r="D1321" s="21"/>
    </row>
    <row r="1322" spans="1:4" ht="15" thickBot="1">
      <c r="A1322" s="21"/>
      <c r="B1322" s="21"/>
      <c r="C1322" s="21"/>
      <c r="D1322" s="21"/>
    </row>
    <row r="1323" spans="1:4" ht="15" thickBot="1">
      <c r="A1323" s="21"/>
      <c r="B1323" s="21"/>
      <c r="C1323" s="21"/>
      <c r="D1323" s="21"/>
    </row>
    <row r="1324" spans="1:4" ht="15" thickBot="1">
      <c r="A1324" s="21"/>
      <c r="B1324" s="21"/>
      <c r="C1324" s="21"/>
      <c r="D1324" s="21"/>
    </row>
    <row r="1325" spans="1:4" ht="15" thickBot="1">
      <c r="A1325" s="21"/>
      <c r="B1325" s="21"/>
      <c r="C1325" s="21"/>
      <c r="D1325" s="21"/>
    </row>
    <row r="1326" spans="1:4" ht="15" thickBot="1">
      <c r="A1326" s="21"/>
      <c r="B1326" s="21"/>
      <c r="C1326" s="21"/>
      <c r="D1326" s="21"/>
    </row>
    <row r="1327" spans="1:4" ht="15" thickBot="1">
      <c r="A1327" s="21"/>
      <c r="B1327" s="21"/>
      <c r="C1327" s="21"/>
      <c r="D1327" s="21"/>
    </row>
    <row r="1328" spans="1:4" ht="15" thickBot="1">
      <c r="A1328" s="21"/>
      <c r="B1328" s="21"/>
      <c r="C1328" s="21"/>
      <c r="D1328" s="21"/>
    </row>
    <row r="1329" spans="1:4" ht="15" thickBot="1">
      <c r="A1329" s="21"/>
      <c r="B1329" s="21"/>
      <c r="C1329" s="21"/>
      <c r="D1329" s="21"/>
    </row>
    <row r="1330" spans="1:4" ht="15" thickBot="1">
      <c r="A1330" s="21"/>
      <c r="B1330" s="21"/>
      <c r="C1330" s="21"/>
      <c r="D1330" s="21"/>
    </row>
    <row r="1331" spans="1:4" ht="15" thickBot="1">
      <c r="A1331" s="21"/>
      <c r="B1331" s="21"/>
      <c r="C1331" s="21"/>
      <c r="D1331" s="21"/>
    </row>
    <row r="1332" spans="1:4" ht="15" thickBot="1">
      <c r="A1332" s="21"/>
      <c r="B1332" s="21"/>
      <c r="C1332" s="21"/>
      <c r="D1332" s="21"/>
    </row>
    <row r="1333" spans="1:4" ht="15" thickBot="1">
      <c r="A1333" s="21"/>
      <c r="B1333" s="21"/>
      <c r="C1333" s="21"/>
      <c r="D1333" s="21"/>
    </row>
    <row r="1334" spans="1:4" ht="15" thickBot="1">
      <c r="A1334" s="21"/>
      <c r="B1334" s="21"/>
      <c r="C1334" s="21"/>
      <c r="D1334" s="21"/>
    </row>
    <row r="1335" spans="1:4" ht="15" thickBot="1">
      <c r="A1335" s="21"/>
      <c r="B1335" s="21"/>
      <c r="C1335" s="21"/>
      <c r="D1335" s="21"/>
    </row>
    <row r="1336" spans="1:4" ht="15" thickBot="1">
      <c r="A1336" s="21"/>
      <c r="B1336" s="21"/>
      <c r="C1336" s="21"/>
      <c r="D1336" s="21"/>
    </row>
    <row r="1337" spans="1:4" ht="15" thickBot="1">
      <c r="A1337" s="21"/>
      <c r="B1337" s="21"/>
      <c r="C1337" s="21"/>
      <c r="D1337" s="21"/>
    </row>
    <row r="1338" spans="1:4" ht="15" thickBot="1">
      <c r="A1338" s="21"/>
      <c r="B1338" s="21"/>
      <c r="C1338" s="21"/>
      <c r="D1338" s="21"/>
    </row>
    <row r="1339" spans="1:4" ht="15" thickBot="1">
      <c r="A1339" s="21"/>
      <c r="B1339" s="21"/>
      <c r="C1339" s="21"/>
      <c r="D1339" s="21"/>
    </row>
    <row r="1340" spans="1:4" ht="15" thickBot="1">
      <c r="A1340" s="21"/>
      <c r="B1340" s="21"/>
      <c r="C1340" s="21"/>
      <c r="D1340" s="21"/>
    </row>
    <row r="1341" spans="1:4" ht="15" thickBot="1">
      <c r="A1341" s="21"/>
      <c r="B1341" s="21"/>
      <c r="C1341" s="21"/>
      <c r="D1341" s="21"/>
    </row>
    <row r="1342" spans="1:4" ht="15" thickBot="1">
      <c r="A1342" s="21"/>
      <c r="B1342" s="21"/>
      <c r="C1342" s="21"/>
      <c r="D1342" s="21"/>
    </row>
    <row r="1343" spans="1:4" ht="15" thickBot="1">
      <c r="A1343" s="21"/>
      <c r="B1343" s="21"/>
      <c r="C1343" s="21"/>
      <c r="D1343" s="21"/>
    </row>
    <row r="1344" spans="1:4" ht="15" thickBot="1">
      <c r="A1344" s="21"/>
      <c r="B1344" s="21"/>
      <c r="C1344" s="21"/>
      <c r="D1344" s="21"/>
    </row>
    <row r="1345" spans="1:4" ht="15" thickBot="1">
      <c r="A1345" s="21"/>
      <c r="B1345" s="21"/>
      <c r="C1345" s="21"/>
      <c r="D1345" s="21"/>
    </row>
    <row r="1346" spans="1:4" ht="15" thickBot="1">
      <c r="A1346" s="21"/>
      <c r="B1346" s="21"/>
      <c r="C1346" s="21"/>
      <c r="D1346" s="21"/>
    </row>
    <row r="1347" spans="1:4" ht="15" thickBot="1">
      <c r="A1347" s="21"/>
      <c r="B1347" s="21"/>
      <c r="C1347" s="21"/>
      <c r="D1347" s="21"/>
    </row>
    <row r="1348" spans="1:4" ht="15" thickBot="1">
      <c r="A1348" s="21"/>
      <c r="B1348" s="21"/>
      <c r="C1348" s="21"/>
      <c r="D1348" s="21"/>
    </row>
    <row r="1349" spans="1:4" ht="15" thickBot="1">
      <c r="A1349" s="21"/>
      <c r="B1349" s="21"/>
      <c r="C1349" s="21"/>
      <c r="D1349" s="21"/>
    </row>
    <row r="1350" spans="1:4" ht="15" thickBot="1">
      <c r="A1350" s="21"/>
      <c r="B1350" s="21"/>
      <c r="C1350" s="21"/>
      <c r="D1350" s="21"/>
    </row>
    <row r="1351" spans="1:4" ht="15" thickBot="1">
      <c r="A1351" s="21"/>
      <c r="B1351" s="21"/>
      <c r="C1351" s="21"/>
      <c r="D1351" s="21"/>
    </row>
    <row r="1352" spans="1:4" ht="15" thickBot="1">
      <c r="A1352" s="21"/>
      <c r="B1352" s="21"/>
      <c r="C1352" s="21"/>
      <c r="D1352" s="21"/>
    </row>
    <row r="1353" spans="1:4" ht="15" thickBot="1">
      <c r="A1353" s="21"/>
      <c r="B1353" s="21"/>
      <c r="C1353" s="21"/>
      <c r="D1353" s="21"/>
    </row>
    <row r="1354" spans="1:4" ht="15" thickBot="1">
      <c r="A1354" s="21"/>
      <c r="B1354" s="21"/>
      <c r="C1354" s="21"/>
      <c r="D1354" s="21"/>
    </row>
    <row r="1355" spans="1:4" ht="15" thickBot="1">
      <c r="A1355" s="21"/>
      <c r="B1355" s="21"/>
      <c r="C1355" s="21"/>
      <c r="D1355" s="21"/>
    </row>
    <row r="1356" spans="1:4" ht="15" thickBot="1">
      <c r="A1356" s="21"/>
      <c r="B1356" s="21"/>
      <c r="C1356" s="21"/>
      <c r="D1356" s="21"/>
    </row>
    <row r="1357" spans="1:4" ht="15" thickBot="1">
      <c r="A1357" s="21"/>
      <c r="B1357" s="21"/>
      <c r="C1357" s="21"/>
      <c r="D1357" s="21"/>
    </row>
    <row r="1358" spans="1:4" ht="15" thickBot="1">
      <c r="A1358" s="21"/>
      <c r="B1358" s="21"/>
      <c r="C1358" s="21"/>
      <c r="D1358" s="21"/>
    </row>
    <row r="1359" spans="1:4" ht="15" thickBot="1">
      <c r="A1359" s="21"/>
      <c r="B1359" s="21"/>
      <c r="C1359" s="21"/>
      <c r="D1359" s="21"/>
    </row>
    <row r="1360" spans="1:4" ht="15" thickBot="1">
      <c r="A1360" s="21"/>
      <c r="B1360" s="21"/>
      <c r="C1360" s="21"/>
      <c r="D1360" s="21"/>
    </row>
    <row r="1361" spans="1:4" ht="15" thickBot="1">
      <c r="A1361" s="21"/>
      <c r="B1361" s="21"/>
      <c r="C1361" s="21"/>
      <c r="D1361" s="21"/>
    </row>
    <row r="1362" spans="1:4" ht="15" thickBot="1">
      <c r="A1362" s="21"/>
      <c r="B1362" s="21"/>
      <c r="C1362" s="21"/>
      <c r="D1362" s="21"/>
    </row>
    <row r="1363" spans="1:4" ht="15" thickBot="1">
      <c r="A1363" s="21"/>
      <c r="B1363" s="21"/>
      <c r="C1363" s="21"/>
      <c r="D1363" s="21"/>
    </row>
    <row r="1364" spans="1:4" ht="15" thickBot="1">
      <c r="A1364" s="21"/>
      <c r="B1364" s="21"/>
      <c r="C1364" s="21"/>
      <c r="D1364" s="21"/>
    </row>
    <row r="1365" spans="1:4" ht="15" thickBot="1">
      <c r="A1365" s="21"/>
      <c r="B1365" s="21"/>
      <c r="C1365" s="21"/>
      <c r="D1365" s="21"/>
    </row>
    <row r="1366" spans="1:4" ht="15" thickBot="1">
      <c r="A1366" s="21"/>
      <c r="B1366" s="21"/>
      <c r="C1366" s="21"/>
      <c r="D1366" s="21"/>
    </row>
    <row r="1367" spans="1:4" ht="15" thickBot="1">
      <c r="A1367" s="21"/>
      <c r="B1367" s="21"/>
      <c r="C1367" s="21"/>
      <c r="D1367" s="21"/>
    </row>
    <row r="1368" spans="1:4" ht="15" thickBot="1">
      <c r="A1368" s="21"/>
      <c r="B1368" s="21"/>
      <c r="C1368" s="21"/>
      <c r="D1368" s="21"/>
    </row>
    <row r="1369" spans="1:4" ht="15" thickBot="1">
      <c r="A1369" s="21"/>
      <c r="B1369" s="21"/>
      <c r="C1369" s="21"/>
      <c r="D1369" s="21"/>
    </row>
    <row r="1370" spans="1:4" ht="15" thickBot="1">
      <c r="A1370" s="21"/>
      <c r="B1370" s="21"/>
      <c r="C1370" s="21"/>
      <c r="D1370" s="21"/>
    </row>
    <row r="1371" spans="1:4" ht="15" thickBot="1">
      <c r="A1371" s="21"/>
      <c r="B1371" s="21"/>
      <c r="C1371" s="21"/>
      <c r="D1371" s="21"/>
    </row>
    <row r="1372" spans="1:4" ht="15" thickBot="1">
      <c r="A1372" s="21"/>
      <c r="B1372" s="21"/>
      <c r="C1372" s="21"/>
      <c r="D1372" s="21"/>
    </row>
    <row r="1373" spans="1:4" ht="15" thickBot="1">
      <c r="A1373" s="21"/>
      <c r="B1373" s="21"/>
      <c r="C1373" s="21"/>
      <c r="D1373" s="21"/>
    </row>
    <row r="1374" spans="1:4" ht="15" thickBot="1">
      <c r="A1374" s="21"/>
      <c r="B1374" s="21"/>
      <c r="C1374" s="21"/>
      <c r="D1374" s="21"/>
    </row>
    <row r="1375" spans="1:4" ht="15" thickBot="1">
      <c r="A1375" s="21"/>
      <c r="B1375" s="21"/>
      <c r="C1375" s="21"/>
      <c r="D1375" s="21"/>
    </row>
    <row r="1376" spans="1:4" ht="15" thickBot="1">
      <c r="A1376" s="21"/>
      <c r="B1376" s="21"/>
      <c r="C1376" s="21"/>
      <c r="D1376" s="21"/>
    </row>
    <row r="1377" spans="1:4" ht="15" thickBot="1">
      <c r="A1377" s="21"/>
      <c r="B1377" s="21"/>
      <c r="C1377" s="21"/>
      <c r="D1377" s="21"/>
    </row>
    <row r="1378" spans="1:4" ht="15" thickBot="1">
      <c r="A1378" s="21"/>
      <c r="B1378" s="21"/>
      <c r="C1378" s="21"/>
      <c r="D1378" s="21"/>
    </row>
    <row r="1379" spans="1:4" ht="15" thickBot="1">
      <c r="A1379" s="21"/>
      <c r="B1379" s="21"/>
      <c r="C1379" s="21"/>
      <c r="D1379" s="21"/>
    </row>
    <row r="1380" spans="1:4" ht="15" thickBot="1">
      <c r="A1380" s="21"/>
      <c r="B1380" s="21"/>
      <c r="C1380" s="21"/>
      <c r="D1380" s="21"/>
    </row>
    <row r="1381" spans="1:4" ht="15" thickBot="1">
      <c r="A1381" s="21"/>
      <c r="B1381" s="21"/>
      <c r="C1381" s="21"/>
      <c r="D1381" s="21"/>
    </row>
    <row r="1382" spans="1:4" ht="15" thickBot="1">
      <c r="A1382" s="21"/>
      <c r="B1382" s="21"/>
      <c r="C1382" s="21"/>
      <c r="D1382" s="21"/>
    </row>
    <row r="1383" spans="1:4" ht="15" thickBot="1">
      <c r="A1383" s="21"/>
      <c r="B1383" s="21"/>
      <c r="C1383" s="21"/>
      <c r="D1383" s="21"/>
    </row>
    <row r="1384" spans="1:4" ht="15" thickBot="1">
      <c r="A1384" s="21"/>
      <c r="B1384" s="21"/>
      <c r="C1384" s="21"/>
      <c r="D1384" s="21"/>
    </row>
    <row r="1385" spans="1:4" ht="15" thickBot="1">
      <c r="A1385" s="21"/>
      <c r="B1385" s="21"/>
      <c r="C1385" s="21"/>
      <c r="D1385" s="21"/>
    </row>
    <row r="1386" spans="1:4" ht="15" thickBot="1">
      <c r="A1386" s="21"/>
      <c r="B1386" s="21"/>
      <c r="C1386" s="21"/>
      <c r="D1386" s="21"/>
    </row>
    <row r="1387" spans="1:4" ht="15" thickBot="1">
      <c r="A1387" s="21"/>
      <c r="B1387" s="21"/>
      <c r="C1387" s="21"/>
      <c r="D1387" s="21"/>
    </row>
    <row r="1388" spans="1:4" ht="15" thickBot="1">
      <c r="A1388" s="21"/>
      <c r="B1388" s="21"/>
      <c r="C1388" s="21"/>
      <c r="D1388" s="21"/>
    </row>
    <row r="1389" spans="1:4" ht="15" thickBot="1">
      <c r="A1389" s="21"/>
      <c r="B1389" s="21"/>
      <c r="C1389" s="21"/>
      <c r="D1389" s="21"/>
    </row>
    <row r="1390" spans="1:4" ht="15" thickBot="1">
      <c r="A1390" s="21"/>
      <c r="B1390" s="21"/>
      <c r="C1390" s="21"/>
      <c r="D1390" s="21"/>
    </row>
    <row r="1391" spans="1:4" ht="15" thickBot="1">
      <c r="A1391" s="21"/>
      <c r="B1391" s="21"/>
      <c r="C1391" s="21"/>
      <c r="D1391" s="21"/>
    </row>
    <row r="1392" spans="1:4" ht="15" thickBot="1">
      <c r="A1392" s="21"/>
      <c r="B1392" s="21"/>
      <c r="C1392" s="21"/>
      <c r="D1392" s="21"/>
    </row>
    <row r="1393" spans="1:4" ht="15" thickBot="1">
      <c r="A1393" s="21"/>
      <c r="B1393" s="21"/>
      <c r="C1393" s="21"/>
      <c r="D1393" s="21"/>
    </row>
    <row r="1394" spans="1:4" ht="15" thickBot="1">
      <c r="A1394" s="21"/>
      <c r="B1394" s="21"/>
      <c r="C1394" s="21"/>
      <c r="D1394" s="21"/>
    </row>
    <row r="1395" spans="1:4" ht="15" thickBot="1">
      <c r="A1395" s="21"/>
      <c r="B1395" s="21"/>
      <c r="C1395" s="21"/>
      <c r="D1395" s="21"/>
    </row>
    <row r="1396" spans="1:4" ht="15" thickBot="1">
      <c r="A1396" s="21"/>
      <c r="B1396" s="21"/>
      <c r="C1396" s="21"/>
      <c r="D1396" s="21"/>
    </row>
    <row r="1397" spans="1:4" ht="15" thickBot="1">
      <c r="A1397" s="21"/>
      <c r="B1397" s="21"/>
      <c r="C1397" s="21"/>
      <c r="D1397" s="21"/>
    </row>
    <row r="1398" spans="1:4" ht="15" thickBot="1">
      <c r="A1398" s="21"/>
      <c r="B1398" s="21"/>
      <c r="C1398" s="21"/>
      <c r="D1398" s="21"/>
    </row>
    <row r="1399" spans="1:4" ht="15" thickBot="1">
      <c r="A1399" s="21"/>
      <c r="B1399" s="21"/>
      <c r="C1399" s="21"/>
      <c r="D1399" s="21"/>
    </row>
    <row r="1400" spans="1:4" ht="15" thickBot="1">
      <c r="A1400" s="21"/>
      <c r="B1400" s="21"/>
      <c r="C1400" s="21"/>
      <c r="D1400" s="21"/>
    </row>
    <row r="1401" spans="1:4" ht="15" thickBot="1">
      <c r="A1401" s="21"/>
      <c r="B1401" s="21"/>
      <c r="C1401" s="21"/>
      <c r="D1401" s="21"/>
    </row>
    <row r="1402" spans="1:4" ht="15" thickBot="1">
      <c r="A1402" s="21"/>
      <c r="B1402" s="21"/>
      <c r="C1402" s="21"/>
      <c r="D1402" s="21"/>
    </row>
    <row r="1403" spans="1:4" ht="15" thickBot="1">
      <c r="A1403" s="21"/>
      <c r="B1403" s="21"/>
      <c r="C1403" s="21"/>
      <c r="D1403" s="21"/>
    </row>
    <row r="1404" spans="1:4" ht="15" thickBot="1">
      <c r="A1404" s="21"/>
      <c r="B1404" s="21"/>
      <c r="C1404" s="21"/>
      <c r="D1404" s="21"/>
    </row>
    <row r="1405" spans="1:4" ht="15" thickBot="1">
      <c r="A1405" s="21"/>
      <c r="B1405" s="21"/>
      <c r="C1405" s="21"/>
      <c r="D1405" s="21"/>
    </row>
    <row r="1406" spans="1:4" ht="15" thickBot="1">
      <c r="A1406" s="21"/>
      <c r="B1406" s="21"/>
      <c r="C1406" s="21"/>
      <c r="D1406" s="21"/>
    </row>
    <row r="1407" spans="1:4" ht="15" thickBot="1">
      <c r="A1407" s="21"/>
      <c r="B1407" s="21"/>
      <c r="C1407" s="21"/>
      <c r="D1407" s="21"/>
    </row>
    <row r="1408" spans="1:4" ht="15" thickBot="1">
      <c r="A1408" s="21"/>
      <c r="B1408" s="21"/>
      <c r="C1408" s="21"/>
      <c r="D1408" s="21"/>
    </row>
    <row r="1409" spans="1:4" ht="15" thickBot="1">
      <c r="A1409" s="21"/>
      <c r="B1409" s="21"/>
      <c r="C1409" s="21"/>
      <c r="D1409" s="21"/>
    </row>
    <row r="1410" spans="1:4" ht="15" thickBot="1">
      <c r="A1410" s="21"/>
      <c r="B1410" s="21"/>
      <c r="C1410" s="21"/>
      <c r="D1410" s="21"/>
    </row>
    <row r="1411" spans="1:4" ht="15" thickBot="1">
      <c r="A1411" s="21"/>
      <c r="B1411" s="21"/>
      <c r="C1411" s="21"/>
      <c r="D1411" s="21"/>
    </row>
    <row r="1412" spans="1:4" ht="15" thickBot="1">
      <c r="A1412" s="21"/>
      <c r="B1412" s="21"/>
      <c r="C1412" s="21"/>
      <c r="D1412" s="21"/>
    </row>
    <row r="1413" spans="1:4" ht="15" thickBot="1">
      <c r="A1413" s="21"/>
      <c r="B1413" s="21"/>
      <c r="C1413" s="21"/>
      <c r="D1413" s="21"/>
    </row>
    <row r="1414" spans="1:4" ht="15" thickBot="1">
      <c r="A1414" s="21"/>
      <c r="B1414" s="21"/>
      <c r="C1414" s="21"/>
      <c r="D1414" s="21"/>
    </row>
    <row r="1415" spans="1:4" ht="15" thickBot="1">
      <c r="A1415" s="21"/>
      <c r="B1415" s="21"/>
      <c r="C1415" s="21"/>
      <c r="D1415" s="21"/>
    </row>
    <row r="1416" spans="1:4" ht="15" thickBot="1">
      <c r="A1416" s="21"/>
      <c r="B1416" s="21"/>
      <c r="C1416" s="21"/>
      <c r="D1416" s="21"/>
    </row>
    <row r="1417" spans="1:4" ht="15" thickBot="1">
      <c r="A1417" s="21"/>
      <c r="B1417" s="21"/>
      <c r="C1417" s="21"/>
      <c r="D1417" s="21"/>
    </row>
    <row r="1418" spans="1:4" ht="15" thickBot="1">
      <c r="A1418" s="21"/>
      <c r="B1418" s="21"/>
      <c r="C1418" s="21"/>
      <c r="D1418" s="21"/>
    </row>
    <row r="1419" spans="1:4" ht="15" thickBot="1">
      <c r="A1419" s="21"/>
      <c r="B1419" s="21"/>
      <c r="C1419" s="21"/>
      <c r="D1419" s="21"/>
    </row>
    <row r="1420" spans="1:4" ht="15" thickBot="1">
      <c r="A1420" s="21"/>
      <c r="B1420" s="21"/>
      <c r="C1420" s="21"/>
      <c r="D1420" s="21"/>
    </row>
    <row r="1421" spans="1:4" ht="15" thickBot="1">
      <c r="A1421" s="21"/>
      <c r="B1421" s="21"/>
      <c r="C1421" s="21"/>
      <c r="D1421" s="21"/>
    </row>
    <row r="1422" spans="1:4" ht="15" thickBot="1">
      <c r="A1422" s="21"/>
      <c r="B1422" s="21"/>
      <c r="C1422" s="21"/>
      <c r="D1422" s="21"/>
    </row>
    <row r="1423" spans="1:4" ht="15" thickBot="1">
      <c r="A1423" s="21"/>
      <c r="B1423" s="21"/>
      <c r="C1423" s="21"/>
      <c r="D1423" s="21"/>
    </row>
    <row r="1424" spans="1:4" ht="15" thickBot="1">
      <c r="A1424" s="21"/>
      <c r="B1424" s="21"/>
      <c r="C1424" s="21"/>
      <c r="D1424" s="21"/>
    </row>
    <row r="1425" spans="1:4" ht="15" thickBot="1">
      <c r="A1425" s="21"/>
      <c r="B1425" s="21"/>
      <c r="C1425" s="21"/>
      <c r="D1425" s="21"/>
    </row>
    <row r="1426" spans="1:4" ht="15" thickBot="1">
      <c r="A1426" s="21"/>
      <c r="B1426" s="21"/>
      <c r="C1426" s="21"/>
      <c r="D1426" s="21"/>
    </row>
    <row r="1427" spans="1:4" ht="15" thickBot="1">
      <c r="A1427" s="21"/>
      <c r="B1427" s="21"/>
      <c r="C1427" s="21"/>
      <c r="D1427" s="21"/>
    </row>
    <row r="1428" spans="1:4" ht="15" thickBot="1">
      <c r="A1428" s="21"/>
      <c r="B1428" s="21"/>
      <c r="C1428" s="21"/>
      <c r="D1428" s="21"/>
    </row>
    <row r="1429" spans="1:4" ht="15" thickBot="1">
      <c r="A1429" s="21"/>
      <c r="B1429" s="21"/>
      <c r="C1429" s="21"/>
      <c r="D1429" s="21"/>
    </row>
    <row r="1430" spans="1:4" ht="15" thickBot="1">
      <c r="A1430" s="21"/>
      <c r="B1430" s="21"/>
      <c r="C1430" s="21"/>
      <c r="D1430" s="21"/>
    </row>
    <row r="1431" spans="1:4" ht="15" thickBot="1">
      <c r="A1431" s="21"/>
      <c r="B1431" s="21"/>
      <c r="C1431" s="21"/>
      <c r="D1431" s="21"/>
    </row>
    <row r="1432" spans="1:4" ht="15" thickBot="1">
      <c r="A1432" s="21"/>
      <c r="B1432" s="21"/>
      <c r="C1432" s="21"/>
      <c r="D1432" s="21"/>
    </row>
    <row r="1433" spans="1:4" ht="15" thickBot="1">
      <c r="A1433" s="21"/>
      <c r="B1433" s="21"/>
      <c r="C1433" s="21"/>
      <c r="D1433" s="21"/>
    </row>
    <row r="1434" spans="1:4" ht="15" thickBot="1">
      <c r="A1434" s="21"/>
      <c r="B1434" s="21"/>
      <c r="C1434" s="21"/>
      <c r="D1434" s="21"/>
    </row>
    <row r="1435" spans="1:4" ht="15" thickBot="1">
      <c r="A1435" s="21"/>
      <c r="B1435" s="21"/>
      <c r="C1435" s="21"/>
      <c r="D1435" s="21"/>
    </row>
    <row r="1436" spans="1:4" ht="15" thickBot="1">
      <c r="A1436" s="21"/>
      <c r="B1436" s="21"/>
      <c r="C1436" s="21"/>
      <c r="D1436" s="21"/>
    </row>
    <row r="1437" spans="1:4" ht="15" thickBot="1">
      <c r="A1437" s="21"/>
      <c r="B1437" s="21"/>
      <c r="C1437" s="21"/>
      <c r="D1437" s="21"/>
    </row>
    <row r="1438" spans="1:4" ht="15" thickBot="1">
      <c r="A1438" s="21"/>
      <c r="B1438" s="21"/>
      <c r="C1438" s="21"/>
      <c r="D1438" s="21"/>
    </row>
    <row r="1439" spans="1:4" ht="15" thickBot="1">
      <c r="A1439" s="21"/>
      <c r="B1439" s="21"/>
      <c r="C1439" s="21"/>
      <c r="D1439" s="21"/>
    </row>
    <row r="1440" spans="1:4" ht="15" thickBot="1">
      <c r="A1440" s="21"/>
      <c r="B1440" s="21"/>
      <c r="C1440" s="21"/>
      <c r="D1440" s="21"/>
    </row>
    <row r="1441" spans="1:4" ht="15" thickBot="1">
      <c r="A1441" s="21"/>
      <c r="B1441" s="21"/>
      <c r="C1441" s="21"/>
      <c r="D1441" s="21"/>
    </row>
    <row r="1442" spans="1:4" ht="15" thickBot="1">
      <c r="A1442" s="21"/>
      <c r="B1442" s="21"/>
      <c r="C1442" s="21"/>
      <c r="D1442" s="21"/>
    </row>
    <row r="1443" spans="1:4" ht="15" thickBot="1">
      <c r="A1443" s="21"/>
      <c r="B1443" s="21"/>
      <c r="C1443" s="21"/>
      <c r="D1443" s="21"/>
    </row>
    <row r="1444" spans="1:4" ht="15" thickBot="1">
      <c r="A1444" s="21"/>
      <c r="B1444" s="21"/>
      <c r="C1444" s="21"/>
      <c r="D1444" s="21"/>
    </row>
    <row r="1445" spans="1:4" ht="15" thickBot="1">
      <c r="A1445" s="21"/>
      <c r="B1445" s="21"/>
      <c r="C1445" s="21"/>
      <c r="D1445" s="21"/>
    </row>
    <row r="1446" spans="1:4" ht="15" thickBot="1">
      <c r="A1446" s="21"/>
      <c r="B1446" s="21"/>
      <c r="C1446" s="21"/>
      <c r="D1446" s="21"/>
    </row>
    <row r="1447" spans="1:4" ht="15" thickBot="1">
      <c r="A1447" s="21"/>
      <c r="B1447" s="21"/>
      <c r="C1447" s="21"/>
      <c r="D1447" s="21"/>
    </row>
    <row r="1448" spans="1:4" ht="15" thickBot="1">
      <c r="A1448" s="21"/>
      <c r="B1448" s="21"/>
      <c r="C1448" s="21"/>
      <c r="D1448" s="21"/>
    </row>
    <row r="1449" spans="1:4" ht="15" thickBot="1">
      <c r="A1449" s="21"/>
      <c r="B1449" s="21"/>
      <c r="C1449" s="21"/>
      <c r="D1449" s="21"/>
    </row>
    <row r="1450" spans="1:4" ht="15" thickBot="1">
      <c r="A1450" s="21"/>
      <c r="B1450" s="21"/>
      <c r="C1450" s="21"/>
      <c r="D1450" s="21"/>
    </row>
    <row r="1451" spans="1:4" ht="15" thickBot="1">
      <c r="A1451" s="21"/>
      <c r="B1451" s="21"/>
      <c r="C1451" s="21"/>
      <c r="D1451" s="21"/>
    </row>
    <row r="1452" spans="1:4" ht="15" thickBot="1">
      <c r="A1452" s="21"/>
      <c r="B1452" s="21"/>
      <c r="C1452" s="21"/>
      <c r="D1452" s="21"/>
    </row>
    <row r="1453" spans="1:4" ht="15" thickBot="1">
      <c r="A1453" s="21"/>
      <c r="B1453" s="21"/>
      <c r="C1453" s="21"/>
      <c r="D1453" s="21"/>
    </row>
    <row r="1454" spans="1:4" ht="15" thickBot="1">
      <c r="A1454" s="21"/>
      <c r="B1454" s="21"/>
      <c r="C1454" s="21"/>
      <c r="D1454" s="21"/>
    </row>
    <row r="1455" spans="1:4" ht="15" thickBot="1">
      <c r="A1455" s="21"/>
      <c r="B1455" s="21"/>
      <c r="C1455" s="21"/>
      <c r="D1455" s="21"/>
    </row>
    <row r="1456" spans="1:4" ht="15" thickBot="1">
      <c r="A1456" s="21"/>
      <c r="B1456" s="21"/>
      <c r="C1456" s="21"/>
      <c r="D1456" s="21"/>
    </row>
    <row r="1457" spans="1:4" ht="15" thickBot="1">
      <c r="A1457" s="21"/>
      <c r="B1457" s="21"/>
      <c r="C1457" s="21"/>
      <c r="D1457" s="21"/>
    </row>
    <row r="1458" spans="1:4" ht="15" thickBot="1">
      <c r="A1458" s="21"/>
      <c r="B1458" s="21"/>
      <c r="C1458" s="21"/>
      <c r="D1458" s="21"/>
    </row>
    <row r="1459" spans="1:4" ht="15" thickBot="1">
      <c r="A1459" s="21"/>
      <c r="B1459" s="21"/>
      <c r="C1459" s="21"/>
      <c r="D1459" s="21"/>
    </row>
    <row r="1460" spans="1:4" ht="15" thickBot="1">
      <c r="A1460" s="21"/>
      <c r="B1460" s="21"/>
      <c r="C1460" s="21"/>
      <c r="D1460" s="21"/>
    </row>
    <row r="1461" spans="1:4" ht="15" thickBot="1">
      <c r="A1461" s="21"/>
      <c r="B1461" s="21"/>
      <c r="C1461" s="21"/>
      <c r="D1461" s="21"/>
    </row>
    <row r="1462" spans="1:4" ht="15" thickBot="1">
      <c r="A1462" s="21"/>
      <c r="B1462" s="21"/>
      <c r="C1462" s="21"/>
      <c r="D1462" s="21"/>
    </row>
    <row r="1463" spans="1:4" ht="15" thickBot="1">
      <c r="A1463" s="21"/>
      <c r="B1463" s="21"/>
      <c r="C1463" s="21"/>
      <c r="D1463" s="21"/>
    </row>
    <row r="1464" spans="1:4" ht="15" thickBot="1">
      <c r="A1464" s="21"/>
      <c r="B1464" s="21"/>
      <c r="C1464" s="21"/>
      <c r="D1464" s="21"/>
    </row>
    <row r="1465" spans="1:4" ht="15" thickBot="1">
      <c r="A1465" s="21"/>
      <c r="B1465" s="21"/>
      <c r="C1465" s="21"/>
      <c r="D1465" s="21"/>
    </row>
    <row r="1466" spans="1:4" ht="15" thickBot="1">
      <c r="A1466" s="21"/>
      <c r="B1466" s="21"/>
      <c r="C1466" s="21"/>
      <c r="D1466" s="21"/>
    </row>
    <row r="1467" spans="1:4" ht="15" thickBot="1">
      <c r="A1467" s="21"/>
      <c r="B1467" s="21"/>
      <c r="C1467" s="21"/>
      <c r="D1467" s="21"/>
    </row>
    <row r="1468" spans="1:4" ht="15" thickBot="1">
      <c r="A1468" s="21"/>
      <c r="B1468" s="21"/>
      <c r="C1468" s="21"/>
      <c r="D1468" s="21"/>
    </row>
    <row r="1469" spans="1:4" ht="15" thickBot="1">
      <c r="A1469" s="21"/>
      <c r="B1469" s="21"/>
      <c r="C1469" s="21"/>
      <c r="D1469" s="21"/>
    </row>
    <row r="1470" spans="1:4" ht="15" thickBot="1">
      <c r="A1470" s="21"/>
      <c r="B1470" s="21"/>
      <c r="C1470" s="21"/>
      <c r="D1470" s="21"/>
    </row>
    <row r="1471" spans="1:4" ht="15" thickBot="1">
      <c r="A1471" s="21"/>
      <c r="B1471" s="21"/>
      <c r="C1471" s="21"/>
      <c r="D1471" s="21"/>
    </row>
    <row r="1472" spans="1:4" ht="15" thickBot="1">
      <c r="A1472" s="21"/>
      <c r="B1472" s="21"/>
      <c r="C1472" s="21"/>
      <c r="D1472" s="21"/>
    </row>
    <row r="1473" spans="1:4" ht="15" thickBot="1">
      <c r="A1473" s="21"/>
      <c r="B1473" s="21"/>
      <c r="C1473" s="21"/>
      <c r="D1473" s="21"/>
    </row>
    <row r="1474" spans="1:4" ht="15" thickBot="1">
      <c r="A1474" s="21"/>
      <c r="B1474" s="21"/>
      <c r="C1474" s="21"/>
      <c r="D1474" s="21"/>
    </row>
    <row r="1475" spans="1:4" ht="15" thickBot="1">
      <c r="A1475" s="21"/>
      <c r="B1475" s="21"/>
      <c r="C1475" s="21"/>
      <c r="D1475" s="21"/>
    </row>
    <row r="1476" spans="1:4" ht="15" thickBot="1">
      <c r="A1476" s="21"/>
      <c r="B1476" s="21"/>
      <c r="C1476" s="21"/>
      <c r="D1476" s="21"/>
    </row>
    <row r="1477" spans="1:4" ht="15" thickBot="1">
      <c r="A1477" s="21"/>
      <c r="B1477" s="21"/>
      <c r="C1477" s="21"/>
      <c r="D1477" s="21"/>
    </row>
    <row r="1478" spans="1:4" ht="15" thickBot="1">
      <c r="A1478" s="21"/>
      <c r="B1478" s="21"/>
      <c r="C1478" s="21"/>
      <c r="D1478" s="21"/>
    </row>
    <row r="1479" spans="1:4" ht="15" thickBot="1">
      <c r="A1479" s="21"/>
      <c r="B1479" s="21"/>
      <c r="C1479" s="21"/>
      <c r="D1479" s="21"/>
    </row>
    <row r="1480" spans="1:4" ht="15" thickBot="1">
      <c r="A1480" s="21"/>
      <c r="B1480" s="21"/>
      <c r="C1480" s="21"/>
      <c r="D1480" s="21"/>
    </row>
    <row r="1481" spans="1:4" ht="15" thickBot="1">
      <c r="A1481" s="21"/>
      <c r="B1481" s="21"/>
      <c r="C1481" s="21"/>
      <c r="D1481" s="21"/>
    </row>
    <row r="1482" spans="1:4" ht="15" thickBot="1">
      <c r="A1482" s="21"/>
      <c r="B1482" s="21"/>
      <c r="C1482" s="21"/>
      <c r="D1482" s="21"/>
    </row>
    <row r="1483" spans="1:4" ht="15" thickBot="1">
      <c r="A1483" s="21"/>
      <c r="B1483" s="21"/>
      <c r="C1483" s="21"/>
      <c r="D1483" s="21"/>
    </row>
    <row r="1484" spans="1:4" ht="15" thickBot="1">
      <c r="A1484" s="21"/>
      <c r="B1484" s="21"/>
      <c r="C1484" s="21"/>
      <c r="D1484" s="21"/>
    </row>
    <row r="1485" spans="1:4" ht="15" thickBot="1">
      <c r="A1485" s="21"/>
      <c r="B1485" s="21"/>
      <c r="C1485" s="21"/>
      <c r="D1485" s="21"/>
    </row>
    <row r="1486" spans="1:4" ht="15" thickBot="1">
      <c r="A1486" s="21"/>
      <c r="B1486" s="21"/>
      <c r="C1486" s="21"/>
      <c r="D1486" s="21"/>
    </row>
    <row r="1487" spans="1:4" ht="15" thickBot="1">
      <c r="A1487" s="21"/>
      <c r="B1487" s="21"/>
      <c r="C1487" s="21"/>
      <c r="D1487" s="21"/>
    </row>
    <row r="1488" spans="1:4" ht="15" thickBot="1">
      <c r="A1488" s="21"/>
      <c r="B1488" s="21"/>
      <c r="C1488" s="21"/>
      <c r="D1488" s="21"/>
    </row>
    <row r="1489" spans="1:4" ht="15" thickBot="1">
      <c r="A1489" s="21"/>
      <c r="B1489" s="21"/>
      <c r="C1489" s="21"/>
      <c r="D1489" s="21"/>
    </row>
    <row r="1490" spans="1:4" ht="15" thickBot="1">
      <c r="A1490" s="21"/>
      <c r="B1490" s="21"/>
      <c r="C1490" s="21"/>
      <c r="D1490" s="21"/>
    </row>
    <row r="1491" spans="1:4" ht="15" thickBot="1">
      <c r="A1491" s="21"/>
      <c r="B1491" s="21"/>
      <c r="C1491" s="21"/>
      <c r="D1491" s="21"/>
    </row>
    <row r="1492" spans="1:4" ht="15" thickBot="1">
      <c r="A1492" s="21"/>
      <c r="B1492" s="21"/>
      <c r="C1492" s="21"/>
      <c r="D1492" s="21"/>
    </row>
    <row r="1493" spans="1:4" ht="15" thickBot="1">
      <c r="A1493" s="21"/>
      <c r="B1493" s="21"/>
      <c r="C1493" s="21"/>
      <c r="D1493" s="21"/>
    </row>
    <row r="1494" spans="1:4" ht="15" thickBot="1">
      <c r="A1494" s="21"/>
      <c r="B1494" s="21"/>
      <c r="C1494" s="21"/>
      <c r="D1494" s="21"/>
    </row>
    <row r="1495" spans="1:4" ht="15" thickBot="1">
      <c r="A1495" s="21"/>
      <c r="B1495" s="21"/>
      <c r="C1495" s="21"/>
      <c r="D1495" s="21"/>
    </row>
    <row r="1496" spans="1:4" ht="15" thickBot="1">
      <c r="A1496" s="21"/>
      <c r="B1496" s="21"/>
      <c r="C1496" s="21"/>
      <c r="D1496" s="21"/>
    </row>
    <row r="1497" spans="1:4" ht="15" thickBot="1">
      <c r="A1497" s="21"/>
      <c r="B1497" s="21"/>
      <c r="C1497" s="21"/>
      <c r="D1497" s="21"/>
    </row>
    <row r="1498" spans="1:4" ht="15" thickBot="1">
      <c r="A1498" s="21"/>
      <c r="B1498" s="21"/>
      <c r="C1498" s="21"/>
      <c r="D1498" s="21"/>
    </row>
    <row r="1499" spans="1:4" ht="15" thickBot="1">
      <c r="A1499" s="21"/>
      <c r="B1499" s="21"/>
      <c r="C1499" s="21"/>
      <c r="D1499" s="21"/>
    </row>
    <row r="1500" spans="1:4" ht="15" thickBot="1">
      <c r="A1500" s="21"/>
      <c r="B1500" s="21"/>
      <c r="C1500" s="21"/>
      <c r="D1500" s="21"/>
    </row>
    <row r="1501" spans="1:4" ht="15" thickBot="1">
      <c r="A1501" s="21"/>
      <c r="B1501" s="21"/>
      <c r="C1501" s="21"/>
      <c r="D1501" s="21"/>
    </row>
    <row r="1502" spans="1:4" ht="15" thickBot="1">
      <c r="A1502" s="21"/>
      <c r="B1502" s="21"/>
      <c r="C1502" s="21"/>
      <c r="D1502" s="21"/>
    </row>
    <row r="1503" spans="1:4" ht="15" thickBot="1">
      <c r="A1503" s="21"/>
      <c r="B1503" s="21"/>
      <c r="C1503" s="21"/>
      <c r="D1503" s="21"/>
    </row>
    <row r="1504" spans="1:4" ht="15" thickBot="1">
      <c r="A1504" s="21"/>
      <c r="B1504" s="21"/>
      <c r="C1504" s="21"/>
      <c r="D1504" s="21"/>
    </row>
    <row r="1505" spans="1:4" ht="15" thickBot="1">
      <c r="A1505" s="21"/>
      <c r="B1505" s="21"/>
      <c r="C1505" s="21"/>
      <c r="D1505" s="21"/>
    </row>
    <row r="1506" spans="1:4" ht="15" thickBot="1">
      <c r="A1506" s="21"/>
      <c r="B1506" s="21"/>
      <c r="C1506" s="21"/>
      <c r="D1506" s="21"/>
    </row>
    <row r="1507" spans="1:4" ht="15" thickBot="1">
      <c r="A1507" s="21"/>
      <c r="B1507" s="21"/>
      <c r="C1507" s="21"/>
      <c r="D1507" s="21"/>
    </row>
    <row r="1508" spans="1:4" ht="15" thickBot="1">
      <c r="A1508" s="21"/>
      <c r="B1508" s="21"/>
      <c r="C1508" s="21"/>
      <c r="D1508" s="21"/>
    </row>
    <row r="1509" spans="1:4" ht="15" thickBot="1">
      <c r="A1509" s="21"/>
      <c r="B1509" s="21"/>
      <c r="C1509" s="21"/>
      <c r="D1509" s="21"/>
    </row>
    <row r="1510" spans="1:4" ht="15" thickBot="1">
      <c r="A1510" s="21"/>
      <c r="B1510" s="21"/>
      <c r="C1510" s="21"/>
      <c r="D1510" s="21"/>
    </row>
    <row r="1511" spans="1:4" ht="15" thickBot="1">
      <c r="A1511" s="21"/>
      <c r="B1511" s="21"/>
      <c r="C1511" s="21"/>
      <c r="D1511" s="21"/>
    </row>
    <row r="1512" spans="1:4" ht="15" thickBot="1">
      <c r="A1512" s="21"/>
      <c r="B1512" s="21"/>
      <c r="C1512" s="21"/>
      <c r="D1512" s="21"/>
    </row>
    <row r="1513" spans="1:4" ht="15" thickBot="1">
      <c r="A1513" s="21"/>
      <c r="B1513" s="21"/>
      <c r="C1513" s="21"/>
      <c r="D1513" s="21"/>
    </row>
    <row r="1514" spans="1:4" ht="15" thickBot="1">
      <c r="A1514" s="21"/>
      <c r="B1514" s="21"/>
      <c r="C1514" s="21"/>
      <c r="D1514" s="21"/>
    </row>
    <row r="1515" spans="1:4" ht="15" thickBot="1">
      <c r="A1515" s="21"/>
      <c r="B1515" s="21"/>
      <c r="C1515" s="21"/>
      <c r="D1515" s="21"/>
    </row>
    <row r="1516" spans="1:4" ht="15" thickBot="1">
      <c r="A1516" s="21"/>
      <c r="B1516" s="21"/>
      <c r="C1516" s="21"/>
      <c r="D1516" s="21"/>
    </row>
    <row r="1517" spans="1:4" ht="15" thickBot="1">
      <c r="A1517" s="21"/>
      <c r="B1517" s="21"/>
      <c r="C1517" s="21"/>
      <c r="D1517" s="21"/>
    </row>
    <row r="1518" spans="1:4" ht="15" thickBot="1">
      <c r="A1518" s="21"/>
      <c r="B1518" s="21"/>
      <c r="C1518" s="21"/>
      <c r="D1518" s="21"/>
    </row>
    <row r="1519" spans="1:4" ht="15" thickBot="1">
      <c r="A1519" s="21"/>
      <c r="B1519" s="21"/>
      <c r="C1519" s="21"/>
      <c r="D1519" s="21"/>
    </row>
    <row r="1520" spans="1:4" ht="15" thickBot="1">
      <c r="A1520" s="21"/>
      <c r="B1520" s="21"/>
      <c r="C1520" s="21"/>
      <c r="D1520" s="21"/>
    </row>
    <row r="1521" spans="1:4" ht="15" thickBot="1">
      <c r="A1521" s="21"/>
      <c r="B1521" s="21"/>
      <c r="C1521" s="21"/>
      <c r="D1521" s="21"/>
    </row>
    <row r="1522" spans="1:4" ht="15" thickBot="1">
      <c r="A1522" s="21"/>
      <c r="B1522" s="21"/>
      <c r="C1522" s="21"/>
      <c r="D1522" s="21"/>
    </row>
    <row r="1523" spans="1:4" ht="15" thickBot="1">
      <c r="A1523" s="21"/>
      <c r="B1523" s="21"/>
      <c r="C1523" s="21"/>
      <c r="D1523" s="21"/>
    </row>
    <row r="1524" spans="1:4" ht="15" thickBot="1">
      <c r="A1524" s="21"/>
      <c r="B1524" s="21"/>
      <c r="C1524" s="21"/>
      <c r="D1524" s="21"/>
    </row>
    <row r="1525" spans="1:4" ht="15" thickBot="1">
      <c r="A1525" s="21"/>
      <c r="B1525" s="21"/>
      <c r="C1525" s="21"/>
      <c r="D1525" s="21"/>
    </row>
    <row r="1526" spans="1:4" ht="15" thickBot="1">
      <c r="A1526" s="21"/>
      <c r="B1526" s="21"/>
      <c r="C1526" s="21"/>
      <c r="D1526" s="21"/>
    </row>
    <row r="1527" spans="1:4" ht="15" thickBot="1">
      <c r="A1527" s="21"/>
      <c r="B1527" s="21"/>
      <c r="C1527" s="21"/>
      <c r="D1527" s="21"/>
    </row>
    <row r="1528" spans="1:4" ht="15" thickBot="1">
      <c r="A1528" s="21"/>
      <c r="B1528" s="21"/>
      <c r="C1528" s="21"/>
      <c r="D1528" s="21"/>
    </row>
    <row r="1529" spans="1:4" ht="15" thickBot="1">
      <c r="A1529" s="21"/>
      <c r="B1529" s="21"/>
      <c r="C1529" s="21"/>
      <c r="D1529" s="21"/>
    </row>
    <row r="1530" spans="1:4" ht="15" thickBot="1">
      <c r="A1530" s="21"/>
      <c r="B1530" s="21"/>
      <c r="C1530" s="21"/>
      <c r="D1530" s="21"/>
    </row>
    <row r="1531" spans="1:4" ht="15" thickBot="1">
      <c r="A1531" s="21"/>
      <c r="B1531" s="21"/>
      <c r="C1531" s="21"/>
      <c r="D1531" s="21"/>
    </row>
    <row r="1532" spans="1:4" ht="15" thickBot="1">
      <c r="A1532" s="21"/>
      <c r="B1532" s="21"/>
      <c r="C1532" s="21"/>
      <c r="D1532" s="21"/>
    </row>
    <row r="1533" spans="1:4" ht="15" thickBot="1">
      <c r="A1533" s="21"/>
      <c r="B1533" s="21"/>
      <c r="C1533" s="21"/>
      <c r="D1533" s="21"/>
    </row>
    <row r="1534" spans="1:4" ht="15" thickBot="1">
      <c r="A1534" s="21"/>
      <c r="B1534" s="21"/>
      <c r="C1534" s="21"/>
      <c r="D1534" s="21"/>
    </row>
    <row r="1535" spans="1:4" ht="15" thickBot="1">
      <c r="A1535" s="21"/>
      <c r="B1535" s="21"/>
      <c r="C1535" s="21"/>
      <c r="D1535" s="21"/>
    </row>
    <row r="1536" spans="1:4" ht="15" thickBot="1">
      <c r="A1536" s="21"/>
      <c r="B1536" s="21"/>
      <c r="C1536" s="21"/>
      <c r="D1536" s="21"/>
    </row>
    <row r="1537" spans="1:4" ht="15" thickBot="1">
      <c r="A1537" s="21"/>
      <c r="B1537" s="21"/>
      <c r="C1537" s="21"/>
      <c r="D1537" s="21"/>
    </row>
    <row r="1538" spans="1:4" ht="15" thickBot="1">
      <c r="A1538" s="21"/>
      <c r="B1538" s="21"/>
      <c r="C1538" s="21"/>
      <c r="D1538" s="21"/>
    </row>
    <row r="1539" spans="1:4" ht="15" thickBot="1">
      <c r="A1539" s="21"/>
      <c r="B1539" s="21"/>
      <c r="C1539" s="21"/>
      <c r="D1539" s="21"/>
    </row>
    <row r="1540" spans="1:4" ht="15" thickBot="1">
      <c r="A1540" s="21"/>
      <c r="B1540" s="21"/>
      <c r="C1540" s="21"/>
      <c r="D1540" s="21"/>
    </row>
    <row r="1541" spans="1:4" ht="15" thickBot="1">
      <c r="A1541" s="21"/>
      <c r="B1541" s="21"/>
      <c r="C1541" s="21"/>
      <c r="D1541" s="21"/>
    </row>
    <row r="1542" spans="1:4" ht="15" thickBot="1">
      <c r="A1542" s="21"/>
      <c r="B1542" s="21"/>
      <c r="C1542" s="21"/>
      <c r="D1542" s="21"/>
    </row>
    <row r="1543" spans="1:4" ht="15" thickBot="1">
      <c r="A1543" s="21"/>
      <c r="B1543" s="21"/>
      <c r="C1543" s="21"/>
      <c r="D1543" s="21"/>
    </row>
    <row r="1544" spans="1:4" ht="15" thickBot="1">
      <c r="A1544" s="21"/>
      <c r="B1544" s="21"/>
      <c r="C1544" s="21"/>
      <c r="D1544" s="21"/>
    </row>
    <row r="1545" spans="1:4" ht="15" thickBot="1">
      <c r="A1545" s="21"/>
      <c r="B1545" s="21"/>
      <c r="C1545" s="21"/>
      <c r="D1545" s="21"/>
    </row>
    <row r="1546" spans="1:4" ht="15" thickBot="1">
      <c r="A1546" s="21"/>
      <c r="B1546" s="21"/>
      <c r="C1546" s="21"/>
      <c r="D1546" s="21"/>
    </row>
    <row r="1547" spans="1:4" ht="15" thickBot="1">
      <c r="A1547" s="21"/>
      <c r="B1547" s="21"/>
      <c r="C1547" s="21"/>
      <c r="D1547" s="21"/>
    </row>
    <row r="1548" spans="1:4" ht="15" thickBot="1">
      <c r="A1548" s="21"/>
      <c r="B1548" s="21"/>
      <c r="C1548" s="21"/>
      <c r="D1548" s="21"/>
    </row>
    <row r="1549" spans="1:4" ht="15" thickBot="1">
      <c r="A1549" s="21"/>
      <c r="B1549" s="21"/>
      <c r="C1549" s="21"/>
      <c r="D1549" s="21"/>
    </row>
    <row r="1550" spans="1:4" ht="15" thickBot="1">
      <c r="A1550" s="21"/>
      <c r="B1550" s="21"/>
      <c r="C1550" s="21"/>
      <c r="D1550" s="21"/>
    </row>
    <row r="1551" spans="1:4" ht="15" thickBot="1">
      <c r="A1551" s="21"/>
      <c r="B1551" s="21"/>
      <c r="C1551" s="21"/>
      <c r="D1551" s="21"/>
    </row>
    <row r="1552" spans="1:4" ht="15" thickBot="1">
      <c r="A1552" s="21"/>
      <c r="B1552" s="21"/>
      <c r="C1552" s="21"/>
      <c r="D1552" s="21"/>
    </row>
    <row r="1553" spans="1:4" ht="15" thickBot="1">
      <c r="A1553" s="21"/>
      <c r="B1553" s="21"/>
      <c r="C1553" s="21"/>
      <c r="D1553" s="21"/>
    </row>
    <row r="1554" spans="1:4" ht="15" thickBot="1">
      <c r="A1554" s="21"/>
      <c r="B1554" s="21"/>
      <c r="C1554" s="21"/>
      <c r="D1554" s="21"/>
    </row>
    <row r="1555" spans="1:4" ht="15" thickBot="1">
      <c r="A1555" s="21"/>
      <c r="B1555" s="21"/>
      <c r="C1555" s="21"/>
      <c r="D1555" s="21"/>
    </row>
    <row r="1556" spans="1:4" ht="15" thickBot="1">
      <c r="A1556" s="21"/>
      <c r="B1556" s="21"/>
      <c r="C1556" s="21"/>
      <c r="D1556" s="21"/>
    </row>
    <row r="1557" spans="1:4" ht="15" thickBot="1">
      <c r="A1557" s="21"/>
      <c r="B1557" s="21"/>
      <c r="C1557" s="21"/>
      <c r="D1557" s="21"/>
    </row>
    <row r="1558" spans="1:4" ht="15" thickBot="1">
      <c r="A1558" s="21"/>
      <c r="B1558" s="21"/>
      <c r="C1558" s="21"/>
      <c r="D1558" s="21"/>
    </row>
    <row r="1559" spans="1:4" ht="15" thickBot="1">
      <c r="A1559" s="21"/>
      <c r="B1559" s="21"/>
      <c r="C1559" s="21"/>
      <c r="D1559" s="21"/>
    </row>
    <row r="1560" spans="1:4" ht="15" thickBot="1">
      <c r="A1560" s="21"/>
      <c r="B1560" s="21"/>
      <c r="C1560" s="21"/>
      <c r="D1560" s="21"/>
    </row>
    <row r="1561" spans="1:4" ht="15" thickBot="1">
      <c r="A1561" s="21"/>
      <c r="B1561" s="21"/>
      <c r="C1561" s="21"/>
      <c r="D1561" s="21"/>
    </row>
    <row r="1562" spans="1:4" ht="15" thickBot="1">
      <c r="A1562" s="21"/>
      <c r="B1562" s="21"/>
      <c r="C1562" s="21"/>
      <c r="D1562" s="21"/>
    </row>
    <row r="1563" spans="1:4" ht="15" thickBot="1">
      <c r="A1563" s="21"/>
      <c r="B1563" s="21"/>
      <c r="C1563" s="21"/>
      <c r="D1563" s="21"/>
    </row>
    <row r="1564" spans="1:4" ht="15" thickBot="1">
      <c r="A1564" s="21"/>
      <c r="B1564" s="21"/>
      <c r="C1564" s="21"/>
      <c r="D1564" s="21"/>
    </row>
    <row r="1565" spans="1:4" ht="15" thickBot="1">
      <c r="A1565" s="21"/>
      <c r="B1565" s="21"/>
      <c r="C1565" s="21"/>
      <c r="D1565" s="21"/>
    </row>
    <row r="1566" spans="1:4" ht="15" thickBot="1">
      <c r="A1566" s="21"/>
      <c r="B1566" s="21"/>
      <c r="C1566" s="21"/>
      <c r="D1566" s="21"/>
    </row>
    <row r="1567" spans="1:4" ht="15" thickBot="1">
      <c r="A1567" s="21"/>
      <c r="B1567" s="21"/>
      <c r="C1567" s="21"/>
      <c r="D1567" s="21"/>
    </row>
    <row r="1568" spans="1:4" ht="15" thickBot="1">
      <c r="A1568" s="21"/>
      <c r="B1568" s="21"/>
      <c r="C1568" s="21"/>
      <c r="D1568" s="21"/>
    </row>
    <row r="1569" spans="1:4" ht="15" thickBot="1">
      <c r="A1569" s="21"/>
      <c r="B1569" s="21"/>
      <c r="C1569" s="21"/>
      <c r="D1569" s="21"/>
    </row>
    <row r="1570" spans="1:4" ht="15" thickBot="1">
      <c r="A1570" s="21"/>
      <c r="B1570" s="21"/>
      <c r="C1570" s="21"/>
      <c r="D1570" s="21"/>
    </row>
    <row r="1571" spans="1:4" ht="15" thickBot="1">
      <c r="A1571" s="21"/>
      <c r="B1571" s="21"/>
      <c r="C1571" s="21"/>
      <c r="D1571" s="21"/>
    </row>
    <row r="1572" spans="1:4" ht="15" thickBot="1">
      <c r="A1572" s="21"/>
      <c r="B1572" s="21"/>
      <c r="C1572" s="21"/>
      <c r="D1572" s="21"/>
    </row>
    <row r="1573" spans="1:4" ht="15" thickBot="1">
      <c r="A1573" s="21"/>
      <c r="B1573" s="21"/>
      <c r="C1573" s="21"/>
      <c r="D1573" s="21"/>
    </row>
    <row r="1574" spans="1:4" ht="15" thickBot="1">
      <c r="A1574" s="21"/>
      <c r="B1574" s="21"/>
      <c r="C1574" s="21"/>
      <c r="D1574" s="21"/>
    </row>
    <row r="1575" spans="1:4" ht="15" thickBot="1">
      <c r="A1575" s="21"/>
      <c r="B1575" s="21"/>
      <c r="C1575" s="21"/>
      <c r="D1575" s="21"/>
    </row>
    <row r="1576" spans="1:4" ht="15" thickBot="1">
      <c r="A1576" s="21"/>
      <c r="B1576" s="21"/>
      <c r="C1576" s="21"/>
      <c r="D1576" s="21"/>
    </row>
    <row r="1577" spans="1:4" ht="15" thickBot="1">
      <c r="A1577" s="21"/>
      <c r="B1577" s="21"/>
      <c r="C1577" s="21"/>
      <c r="D1577" s="21"/>
    </row>
    <row r="1578" spans="1:4" ht="15" thickBot="1">
      <c r="A1578" s="21"/>
      <c r="B1578" s="21"/>
      <c r="C1578" s="21"/>
      <c r="D1578" s="21"/>
    </row>
    <row r="1579" spans="1:4" ht="15" thickBot="1">
      <c r="A1579" s="21"/>
      <c r="B1579" s="21"/>
      <c r="C1579" s="21"/>
      <c r="D1579" s="21"/>
    </row>
    <row r="1580" spans="1:4" ht="15" thickBot="1">
      <c r="A1580" s="21"/>
      <c r="B1580" s="21"/>
      <c r="C1580" s="21"/>
      <c r="D1580" s="21"/>
    </row>
    <row r="1581" spans="1:4" ht="15" thickBot="1">
      <c r="A1581" s="21"/>
      <c r="B1581" s="21"/>
      <c r="C1581" s="21"/>
      <c r="D1581" s="21"/>
    </row>
    <row r="1582" spans="1:4" ht="15" thickBot="1">
      <c r="A1582" s="21"/>
      <c r="B1582" s="21"/>
      <c r="C1582" s="21"/>
      <c r="D1582" s="21"/>
    </row>
    <row r="1583" spans="1:4" ht="15" thickBot="1">
      <c r="A1583" s="21"/>
      <c r="B1583" s="21"/>
      <c r="C1583" s="21"/>
      <c r="D1583" s="21"/>
    </row>
    <row r="1584" spans="1:4" ht="15" thickBot="1">
      <c r="A1584" s="21"/>
      <c r="B1584" s="21"/>
      <c r="C1584" s="21"/>
      <c r="D1584" s="21"/>
    </row>
    <row r="1585" spans="1:4" ht="15" thickBot="1">
      <c r="A1585" s="21"/>
      <c r="B1585" s="21"/>
      <c r="C1585" s="21"/>
      <c r="D1585" s="21"/>
    </row>
    <row r="1586" spans="1:4" ht="15" thickBot="1">
      <c r="A1586" s="21"/>
      <c r="B1586" s="21"/>
      <c r="C1586" s="21"/>
      <c r="D1586" s="21"/>
    </row>
    <row r="1587" spans="1:4" ht="15" thickBot="1">
      <c r="A1587" s="21"/>
      <c r="B1587" s="21"/>
      <c r="C1587" s="21"/>
      <c r="D1587" s="21"/>
    </row>
    <row r="1588" spans="1:4" ht="15" thickBot="1">
      <c r="A1588" s="21"/>
      <c r="B1588" s="21"/>
      <c r="C1588" s="21"/>
      <c r="D1588" s="21"/>
    </row>
    <row r="1589" spans="1:4" ht="15" thickBot="1">
      <c r="A1589" s="21"/>
      <c r="B1589" s="21"/>
      <c r="C1589" s="21"/>
      <c r="D1589" s="21"/>
    </row>
    <row r="1590" spans="1:4" ht="15" thickBot="1">
      <c r="A1590" s="21"/>
      <c r="B1590" s="21"/>
      <c r="C1590" s="21"/>
      <c r="D1590" s="21"/>
    </row>
    <row r="1591" spans="1:4" ht="15" thickBot="1">
      <c r="A1591" s="21"/>
      <c r="B1591" s="21"/>
      <c r="C1591" s="21"/>
      <c r="D1591" s="21"/>
    </row>
    <row r="1592" spans="1:4" ht="15" thickBot="1">
      <c r="A1592" s="21"/>
      <c r="B1592" s="21"/>
      <c r="C1592" s="21"/>
      <c r="D1592" s="21"/>
    </row>
    <row r="1593" spans="1:4" ht="15" thickBot="1">
      <c r="A1593" s="21"/>
      <c r="B1593" s="21"/>
      <c r="C1593" s="21"/>
      <c r="D1593" s="21"/>
    </row>
    <row r="1594" spans="1:4" ht="15" thickBot="1">
      <c r="A1594" s="21"/>
      <c r="B1594" s="21"/>
      <c r="C1594" s="21"/>
      <c r="D1594" s="21"/>
    </row>
    <row r="1595" spans="1:4" ht="15" thickBot="1">
      <c r="A1595" s="21"/>
      <c r="B1595" s="21"/>
      <c r="C1595" s="21"/>
      <c r="D1595" s="21"/>
    </row>
    <row r="1596" spans="1:4" ht="15" thickBot="1">
      <c r="A1596" s="21"/>
      <c r="B1596" s="21"/>
      <c r="C1596" s="21"/>
      <c r="D1596" s="21"/>
    </row>
    <row r="1597" spans="1:4" ht="15" thickBot="1">
      <c r="A1597" s="21"/>
      <c r="B1597" s="21"/>
      <c r="C1597" s="21"/>
      <c r="D1597" s="21"/>
    </row>
    <row r="1598" spans="1:4" ht="15" thickBot="1">
      <c r="A1598" s="21"/>
      <c r="B1598" s="21"/>
      <c r="C1598" s="21"/>
      <c r="D1598" s="21"/>
    </row>
    <row r="1599" spans="1:4" ht="15" thickBot="1">
      <c r="A1599" s="21"/>
      <c r="B1599" s="21"/>
      <c r="C1599" s="21"/>
      <c r="D1599" s="21"/>
    </row>
    <row r="1600" spans="1:4" ht="15" thickBot="1">
      <c r="A1600" s="21"/>
      <c r="B1600" s="21"/>
      <c r="C1600" s="21"/>
      <c r="D1600" s="21"/>
    </row>
    <row r="1601" spans="1:4" ht="15" thickBot="1">
      <c r="A1601" s="21"/>
      <c r="B1601" s="21"/>
      <c r="C1601" s="21"/>
      <c r="D1601" s="21"/>
    </row>
    <row r="1602" spans="1:4" ht="15" thickBot="1">
      <c r="A1602" s="21"/>
      <c r="B1602" s="21"/>
      <c r="C1602" s="21"/>
      <c r="D1602" s="21"/>
    </row>
    <row r="1603" spans="1:4" ht="15" thickBot="1">
      <c r="A1603" s="21"/>
      <c r="B1603" s="21"/>
      <c r="C1603" s="21"/>
      <c r="D1603" s="21"/>
    </row>
    <row r="1604" spans="1:4" ht="15" thickBot="1">
      <c r="A1604" s="21"/>
      <c r="B1604" s="21"/>
      <c r="C1604" s="21"/>
      <c r="D1604" s="21"/>
    </row>
    <row r="1605" spans="1:4" ht="15" thickBot="1">
      <c r="A1605" s="21"/>
      <c r="B1605" s="21"/>
      <c r="C1605" s="21"/>
      <c r="D1605" s="21"/>
    </row>
    <row r="1606" spans="1:4" ht="15" thickBot="1">
      <c r="A1606" s="21"/>
      <c r="B1606" s="21"/>
      <c r="C1606" s="21"/>
      <c r="D1606" s="21"/>
    </row>
    <row r="1607" spans="1:4" ht="15" thickBot="1">
      <c r="A1607" s="21"/>
      <c r="B1607" s="21"/>
      <c r="C1607" s="21"/>
      <c r="D1607" s="21"/>
    </row>
    <row r="1608" spans="1:4" ht="15" thickBot="1">
      <c r="A1608" s="21"/>
      <c r="B1608" s="21"/>
      <c r="C1608" s="21"/>
      <c r="D1608" s="21"/>
    </row>
    <row r="1609" spans="1:4" ht="15" thickBot="1">
      <c r="A1609" s="21"/>
      <c r="B1609" s="21"/>
      <c r="C1609" s="21"/>
      <c r="D1609" s="21"/>
    </row>
    <row r="1610" spans="1:4" ht="15" thickBot="1">
      <c r="A1610" s="21"/>
      <c r="B1610" s="21"/>
      <c r="C1610" s="21"/>
      <c r="D1610" s="21"/>
    </row>
    <row r="1611" spans="1:4" ht="15" thickBot="1">
      <c r="A1611" s="21"/>
      <c r="B1611" s="21"/>
      <c r="C1611" s="21"/>
      <c r="D1611" s="21"/>
    </row>
    <row r="1612" spans="1:4" ht="15" thickBot="1">
      <c r="A1612" s="21"/>
      <c r="B1612" s="21"/>
      <c r="C1612" s="21"/>
      <c r="D1612" s="21"/>
    </row>
    <row r="1613" spans="1:4" ht="15" thickBot="1">
      <c r="A1613" s="21"/>
      <c r="B1613" s="21"/>
      <c r="C1613" s="21"/>
      <c r="D1613" s="21"/>
    </row>
    <row r="1614" spans="1:4" ht="15" thickBot="1">
      <c r="A1614" s="21"/>
      <c r="B1614" s="21"/>
      <c r="C1614" s="21"/>
      <c r="D1614" s="21"/>
    </row>
    <row r="1615" spans="1:4" ht="15" thickBot="1">
      <c r="A1615" s="21"/>
      <c r="B1615" s="21"/>
      <c r="C1615" s="21"/>
      <c r="D1615" s="21"/>
    </row>
    <row r="1616" spans="1:4" ht="15" thickBot="1">
      <c r="A1616" s="21"/>
      <c r="B1616" s="21"/>
      <c r="C1616" s="21"/>
      <c r="D1616" s="21"/>
    </row>
    <row r="1617" spans="1:4" ht="15" thickBot="1">
      <c r="A1617" s="21"/>
      <c r="B1617" s="21"/>
      <c r="C1617" s="21"/>
      <c r="D1617" s="21"/>
    </row>
    <row r="1618" spans="1:4" ht="15" thickBot="1">
      <c r="A1618" s="21"/>
      <c r="B1618" s="21"/>
      <c r="C1618" s="21"/>
      <c r="D1618" s="21"/>
    </row>
    <row r="1619" spans="1:4" ht="15" thickBot="1">
      <c r="A1619" s="21"/>
      <c r="B1619" s="21"/>
      <c r="C1619" s="21"/>
      <c r="D1619" s="21"/>
    </row>
    <row r="1620" spans="1:4" ht="15" thickBot="1">
      <c r="A1620" s="21"/>
      <c r="B1620" s="21"/>
      <c r="C1620" s="21"/>
      <c r="D1620" s="21"/>
    </row>
    <row r="1621" spans="1:4" ht="15" thickBot="1">
      <c r="A1621" s="21"/>
      <c r="B1621" s="21"/>
      <c r="C1621" s="21"/>
      <c r="D1621" s="21"/>
    </row>
    <row r="1622" spans="1:4" ht="15" thickBot="1">
      <c r="A1622" s="21"/>
      <c r="B1622" s="21"/>
      <c r="C1622" s="21"/>
      <c r="D1622" s="21"/>
    </row>
    <row r="1623" spans="1:4" ht="15" thickBot="1">
      <c r="A1623" s="21"/>
      <c r="B1623" s="21"/>
      <c r="C1623" s="21"/>
      <c r="D1623" s="21"/>
    </row>
    <row r="1624" spans="1:4" ht="15" thickBot="1">
      <c r="A1624" s="21"/>
      <c r="B1624" s="21"/>
      <c r="C1624" s="21"/>
      <c r="D1624" s="21"/>
    </row>
    <row r="1625" spans="1:4" ht="15" thickBot="1">
      <c r="A1625" s="21"/>
      <c r="B1625" s="21"/>
      <c r="C1625" s="21"/>
      <c r="D1625" s="21"/>
    </row>
    <row r="1626" spans="1:4" ht="15" thickBot="1">
      <c r="A1626" s="21"/>
      <c r="B1626" s="21"/>
      <c r="C1626" s="21"/>
      <c r="D1626" s="21"/>
    </row>
    <row r="1627" spans="1:4" ht="15" thickBot="1">
      <c r="A1627" s="21"/>
      <c r="B1627" s="21"/>
      <c r="C1627" s="21"/>
      <c r="D1627" s="21"/>
    </row>
    <row r="1628" spans="1:4" ht="15" thickBot="1">
      <c r="A1628" s="21"/>
      <c r="B1628" s="21"/>
      <c r="C1628" s="21"/>
      <c r="D1628" s="21"/>
    </row>
    <row r="1629" spans="1:4" ht="15" thickBot="1">
      <c r="A1629" s="21"/>
      <c r="B1629" s="21"/>
      <c r="C1629" s="21"/>
      <c r="D1629" s="21"/>
    </row>
    <row r="1630" spans="1:4" ht="15" thickBot="1">
      <c r="A1630" s="21"/>
      <c r="B1630" s="21"/>
      <c r="C1630" s="21"/>
      <c r="D1630" s="21"/>
    </row>
    <row r="1631" spans="1:4" ht="15" thickBot="1">
      <c r="A1631" s="21"/>
      <c r="B1631" s="21"/>
      <c r="C1631" s="21"/>
      <c r="D1631" s="21"/>
    </row>
    <row r="1632" spans="1:4" ht="15" thickBot="1">
      <c r="A1632" s="21"/>
      <c r="B1632" s="21"/>
      <c r="C1632" s="21"/>
      <c r="D1632" s="21"/>
    </row>
    <row r="1633" spans="1:4" ht="15" thickBot="1">
      <c r="A1633" s="21"/>
      <c r="B1633" s="21"/>
      <c r="C1633" s="21"/>
      <c r="D1633" s="21"/>
    </row>
    <row r="1634" spans="1:4" ht="15" thickBot="1">
      <c r="A1634" s="21"/>
      <c r="B1634" s="21"/>
      <c r="C1634" s="21"/>
      <c r="D1634" s="21"/>
    </row>
    <row r="1635" spans="1:4" ht="15" thickBot="1">
      <c r="A1635" s="21"/>
      <c r="B1635" s="21"/>
      <c r="C1635" s="21"/>
      <c r="D1635" s="21"/>
    </row>
    <row r="1636" spans="1:4" ht="15" thickBot="1">
      <c r="A1636" s="21"/>
      <c r="B1636" s="21"/>
      <c r="C1636" s="21"/>
      <c r="D1636" s="21"/>
    </row>
    <row r="1637" spans="1:4" ht="15" thickBot="1">
      <c r="A1637" s="21"/>
      <c r="B1637" s="21"/>
      <c r="C1637" s="21"/>
      <c r="D1637" s="21"/>
    </row>
    <row r="1638" spans="1:4" ht="15" thickBot="1">
      <c r="A1638" s="21"/>
      <c r="B1638" s="21"/>
      <c r="C1638" s="21"/>
      <c r="D1638" s="21"/>
    </row>
    <row r="1639" spans="1:4" ht="15" thickBot="1">
      <c r="A1639" s="21"/>
      <c r="B1639" s="21"/>
      <c r="C1639" s="21"/>
      <c r="D1639" s="21"/>
    </row>
    <row r="1640" spans="1:4" ht="15" thickBot="1">
      <c r="A1640" s="21"/>
      <c r="B1640" s="21"/>
      <c r="C1640" s="21"/>
      <c r="D1640" s="21"/>
    </row>
    <row r="1641" spans="1:4" ht="15" thickBot="1">
      <c r="A1641" s="21"/>
      <c r="B1641" s="21"/>
      <c r="C1641" s="21"/>
      <c r="D1641" s="21"/>
    </row>
    <row r="1642" spans="1:4" ht="15" thickBot="1">
      <c r="A1642" s="21"/>
      <c r="B1642" s="21"/>
      <c r="C1642" s="21"/>
      <c r="D1642" s="21"/>
    </row>
    <row r="1643" spans="1:4" ht="15" thickBot="1">
      <c r="A1643" s="21"/>
      <c r="B1643" s="21"/>
      <c r="C1643" s="21"/>
      <c r="D1643" s="21"/>
    </row>
    <row r="1644" spans="1:4" ht="15" thickBot="1">
      <c r="A1644" s="21"/>
      <c r="B1644" s="21"/>
      <c r="C1644" s="21"/>
      <c r="D1644" s="21"/>
    </row>
    <row r="1645" spans="1:4" ht="15" thickBot="1">
      <c r="A1645" s="21"/>
      <c r="B1645" s="21"/>
      <c r="C1645" s="21"/>
      <c r="D1645" s="21"/>
    </row>
    <row r="1646" spans="1:4" ht="15" thickBot="1">
      <c r="A1646" s="21"/>
      <c r="B1646" s="21"/>
      <c r="C1646" s="21"/>
      <c r="D1646" s="21"/>
    </row>
    <row r="1647" spans="1:4" ht="15" thickBot="1">
      <c r="A1647" s="21"/>
      <c r="B1647" s="21"/>
      <c r="C1647" s="21"/>
      <c r="D1647" s="21"/>
    </row>
    <row r="1648" spans="1:4" ht="15" thickBot="1">
      <c r="A1648" s="21"/>
      <c r="B1648" s="21"/>
      <c r="C1648" s="21"/>
      <c r="D1648" s="21"/>
    </row>
    <row r="1649" spans="1:4" ht="15" thickBot="1">
      <c r="A1649" s="21"/>
      <c r="B1649" s="21"/>
      <c r="C1649" s="21"/>
      <c r="D1649" s="21"/>
    </row>
    <row r="1650" spans="1:4" ht="15" thickBot="1">
      <c r="A1650" s="21"/>
      <c r="B1650" s="21"/>
      <c r="C1650" s="21"/>
      <c r="D1650" s="21"/>
    </row>
    <row r="1651" spans="1:4" ht="15" thickBot="1">
      <c r="A1651" s="21"/>
      <c r="B1651" s="21"/>
      <c r="C1651" s="21"/>
      <c r="D1651" s="21"/>
    </row>
    <row r="1652" spans="1:4" ht="15" thickBot="1">
      <c r="A1652" s="21"/>
      <c r="B1652" s="21"/>
      <c r="C1652" s="21"/>
      <c r="D1652" s="21"/>
    </row>
    <row r="1653" spans="1:4" ht="15" thickBot="1">
      <c r="A1653" s="21"/>
      <c r="B1653" s="21"/>
      <c r="C1653" s="21"/>
      <c r="D1653" s="21"/>
    </row>
    <row r="1654" spans="1:4" ht="15" thickBot="1">
      <c r="A1654" s="21"/>
      <c r="B1654" s="21"/>
      <c r="C1654" s="21"/>
      <c r="D1654" s="21"/>
    </row>
    <row r="1655" spans="1:4" ht="15" thickBot="1">
      <c r="A1655" s="21"/>
      <c r="B1655" s="21"/>
      <c r="C1655" s="21"/>
      <c r="D1655" s="21"/>
    </row>
    <row r="1656" spans="1:4" ht="15" thickBot="1">
      <c r="A1656" s="21"/>
      <c r="B1656" s="21"/>
      <c r="C1656" s="21"/>
      <c r="D1656" s="21"/>
    </row>
    <row r="1657" spans="1:4" ht="15" thickBot="1">
      <c r="A1657" s="21"/>
      <c r="B1657" s="21"/>
      <c r="C1657" s="21"/>
      <c r="D1657" s="21"/>
    </row>
    <row r="1658" spans="1:4" ht="15" thickBot="1">
      <c r="A1658" s="21"/>
      <c r="B1658" s="21"/>
      <c r="C1658" s="21"/>
      <c r="D1658" s="21"/>
    </row>
    <row r="1659" spans="1:4" ht="15" thickBot="1">
      <c r="A1659" s="21"/>
      <c r="B1659" s="21"/>
      <c r="C1659" s="21"/>
      <c r="D1659" s="21"/>
    </row>
    <row r="1660" spans="1:4" ht="15" thickBot="1">
      <c r="A1660" s="21"/>
      <c r="B1660" s="21"/>
      <c r="C1660" s="21"/>
      <c r="D1660" s="21"/>
    </row>
    <row r="1661" spans="1:4" ht="15" thickBot="1">
      <c r="A1661" s="21"/>
      <c r="B1661" s="21"/>
      <c r="C1661" s="21"/>
      <c r="D1661" s="21"/>
    </row>
    <row r="1662" spans="1:4" ht="15" thickBot="1">
      <c r="A1662" s="21"/>
      <c r="B1662" s="21"/>
      <c r="C1662" s="21"/>
      <c r="D1662" s="21"/>
    </row>
    <row r="1663" spans="1:4" ht="15" thickBot="1">
      <c r="A1663" s="21"/>
      <c r="B1663" s="21"/>
      <c r="C1663" s="21"/>
      <c r="D1663" s="21"/>
    </row>
    <row r="1664" spans="1:4" ht="15" thickBot="1">
      <c r="A1664" s="21"/>
      <c r="B1664" s="21"/>
      <c r="C1664" s="21"/>
      <c r="D1664" s="21"/>
    </row>
    <row r="1665" spans="1:4" ht="15" thickBot="1">
      <c r="A1665" s="21"/>
      <c r="B1665" s="21"/>
      <c r="C1665" s="21"/>
      <c r="D1665" s="21"/>
    </row>
    <row r="1666" spans="1:4" ht="15" thickBot="1">
      <c r="A1666" s="21"/>
      <c r="B1666" s="21"/>
      <c r="C1666" s="21"/>
      <c r="D1666" s="21"/>
    </row>
    <row r="1667" spans="1:4" ht="15" thickBot="1">
      <c r="A1667" s="21"/>
      <c r="B1667" s="21"/>
      <c r="C1667" s="21"/>
      <c r="D1667" s="21"/>
    </row>
    <row r="1668" spans="1:4" ht="15" thickBot="1">
      <c r="A1668" s="21"/>
      <c r="B1668" s="21"/>
      <c r="C1668" s="21"/>
      <c r="D1668" s="21"/>
    </row>
    <row r="1669" spans="1:4" ht="15" thickBot="1">
      <c r="A1669" s="21"/>
      <c r="B1669" s="21"/>
      <c r="C1669" s="21"/>
      <c r="D1669" s="21"/>
    </row>
    <row r="1670" spans="1:4" ht="15" thickBot="1">
      <c r="A1670" s="21"/>
      <c r="B1670" s="21"/>
      <c r="C1670" s="21"/>
      <c r="D1670" s="21"/>
    </row>
    <row r="1671" spans="1:4" ht="15" thickBot="1">
      <c r="A1671" s="21"/>
      <c r="B1671" s="21"/>
      <c r="C1671" s="21"/>
      <c r="D1671" s="21"/>
    </row>
    <row r="1672" spans="1:4" ht="15" thickBot="1">
      <c r="A1672" s="21"/>
      <c r="B1672" s="21"/>
      <c r="C1672" s="21"/>
      <c r="D1672" s="21"/>
    </row>
    <row r="1673" spans="1:4" ht="15" thickBot="1">
      <c r="A1673" s="21"/>
      <c r="B1673" s="21"/>
      <c r="C1673" s="21"/>
      <c r="D1673" s="21"/>
    </row>
    <row r="1674" spans="1:4" ht="15" thickBot="1">
      <c r="A1674" s="21"/>
      <c r="B1674" s="21"/>
      <c r="C1674" s="21"/>
      <c r="D1674" s="21"/>
    </row>
    <row r="1675" spans="1:4" ht="15" thickBot="1">
      <c r="A1675" s="21"/>
      <c r="B1675" s="21"/>
      <c r="C1675" s="21"/>
      <c r="D1675" s="21"/>
    </row>
    <row r="1676" spans="1:4" ht="15" thickBot="1">
      <c r="A1676" s="21"/>
      <c r="B1676" s="21"/>
      <c r="C1676" s="21"/>
      <c r="D1676" s="21"/>
    </row>
    <row r="1677" spans="1:4" ht="15" thickBot="1">
      <c r="A1677" s="21"/>
      <c r="B1677" s="21"/>
      <c r="C1677" s="21"/>
      <c r="D1677" s="21"/>
    </row>
    <row r="1678" spans="1:4" ht="15" thickBot="1">
      <c r="A1678" s="21"/>
      <c r="B1678" s="21"/>
      <c r="C1678" s="21"/>
      <c r="D1678" s="21"/>
    </row>
    <row r="1679" spans="1:4" ht="15" thickBot="1">
      <c r="A1679" s="21"/>
      <c r="B1679" s="21"/>
      <c r="C1679" s="21"/>
      <c r="D1679" s="21"/>
    </row>
    <row r="1680" spans="1:4" ht="15" thickBot="1">
      <c r="A1680" s="21"/>
      <c r="B1680" s="21"/>
      <c r="C1680" s="21"/>
      <c r="D1680" s="21"/>
    </row>
    <row r="1681" spans="1:4" ht="15" thickBot="1">
      <c r="A1681" s="21"/>
      <c r="B1681" s="21"/>
      <c r="C1681" s="21"/>
      <c r="D1681" s="21"/>
    </row>
    <row r="1682" spans="1:4" ht="15" thickBot="1">
      <c r="A1682" s="21"/>
      <c r="B1682" s="21"/>
      <c r="C1682" s="21"/>
      <c r="D1682" s="21"/>
    </row>
    <row r="1683" spans="1:4" ht="15" thickBot="1">
      <c r="A1683" s="21"/>
      <c r="B1683" s="21"/>
      <c r="C1683" s="21"/>
      <c r="D1683" s="21"/>
    </row>
    <row r="1684" spans="1:4" ht="15" thickBot="1">
      <c r="A1684" s="21"/>
      <c r="B1684" s="21"/>
      <c r="C1684" s="21"/>
      <c r="D1684" s="21"/>
    </row>
    <row r="1685" spans="1:4" ht="15" thickBot="1">
      <c r="A1685" s="21"/>
      <c r="B1685" s="21"/>
      <c r="C1685" s="21"/>
      <c r="D1685" s="21"/>
    </row>
    <row r="1686" spans="1:4" ht="15" thickBot="1">
      <c r="A1686" s="21"/>
      <c r="B1686" s="21"/>
      <c r="C1686" s="21"/>
      <c r="D1686" s="21"/>
    </row>
    <row r="1687" spans="1:4" ht="15" thickBot="1">
      <c r="A1687" s="21"/>
      <c r="B1687" s="21"/>
      <c r="C1687" s="21"/>
      <c r="D1687" s="21"/>
    </row>
    <row r="1688" spans="1:4" ht="15" thickBot="1">
      <c r="A1688" s="21"/>
      <c r="B1688" s="21"/>
      <c r="C1688" s="21"/>
      <c r="D1688" s="21"/>
    </row>
    <row r="1689" spans="1:4" ht="15" thickBot="1">
      <c r="A1689" s="21"/>
      <c r="B1689" s="21"/>
      <c r="C1689" s="21"/>
      <c r="D1689" s="21"/>
    </row>
    <row r="1690" spans="1:4" ht="15" thickBot="1">
      <c r="A1690" s="21"/>
      <c r="B1690" s="21"/>
      <c r="C1690" s="21"/>
      <c r="D1690" s="21"/>
    </row>
    <row r="1691" spans="1:4" ht="15" thickBot="1">
      <c r="A1691" s="21"/>
      <c r="B1691" s="21"/>
      <c r="C1691" s="21"/>
      <c r="D1691" s="21"/>
    </row>
    <row r="1692" spans="1:4" ht="15" thickBot="1">
      <c r="A1692" s="21"/>
      <c r="B1692" s="21"/>
      <c r="C1692" s="21"/>
      <c r="D1692" s="21"/>
    </row>
    <row r="1693" spans="1:4" ht="15" thickBot="1">
      <c r="A1693" s="21"/>
      <c r="B1693" s="21"/>
      <c r="C1693" s="21"/>
      <c r="D1693" s="21"/>
    </row>
    <row r="1694" spans="1:4" ht="15" thickBot="1">
      <c r="A1694" s="21"/>
      <c r="B1694" s="21"/>
      <c r="C1694" s="21"/>
      <c r="D1694" s="21"/>
    </row>
    <row r="1695" spans="1:4" ht="15" thickBot="1">
      <c r="A1695" s="21"/>
      <c r="B1695" s="21"/>
      <c r="C1695" s="21"/>
      <c r="D1695" s="21"/>
    </row>
    <row r="1696" spans="1:4" ht="15" thickBot="1">
      <c r="A1696" s="21"/>
      <c r="B1696" s="21"/>
      <c r="C1696" s="21"/>
      <c r="D1696" s="21"/>
    </row>
    <row r="1697" spans="1:4" ht="15" thickBot="1">
      <c r="A1697" s="21"/>
      <c r="B1697" s="21"/>
      <c r="C1697" s="21"/>
      <c r="D1697" s="21"/>
    </row>
    <row r="1698" spans="1:4" ht="15" thickBot="1">
      <c r="A1698" s="21"/>
      <c r="B1698" s="21"/>
      <c r="C1698" s="21"/>
      <c r="D1698" s="21"/>
    </row>
    <row r="1699" spans="1:4" ht="15" thickBot="1">
      <c r="A1699" s="21"/>
      <c r="B1699" s="21"/>
      <c r="C1699" s="21"/>
      <c r="D1699" s="21"/>
    </row>
    <row r="1700" spans="1:4" ht="15" thickBot="1">
      <c r="A1700" s="21"/>
      <c r="B1700" s="21"/>
      <c r="C1700" s="21"/>
      <c r="D1700" s="21"/>
    </row>
    <row r="1701" spans="1:4" ht="15" thickBot="1">
      <c r="A1701" s="21"/>
      <c r="B1701" s="21"/>
      <c r="C1701" s="21"/>
      <c r="D1701" s="21"/>
    </row>
    <row r="1702" spans="1:4" ht="15" thickBot="1">
      <c r="A1702" s="21"/>
      <c r="B1702" s="21"/>
      <c r="C1702" s="21"/>
      <c r="D1702" s="21"/>
    </row>
    <row r="1703" spans="1:4" ht="15" thickBot="1">
      <c r="A1703" s="21"/>
      <c r="B1703" s="21"/>
      <c r="C1703" s="21"/>
      <c r="D1703" s="21"/>
    </row>
    <row r="1704" spans="1:4" ht="15" thickBot="1">
      <c r="A1704" s="21"/>
      <c r="B1704" s="21"/>
      <c r="C1704" s="21"/>
      <c r="D1704" s="21"/>
    </row>
    <row r="1705" spans="1:4" ht="15" thickBot="1">
      <c r="A1705" s="21"/>
      <c r="B1705" s="21"/>
      <c r="C1705" s="21"/>
      <c r="D1705" s="21"/>
    </row>
    <row r="1706" spans="1:4" ht="15" thickBot="1">
      <c r="A1706" s="21"/>
      <c r="B1706" s="21"/>
      <c r="C1706" s="21"/>
      <c r="D1706" s="21"/>
    </row>
    <row r="1707" spans="1:4" ht="15" thickBot="1">
      <c r="A1707" s="21"/>
      <c r="B1707" s="21"/>
      <c r="C1707" s="21"/>
      <c r="D1707" s="21"/>
    </row>
    <row r="1708" spans="1:4" ht="15" thickBot="1">
      <c r="A1708" s="21"/>
      <c r="B1708" s="21"/>
      <c r="C1708" s="21"/>
      <c r="D1708" s="21"/>
    </row>
    <row r="1709" spans="1:4" ht="15" thickBot="1">
      <c r="A1709" s="21"/>
      <c r="B1709" s="21"/>
      <c r="C1709" s="21"/>
      <c r="D1709" s="21"/>
    </row>
    <row r="1710" spans="1:4" ht="15" thickBot="1">
      <c r="A1710" s="21"/>
      <c r="B1710" s="21"/>
      <c r="C1710" s="21"/>
      <c r="D1710" s="21"/>
    </row>
    <row r="1711" spans="1:4" ht="15" thickBot="1">
      <c r="A1711" s="21"/>
      <c r="B1711" s="21"/>
      <c r="C1711" s="21"/>
      <c r="D1711" s="21"/>
    </row>
    <row r="1712" spans="1:4" ht="15" thickBot="1">
      <c r="A1712" s="21"/>
      <c r="B1712" s="21"/>
      <c r="C1712" s="21"/>
      <c r="D1712" s="21"/>
    </row>
    <row r="1713" spans="1:4" ht="15" thickBot="1">
      <c r="A1713" s="21"/>
      <c r="B1713" s="21"/>
      <c r="C1713" s="21"/>
      <c r="D1713" s="21"/>
    </row>
    <row r="1714" spans="1:4" ht="15" thickBot="1">
      <c r="A1714" s="21"/>
      <c r="B1714" s="21"/>
      <c r="C1714" s="21"/>
      <c r="D1714" s="21"/>
    </row>
    <row r="1715" spans="1:4" ht="15" thickBot="1">
      <c r="A1715" s="21"/>
      <c r="B1715" s="21"/>
      <c r="C1715" s="21"/>
      <c r="D1715" s="21"/>
    </row>
    <row r="1716" spans="1:4" ht="15" thickBot="1">
      <c r="A1716" s="21"/>
      <c r="B1716" s="21"/>
      <c r="C1716" s="21"/>
      <c r="D1716" s="21"/>
    </row>
    <row r="1717" spans="1:4" ht="15" thickBot="1">
      <c r="A1717" s="21"/>
      <c r="B1717" s="21"/>
      <c r="C1717" s="21"/>
      <c r="D1717" s="21"/>
    </row>
    <row r="1718" spans="1:4" ht="15" thickBot="1">
      <c r="A1718" s="21"/>
      <c r="B1718" s="21"/>
      <c r="C1718" s="21"/>
      <c r="D1718" s="21"/>
    </row>
    <row r="1719" spans="1:4" ht="15" thickBot="1">
      <c r="A1719" s="21"/>
      <c r="B1719" s="21"/>
      <c r="C1719" s="21"/>
      <c r="D1719" s="21"/>
    </row>
    <row r="1720" spans="1:4" ht="15" thickBot="1">
      <c r="A1720" s="21"/>
      <c r="B1720" s="21"/>
      <c r="C1720" s="21"/>
      <c r="D1720" s="21"/>
    </row>
    <row r="1721" spans="1:4" ht="15" thickBot="1">
      <c r="A1721" s="21"/>
      <c r="B1721" s="21"/>
      <c r="C1721" s="21"/>
      <c r="D1721" s="21"/>
    </row>
    <row r="1722" spans="1:4" ht="15" thickBot="1">
      <c r="A1722" s="21"/>
      <c r="B1722" s="21"/>
      <c r="C1722" s="21"/>
      <c r="D1722" s="21"/>
    </row>
    <row r="1723" spans="1:4" ht="15" thickBot="1">
      <c r="A1723" s="21"/>
      <c r="B1723" s="21"/>
      <c r="C1723" s="21"/>
      <c r="D1723" s="21"/>
    </row>
    <row r="1724" spans="1:4" ht="15" thickBot="1">
      <c r="A1724" s="21"/>
      <c r="B1724" s="21"/>
      <c r="C1724" s="21"/>
      <c r="D1724" s="21"/>
    </row>
    <row r="1725" spans="1:4" ht="15" thickBot="1">
      <c r="A1725" s="21"/>
      <c r="B1725" s="21"/>
      <c r="C1725" s="21"/>
      <c r="D1725" s="21"/>
    </row>
    <row r="1726" spans="1:4" ht="15" thickBot="1">
      <c r="A1726" s="21"/>
      <c r="B1726" s="21"/>
      <c r="C1726" s="21"/>
      <c r="D1726" s="21"/>
    </row>
    <row r="1727" spans="1:4" ht="15" thickBot="1">
      <c r="A1727" s="21"/>
      <c r="B1727" s="21"/>
      <c r="C1727" s="21"/>
      <c r="D1727" s="21"/>
    </row>
    <row r="1728" spans="1:4" ht="15" thickBot="1">
      <c r="A1728" s="21"/>
      <c r="B1728" s="21"/>
      <c r="C1728" s="21"/>
      <c r="D1728" s="21"/>
    </row>
    <row r="1729" spans="1:4" ht="15" thickBot="1">
      <c r="A1729" s="21"/>
      <c r="B1729" s="21"/>
      <c r="C1729" s="21"/>
      <c r="D1729" s="21"/>
    </row>
    <row r="1730" spans="1:4" ht="15" thickBot="1">
      <c r="A1730" s="21"/>
      <c r="B1730" s="21"/>
      <c r="C1730" s="21"/>
      <c r="D1730" s="21"/>
    </row>
    <row r="1731" spans="1:4" ht="15" thickBot="1">
      <c r="A1731" s="21"/>
      <c r="B1731" s="21"/>
      <c r="C1731" s="21"/>
      <c r="D1731" s="21"/>
    </row>
    <row r="1732" spans="1:4" ht="15" thickBot="1">
      <c r="A1732" s="21"/>
      <c r="B1732" s="21"/>
      <c r="C1732" s="21"/>
      <c r="D1732" s="21"/>
    </row>
    <row r="1733" spans="1:4" ht="15" thickBot="1">
      <c r="A1733" s="21"/>
      <c r="B1733" s="21"/>
      <c r="C1733" s="21"/>
      <c r="D1733" s="21"/>
    </row>
    <row r="1734" spans="1:4" ht="15" thickBot="1">
      <c r="A1734" s="21"/>
      <c r="B1734" s="21"/>
      <c r="C1734" s="21"/>
      <c r="D1734" s="21"/>
    </row>
    <row r="1735" spans="1:4" ht="15" thickBot="1">
      <c r="A1735" s="21"/>
      <c r="B1735" s="21"/>
      <c r="C1735" s="21"/>
      <c r="D1735" s="21"/>
    </row>
    <row r="1736" spans="1:4" ht="15" thickBot="1">
      <c r="A1736" s="21"/>
      <c r="B1736" s="21"/>
      <c r="C1736" s="21"/>
      <c r="D1736" s="21"/>
    </row>
    <row r="1737" spans="1:4" ht="15" thickBot="1">
      <c r="A1737" s="21"/>
      <c r="B1737" s="21"/>
      <c r="C1737" s="21"/>
      <c r="D1737" s="21"/>
    </row>
    <row r="1738" spans="1:4" ht="15" thickBot="1">
      <c r="A1738" s="21"/>
      <c r="B1738" s="21"/>
      <c r="C1738" s="21"/>
      <c r="D1738" s="21"/>
    </row>
    <row r="1739" spans="1:4" ht="15" thickBot="1">
      <c r="A1739" s="21"/>
      <c r="B1739" s="21"/>
      <c r="C1739" s="21"/>
      <c r="D1739" s="21"/>
    </row>
    <row r="1740" spans="1:4" ht="15" thickBot="1">
      <c r="A1740" s="21"/>
      <c r="B1740" s="21"/>
      <c r="C1740" s="21"/>
      <c r="D1740" s="21"/>
    </row>
    <row r="1741" spans="1:4" ht="15" thickBot="1">
      <c r="A1741" s="21"/>
      <c r="B1741" s="21"/>
      <c r="C1741" s="21"/>
      <c r="D1741" s="21"/>
    </row>
    <row r="1742" spans="1:4" ht="15" thickBot="1">
      <c r="A1742" s="21"/>
      <c r="B1742" s="21"/>
      <c r="C1742" s="21"/>
      <c r="D1742" s="21"/>
    </row>
    <row r="1743" spans="1:4" ht="15" thickBot="1">
      <c r="A1743" s="21"/>
      <c r="B1743" s="21"/>
      <c r="C1743" s="21"/>
      <c r="D1743" s="21"/>
    </row>
    <row r="1744" spans="1:4" ht="15" thickBot="1">
      <c r="A1744" s="21"/>
      <c r="B1744" s="21"/>
      <c r="C1744" s="21"/>
      <c r="D1744" s="21"/>
    </row>
    <row r="1745" spans="1:4" ht="15" thickBot="1">
      <c r="A1745" s="21"/>
      <c r="B1745" s="21"/>
      <c r="C1745" s="21"/>
      <c r="D1745" s="21"/>
    </row>
    <row r="1746" spans="1:4" ht="15" thickBot="1">
      <c r="A1746" s="21"/>
      <c r="B1746" s="21"/>
      <c r="C1746" s="21"/>
      <c r="D1746" s="21"/>
    </row>
    <row r="1747" spans="1:4" ht="15" thickBot="1">
      <c r="A1747" s="21"/>
      <c r="B1747" s="21"/>
      <c r="C1747" s="21"/>
      <c r="D1747" s="21"/>
    </row>
    <row r="1748" spans="1:4" ht="15" thickBot="1">
      <c r="A1748" s="21"/>
      <c r="B1748" s="21"/>
      <c r="C1748" s="21"/>
      <c r="D1748" s="21"/>
    </row>
    <row r="1749" spans="1:4" ht="15" thickBot="1">
      <c r="A1749" s="21"/>
      <c r="B1749" s="21"/>
      <c r="C1749" s="21"/>
      <c r="D1749" s="21"/>
    </row>
    <row r="1750" spans="1:4" ht="15" thickBot="1">
      <c r="A1750" s="21"/>
      <c r="B1750" s="21"/>
      <c r="C1750" s="21"/>
      <c r="D1750" s="21"/>
    </row>
    <row r="1751" spans="1:4" ht="15" thickBot="1">
      <c r="A1751" s="21"/>
      <c r="B1751" s="21"/>
      <c r="C1751" s="21"/>
      <c r="D1751" s="21"/>
    </row>
    <row r="1752" spans="1:4" ht="15" thickBot="1">
      <c r="A1752" s="21"/>
      <c r="B1752" s="21"/>
      <c r="C1752" s="21"/>
      <c r="D1752" s="21"/>
    </row>
    <row r="1753" spans="1:4" ht="15" thickBot="1">
      <c r="A1753" s="21"/>
      <c r="B1753" s="21"/>
      <c r="C1753" s="21"/>
      <c r="D1753" s="21"/>
    </row>
    <row r="1754" spans="1:4" ht="15" thickBot="1">
      <c r="A1754" s="21"/>
      <c r="B1754" s="21"/>
      <c r="C1754" s="21"/>
      <c r="D1754" s="21"/>
    </row>
    <row r="1755" spans="1:4" ht="15" thickBot="1">
      <c r="A1755" s="21"/>
      <c r="B1755" s="21"/>
      <c r="C1755" s="21"/>
      <c r="D1755" s="21"/>
    </row>
    <row r="1756" spans="1:4" ht="15" thickBot="1">
      <c r="A1756" s="21"/>
      <c r="B1756" s="21"/>
      <c r="C1756" s="21"/>
      <c r="D1756" s="21"/>
    </row>
    <row r="1757" spans="1:4" ht="15" thickBot="1">
      <c r="A1757" s="21"/>
      <c r="B1757" s="21"/>
      <c r="C1757" s="21"/>
      <c r="D1757" s="21"/>
    </row>
    <row r="1758" spans="1:4" ht="15" thickBot="1">
      <c r="A1758" s="21"/>
      <c r="B1758" s="21"/>
      <c r="C1758" s="21"/>
      <c r="D1758" s="21"/>
    </row>
    <row r="1759" spans="1:4" ht="15" thickBot="1">
      <c r="A1759" s="21"/>
      <c r="B1759" s="21"/>
      <c r="C1759" s="21"/>
      <c r="D1759" s="21"/>
    </row>
    <row r="1760" spans="1:4" ht="15" thickBot="1">
      <c r="A1760" s="21"/>
      <c r="B1760" s="21"/>
      <c r="C1760" s="21"/>
      <c r="D1760" s="21"/>
    </row>
    <row r="1761" spans="1:4" ht="15" thickBot="1">
      <c r="A1761" s="21"/>
      <c r="B1761" s="21"/>
      <c r="C1761" s="21"/>
      <c r="D1761" s="21"/>
    </row>
    <row r="1762" spans="1:4" ht="15" thickBot="1">
      <c r="A1762" s="21"/>
      <c r="B1762" s="21"/>
      <c r="C1762" s="21"/>
      <c r="D1762" s="21"/>
    </row>
    <row r="1763" spans="1:4" ht="15" thickBot="1">
      <c r="A1763" s="21"/>
      <c r="B1763" s="21"/>
      <c r="C1763" s="21"/>
      <c r="D1763" s="21"/>
    </row>
    <row r="1764" spans="1:4" ht="15" thickBot="1">
      <c r="A1764" s="21"/>
      <c r="B1764" s="21"/>
      <c r="C1764" s="21"/>
      <c r="D1764" s="21"/>
    </row>
    <row r="1765" spans="1:4" ht="15" thickBot="1">
      <c r="A1765" s="21"/>
      <c r="B1765" s="21"/>
      <c r="C1765" s="21"/>
      <c r="D1765" s="21"/>
    </row>
    <row r="1766" spans="1:4" ht="15" thickBot="1">
      <c r="A1766" s="21"/>
      <c r="B1766" s="21"/>
      <c r="C1766" s="21"/>
      <c r="D1766" s="21"/>
    </row>
    <row r="1767" spans="1:4" ht="15" thickBot="1">
      <c r="A1767" s="21"/>
      <c r="B1767" s="21"/>
      <c r="C1767" s="21"/>
      <c r="D1767" s="21"/>
    </row>
    <row r="1768" spans="1:4" ht="15" thickBot="1">
      <c r="A1768" s="21"/>
      <c r="B1768" s="21"/>
      <c r="C1768" s="21"/>
      <c r="D1768" s="21"/>
    </row>
    <row r="1769" spans="1:4" ht="15" thickBot="1">
      <c r="A1769" s="21"/>
      <c r="B1769" s="21"/>
      <c r="C1769" s="21"/>
      <c r="D1769" s="21"/>
    </row>
    <row r="1770" spans="1:4" ht="15" thickBot="1">
      <c r="A1770" s="21"/>
      <c r="B1770" s="21"/>
      <c r="C1770" s="21"/>
      <c r="D1770" s="21"/>
    </row>
    <row r="1771" spans="1:4" ht="15" thickBot="1">
      <c r="A1771" s="21"/>
      <c r="B1771" s="21"/>
      <c r="C1771" s="21"/>
      <c r="D1771" s="21"/>
    </row>
    <row r="1772" spans="1:4" ht="15" thickBot="1">
      <c r="A1772" s="21"/>
      <c r="B1772" s="21"/>
      <c r="C1772" s="21"/>
      <c r="D1772" s="21"/>
    </row>
    <row r="1773" spans="1:4" ht="15" thickBot="1">
      <c r="A1773" s="21"/>
      <c r="B1773" s="21"/>
      <c r="C1773" s="21"/>
      <c r="D1773" s="21"/>
    </row>
    <row r="1774" spans="1:4" ht="15" thickBot="1">
      <c r="A1774" s="21"/>
      <c r="B1774" s="21"/>
      <c r="C1774" s="21"/>
      <c r="D1774" s="21"/>
    </row>
    <row r="1775" spans="1:4" ht="15" thickBot="1">
      <c r="A1775" s="21"/>
      <c r="B1775" s="21"/>
      <c r="C1775" s="21"/>
      <c r="D1775" s="21"/>
    </row>
    <row r="1776" spans="1:4" ht="15" thickBot="1">
      <c r="A1776" s="21"/>
      <c r="B1776" s="21"/>
      <c r="C1776" s="21"/>
      <c r="D1776" s="21"/>
    </row>
    <row r="1777" spans="1:4" ht="15" thickBot="1">
      <c r="A1777" s="21"/>
      <c r="B1777" s="21"/>
      <c r="C1777" s="21"/>
      <c r="D1777" s="21"/>
    </row>
    <row r="1778" spans="1:4" ht="15" thickBot="1">
      <c r="A1778" s="21"/>
      <c r="B1778" s="21"/>
      <c r="C1778" s="21"/>
      <c r="D1778" s="21"/>
    </row>
    <row r="1779" spans="1:4" ht="15" thickBot="1">
      <c r="A1779" s="21"/>
      <c r="B1779" s="21"/>
      <c r="C1779" s="21"/>
      <c r="D1779" s="21"/>
    </row>
    <row r="1780" spans="1:4" ht="15" thickBot="1">
      <c r="A1780" s="21"/>
      <c r="B1780" s="21"/>
      <c r="C1780" s="21"/>
      <c r="D1780" s="21"/>
    </row>
    <row r="1781" spans="1:4" ht="15" thickBot="1">
      <c r="A1781" s="21"/>
      <c r="B1781" s="21"/>
      <c r="C1781" s="21"/>
      <c r="D1781" s="21"/>
    </row>
    <row r="1782" spans="1:4" ht="15" thickBot="1">
      <c r="A1782" s="21"/>
      <c r="B1782" s="21"/>
      <c r="C1782" s="21"/>
      <c r="D1782" s="21"/>
    </row>
    <row r="1783" spans="1:4" ht="15" thickBot="1">
      <c r="A1783" s="21"/>
      <c r="B1783" s="21"/>
      <c r="C1783" s="21"/>
      <c r="D1783" s="21"/>
    </row>
    <row r="1784" spans="1:4" ht="15" thickBot="1">
      <c r="A1784" s="21"/>
      <c r="B1784" s="21"/>
      <c r="C1784" s="21"/>
      <c r="D1784" s="21"/>
    </row>
    <row r="1785" spans="1:4" ht="15" thickBot="1">
      <c r="A1785" s="21"/>
      <c r="B1785" s="21"/>
      <c r="C1785" s="21"/>
      <c r="D1785" s="21"/>
    </row>
    <row r="1786" spans="1:4" ht="15" thickBot="1">
      <c r="A1786" s="21"/>
      <c r="B1786" s="21"/>
      <c r="C1786" s="21"/>
      <c r="D1786" s="21"/>
    </row>
    <row r="1787" spans="1:4" ht="15" thickBot="1">
      <c r="A1787" s="21"/>
      <c r="B1787" s="21"/>
      <c r="C1787" s="21"/>
      <c r="D1787" s="21"/>
    </row>
    <row r="1788" spans="1:4" ht="15" thickBot="1">
      <c r="A1788" s="21"/>
      <c r="B1788" s="21"/>
      <c r="C1788" s="21"/>
      <c r="D1788" s="21"/>
    </row>
    <row r="1789" spans="1:4" ht="15" thickBot="1">
      <c r="A1789" s="21"/>
      <c r="B1789" s="21"/>
      <c r="C1789" s="21"/>
      <c r="D1789" s="21"/>
    </row>
    <row r="1790" spans="1:4" ht="15" thickBot="1">
      <c r="A1790" s="21"/>
      <c r="B1790" s="21"/>
      <c r="C1790" s="21"/>
      <c r="D1790" s="21"/>
    </row>
    <row r="1791" spans="1:4" ht="15" thickBot="1">
      <c r="A1791" s="21"/>
      <c r="B1791" s="21"/>
      <c r="C1791" s="21"/>
      <c r="D1791" s="21"/>
    </row>
    <row r="1792" spans="1:4" ht="15" thickBot="1">
      <c r="A1792" s="21"/>
      <c r="B1792" s="21"/>
      <c r="C1792" s="21"/>
      <c r="D1792" s="21"/>
    </row>
    <row r="1793" spans="1:4" ht="15" thickBot="1">
      <c r="A1793" s="21"/>
      <c r="B1793" s="21"/>
      <c r="C1793" s="21"/>
      <c r="D1793" s="21"/>
    </row>
    <row r="1794" spans="1:4" ht="15" thickBot="1">
      <c r="A1794" s="21"/>
      <c r="B1794" s="21"/>
      <c r="C1794" s="21"/>
      <c r="D1794" s="21"/>
    </row>
    <row r="1795" spans="1:4" ht="15" thickBot="1">
      <c r="A1795" s="21"/>
      <c r="B1795" s="21"/>
      <c r="C1795" s="21"/>
      <c r="D1795" s="21"/>
    </row>
    <row r="1796" spans="1:4" ht="15" thickBot="1">
      <c r="A1796" s="21"/>
      <c r="B1796" s="21"/>
      <c r="C1796" s="21"/>
      <c r="D1796" s="21"/>
    </row>
    <row r="1797" spans="1:4" ht="15" thickBot="1">
      <c r="A1797" s="21"/>
      <c r="B1797" s="21"/>
      <c r="C1797" s="21"/>
      <c r="D1797" s="21"/>
    </row>
    <row r="1798" spans="1:4" ht="15" thickBot="1">
      <c r="A1798" s="21"/>
      <c r="B1798" s="21"/>
      <c r="C1798" s="21"/>
      <c r="D1798" s="21"/>
    </row>
    <row r="1799" spans="1:4" ht="15" thickBot="1">
      <c r="A1799" s="21"/>
      <c r="B1799" s="21"/>
      <c r="C1799" s="21"/>
      <c r="D1799" s="21"/>
    </row>
    <row r="1800" spans="1:4" ht="15" thickBot="1">
      <c r="A1800" s="21"/>
      <c r="B1800" s="21"/>
      <c r="C1800" s="21"/>
      <c r="D1800" s="21"/>
    </row>
    <row r="1801" spans="1:4" ht="15" thickBot="1">
      <c r="A1801" s="21"/>
      <c r="B1801" s="21"/>
      <c r="C1801" s="21"/>
      <c r="D1801" s="21"/>
    </row>
    <row r="1802" spans="1:4" ht="15" thickBot="1">
      <c r="A1802" s="21"/>
      <c r="B1802" s="21"/>
      <c r="C1802" s="21"/>
      <c r="D1802" s="21"/>
    </row>
    <row r="1803" spans="1:4" ht="15" thickBot="1">
      <c r="A1803" s="21"/>
      <c r="B1803" s="21"/>
      <c r="C1803" s="21"/>
      <c r="D1803" s="21"/>
    </row>
    <row r="1804" spans="1:4" ht="15" thickBot="1">
      <c r="A1804" s="21"/>
      <c r="B1804" s="21"/>
      <c r="C1804" s="21"/>
      <c r="D1804" s="21"/>
    </row>
    <row r="1805" spans="1:4" ht="15" thickBot="1">
      <c r="A1805" s="21"/>
      <c r="B1805" s="21"/>
      <c r="C1805" s="21"/>
      <c r="D1805" s="21"/>
    </row>
    <row r="1806" spans="1:4" ht="15" thickBot="1">
      <c r="A1806" s="21"/>
      <c r="B1806" s="21"/>
      <c r="C1806" s="21"/>
      <c r="D1806" s="21"/>
    </row>
    <row r="1807" spans="1:4" ht="15" thickBot="1">
      <c r="A1807" s="21"/>
      <c r="B1807" s="21"/>
      <c r="C1807" s="21"/>
      <c r="D1807" s="21"/>
    </row>
    <row r="1808" spans="1:4" ht="15" thickBot="1">
      <c r="A1808" s="21"/>
      <c r="B1808" s="21"/>
      <c r="C1808" s="21"/>
      <c r="D1808" s="21"/>
    </row>
    <row r="1809" spans="1:4" ht="15" thickBot="1">
      <c r="A1809" s="21"/>
      <c r="B1809" s="21"/>
      <c r="C1809" s="21"/>
      <c r="D1809" s="21"/>
    </row>
    <row r="1810" spans="1:4" ht="15" thickBot="1">
      <c r="A1810" s="21"/>
      <c r="B1810" s="21"/>
      <c r="C1810" s="21"/>
      <c r="D1810" s="21"/>
    </row>
    <row r="1811" spans="1:4" ht="15" thickBot="1">
      <c r="A1811" s="21"/>
      <c r="B1811" s="21"/>
      <c r="C1811" s="21"/>
      <c r="D1811" s="21"/>
    </row>
    <row r="1812" spans="1:4" ht="15" thickBot="1">
      <c r="A1812" s="21"/>
      <c r="B1812" s="21"/>
      <c r="C1812" s="21"/>
      <c r="D1812" s="21"/>
    </row>
    <row r="1813" spans="1:4" ht="15" thickBot="1">
      <c r="A1813" s="21"/>
      <c r="B1813" s="21"/>
      <c r="C1813" s="21"/>
      <c r="D1813" s="21"/>
    </row>
    <row r="1814" spans="1:4" ht="15" thickBot="1">
      <c r="A1814" s="21"/>
      <c r="B1814" s="21"/>
      <c r="C1814" s="21"/>
      <c r="D1814" s="21"/>
    </row>
    <row r="1815" spans="1:4" ht="15" thickBot="1">
      <c r="A1815" s="21"/>
      <c r="B1815" s="21"/>
      <c r="C1815" s="21"/>
      <c r="D1815" s="21"/>
    </row>
    <row r="1816" spans="1:4" ht="15" thickBot="1">
      <c r="A1816" s="21"/>
      <c r="B1816" s="21"/>
      <c r="C1816" s="21"/>
      <c r="D1816" s="21"/>
    </row>
    <row r="1817" spans="1:4" ht="15" thickBot="1">
      <c r="A1817" s="21"/>
      <c r="B1817" s="21"/>
      <c r="C1817" s="21"/>
      <c r="D1817" s="21"/>
    </row>
    <row r="1818" spans="1:4" ht="15" thickBot="1">
      <c r="A1818" s="21"/>
      <c r="B1818" s="21"/>
      <c r="C1818" s="21"/>
      <c r="D1818" s="21"/>
    </row>
    <row r="1819" spans="1:4" ht="15" thickBot="1">
      <c r="A1819" s="21"/>
      <c r="B1819" s="21"/>
      <c r="C1819" s="21"/>
      <c r="D1819" s="21"/>
    </row>
    <row r="1820" spans="1:4" ht="15" thickBot="1">
      <c r="A1820" s="21"/>
      <c r="B1820" s="21"/>
      <c r="C1820" s="21"/>
      <c r="D1820" s="21"/>
    </row>
    <row r="1821" spans="1:4" ht="15" thickBot="1">
      <c r="A1821" s="21"/>
      <c r="B1821" s="21"/>
      <c r="C1821" s="21"/>
      <c r="D1821" s="21"/>
    </row>
    <row r="1822" spans="1:4" ht="15" thickBot="1">
      <c r="A1822" s="21"/>
      <c r="B1822" s="21"/>
      <c r="C1822" s="21"/>
      <c r="D1822" s="21"/>
    </row>
    <row r="1823" spans="1:4" ht="15" thickBot="1">
      <c r="A1823" s="21"/>
      <c r="B1823" s="21"/>
      <c r="C1823" s="21"/>
      <c r="D1823" s="21"/>
    </row>
    <row r="1824" spans="1:4" ht="15" thickBot="1">
      <c r="A1824" s="21"/>
      <c r="B1824" s="21"/>
      <c r="C1824" s="21"/>
      <c r="D1824" s="21"/>
    </row>
    <row r="1825" spans="1:4" ht="15" thickBot="1">
      <c r="A1825" s="21"/>
      <c r="B1825" s="21"/>
      <c r="C1825" s="21"/>
      <c r="D1825" s="21"/>
    </row>
    <row r="1826" spans="1:4" ht="15" thickBot="1">
      <c r="A1826" s="21"/>
      <c r="B1826" s="21"/>
      <c r="C1826" s="21"/>
      <c r="D1826" s="21"/>
    </row>
    <row r="1827" spans="1:4" ht="15" thickBot="1">
      <c r="A1827" s="21"/>
      <c r="B1827" s="21"/>
      <c r="C1827" s="21"/>
      <c r="D1827" s="21"/>
    </row>
    <row r="1828" spans="1:4" ht="15" thickBot="1">
      <c r="A1828" s="21"/>
      <c r="B1828" s="21"/>
      <c r="C1828" s="21"/>
      <c r="D1828" s="21"/>
    </row>
    <row r="1829" spans="1:4" ht="15" thickBot="1">
      <c r="A1829" s="21"/>
      <c r="B1829" s="21"/>
      <c r="C1829" s="21"/>
      <c r="D1829" s="21"/>
    </row>
    <row r="1830" spans="1:4" ht="15" thickBot="1">
      <c r="A1830" s="21"/>
      <c r="B1830" s="21"/>
      <c r="C1830" s="21"/>
      <c r="D1830" s="21"/>
    </row>
    <row r="1831" spans="1:4" ht="15" thickBot="1">
      <c r="A1831" s="21"/>
      <c r="B1831" s="21"/>
      <c r="C1831" s="21"/>
      <c r="D1831" s="21"/>
    </row>
    <row r="1832" spans="1:4" ht="15" thickBot="1">
      <c r="A1832" s="21"/>
      <c r="B1832" s="21"/>
      <c r="C1832" s="21"/>
      <c r="D1832" s="21"/>
    </row>
    <row r="1833" spans="1:4" ht="15" thickBot="1">
      <c r="A1833" s="21"/>
      <c r="B1833" s="21"/>
      <c r="C1833" s="21"/>
      <c r="D1833" s="21"/>
    </row>
    <row r="1834" spans="1:4" ht="15" thickBot="1">
      <c r="A1834" s="21"/>
      <c r="B1834" s="21"/>
      <c r="C1834" s="21"/>
      <c r="D1834" s="21"/>
    </row>
    <row r="1835" spans="1:4" ht="15" thickBot="1">
      <c r="A1835" s="21"/>
      <c r="B1835" s="21"/>
      <c r="C1835" s="21"/>
      <c r="D1835" s="21"/>
    </row>
    <row r="1836" spans="1:4" ht="15" thickBot="1">
      <c r="A1836" s="21"/>
      <c r="B1836" s="21"/>
      <c r="C1836" s="21"/>
      <c r="D1836" s="21"/>
    </row>
    <row r="1837" spans="1:4" ht="15" thickBot="1">
      <c r="A1837" s="21"/>
      <c r="B1837" s="21"/>
      <c r="C1837" s="21"/>
      <c r="D1837" s="21"/>
    </row>
    <row r="1838" spans="1:4" ht="15" thickBot="1">
      <c r="A1838" s="21"/>
      <c r="B1838" s="21"/>
      <c r="C1838" s="21"/>
      <c r="D1838" s="21"/>
    </row>
    <row r="1839" spans="1:4" ht="15" thickBot="1">
      <c r="A1839" s="21"/>
      <c r="B1839" s="21"/>
      <c r="C1839" s="21"/>
      <c r="D1839" s="21"/>
    </row>
    <row r="1840" spans="1:4" ht="15" thickBot="1">
      <c r="A1840" s="21"/>
      <c r="B1840" s="21"/>
      <c r="C1840" s="21"/>
      <c r="D1840" s="21"/>
    </row>
    <row r="1841" spans="1:4" ht="15" thickBot="1">
      <c r="A1841" s="21"/>
      <c r="B1841" s="21"/>
      <c r="C1841" s="21"/>
      <c r="D1841" s="21"/>
    </row>
    <row r="1842" spans="1:4" ht="15" thickBot="1">
      <c r="A1842" s="21"/>
      <c r="B1842" s="21"/>
      <c r="C1842" s="21"/>
      <c r="D1842" s="21"/>
    </row>
    <row r="1843" spans="1:4" ht="15" thickBot="1">
      <c r="A1843" s="21"/>
      <c r="B1843" s="21"/>
      <c r="C1843" s="21"/>
      <c r="D1843" s="21"/>
    </row>
    <row r="1844" spans="1:4" ht="15" thickBot="1">
      <c r="A1844" s="21"/>
      <c r="B1844" s="21"/>
      <c r="C1844" s="21"/>
      <c r="D1844" s="21"/>
    </row>
    <row r="1845" spans="1:4" ht="15" thickBot="1">
      <c r="A1845" s="21"/>
      <c r="B1845" s="21"/>
      <c r="C1845" s="21"/>
      <c r="D1845" s="21"/>
    </row>
    <row r="1846" spans="1:4" ht="15" thickBot="1">
      <c r="A1846" s="21"/>
      <c r="B1846" s="21"/>
      <c r="C1846" s="21"/>
      <c r="D1846" s="21"/>
    </row>
    <row r="1847" spans="1:4" ht="15" thickBot="1">
      <c r="A1847" s="21"/>
      <c r="B1847" s="21"/>
      <c r="C1847" s="21"/>
      <c r="D1847" s="21"/>
    </row>
    <row r="1848" spans="1:4" ht="15" thickBot="1">
      <c r="A1848" s="21"/>
      <c r="B1848" s="21"/>
      <c r="C1848" s="21"/>
      <c r="D1848" s="21"/>
    </row>
    <row r="1849" spans="1:4" ht="15" thickBot="1">
      <c r="A1849" s="21"/>
      <c r="B1849" s="21"/>
      <c r="C1849" s="21"/>
      <c r="D1849" s="21"/>
    </row>
    <row r="1850" spans="1:4" ht="15" thickBot="1">
      <c r="A1850" s="21"/>
      <c r="B1850" s="21"/>
      <c r="C1850" s="21"/>
      <c r="D1850" s="21"/>
    </row>
    <row r="1851" spans="1:4" ht="15" thickBot="1">
      <c r="A1851" s="21"/>
      <c r="B1851" s="21"/>
      <c r="C1851" s="21"/>
      <c r="D1851" s="21"/>
    </row>
    <row r="1852" spans="1:4" ht="15" thickBot="1">
      <c r="A1852" s="21"/>
      <c r="B1852" s="21"/>
      <c r="C1852" s="21"/>
      <c r="D1852" s="21"/>
    </row>
    <row r="1853" spans="1:4" ht="15" thickBot="1">
      <c r="A1853" s="21"/>
      <c r="B1853" s="21"/>
      <c r="C1853" s="21"/>
      <c r="D1853" s="21"/>
    </row>
    <row r="1854" spans="1:4" ht="15" thickBot="1">
      <c r="A1854" s="21"/>
      <c r="B1854" s="21"/>
      <c r="C1854" s="21"/>
      <c r="D1854" s="21"/>
    </row>
    <row r="1855" spans="1:4" ht="15" thickBot="1">
      <c r="A1855" s="21"/>
      <c r="B1855" s="21"/>
      <c r="C1855" s="21"/>
      <c r="D1855" s="21"/>
    </row>
    <row r="1856" spans="1:4" ht="15" thickBot="1">
      <c r="A1856" s="21"/>
      <c r="B1856" s="21"/>
      <c r="C1856" s="21"/>
      <c r="D1856" s="21"/>
    </row>
    <row r="1857" spans="1:4" ht="15" thickBot="1">
      <c r="A1857" s="21"/>
      <c r="B1857" s="21"/>
      <c r="C1857" s="21"/>
      <c r="D1857" s="21"/>
    </row>
    <row r="1858" spans="1:4" ht="15" thickBot="1">
      <c r="A1858" s="21"/>
      <c r="B1858" s="21"/>
      <c r="C1858" s="21"/>
      <c r="D1858" s="21"/>
    </row>
    <row r="1859" spans="1:4" ht="15" thickBot="1">
      <c r="A1859" s="21"/>
      <c r="B1859" s="21"/>
      <c r="C1859" s="21"/>
      <c r="D1859" s="21"/>
    </row>
    <row r="1860" spans="1:4" ht="15" thickBot="1">
      <c r="A1860" s="21"/>
      <c r="B1860" s="21"/>
      <c r="C1860" s="21"/>
      <c r="D1860" s="21"/>
    </row>
    <row r="1861" spans="1:4" ht="15" thickBot="1">
      <c r="A1861" s="21"/>
      <c r="B1861" s="21"/>
      <c r="C1861" s="21"/>
      <c r="D1861" s="21"/>
    </row>
    <row r="1862" spans="1:4" ht="15" thickBot="1">
      <c r="A1862" s="21"/>
      <c r="B1862" s="21"/>
      <c r="C1862" s="21"/>
      <c r="D1862" s="21"/>
    </row>
    <row r="1863" spans="1:4" ht="15" thickBot="1">
      <c r="A1863" s="21"/>
      <c r="B1863" s="21"/>
      <c r="C1863" s="21"/>
      <c r="D1863" s="21"/>
    </row>
    <row r="1864" spans="1:4" ht="15" thickBot="1">
      <c r="A1864" s="21"/>
      <c r="B1864" s="21"/>
      <c r="C1864" s="21"/>
      <c r="D1864" s="21"/>
    </row>
    <row r="1865" spans="1:4" ht="15" thickBot="1">
      <c r="A1865" s="21"/>
      <c r="B1865" s="21"/>
      <c r="C1865" s="21"/>
      <c r="D1865" s="21"/>
    </row>
    <row r="1866" spans="1:4" ht="15" thickBot="1">
      <c r="A1866" s="21"/>
      <c r="B1866" s="21"/>
      <c r="C1866" s="21"/>
      <c r="D1866" s="21"/>
    </row>
    <row r="1867" spans="1:4" ht="15" thickBot="1">
      <c r="A1867" s="21"/>
      <c r="B1867" s="21"/>
      <c r="C1867" s="21"/>
      <c r="D1867" s="21"/>
    </row>
    <row r="1868" spans="1:4" ht="15" thickBot="1">
      <c r="A1868" s="21"/>
      <c r="B1868" s="21"/>
      <c r="C1868" s="21"/>
      <c r="D1868" s="21"/>
    </row>
    <row r="1869" spans="1:4" ht="15" thickBot="1">
      <c r="A1869" s="21"/>
      <c r="B1869" s="21"/>
      <c r="C1869" s="21"/>
      <c r="D1869" s="21"/>
    </row>
    <row r="1870" spans="1:4" ht="15" thickBot="1">
      <c r="A1870" s="21"/>
      <c r="B1870" s="21"/>
      <c r="C1870" s="21"/>
      <c r="D1870" s="21"/>
    </row>
    <row r="1871" spans="1:4" ht="15" thickBot="1">
      <c r="A1871" s="21"/>
      <c r="B1871" s="21"/>
      <c r="C1871" s="21"/>
      <c r="D1871" s="21"/>
    </row>
    <row r="1872" spans="1:4" ht="15" thickBot="1">
      <c r="A1872" s="21"/>
      <c r="B1872" s="21"/>
      <c r="C1872" s="21"/>
      <c r="D1872" s="21"/>
    </row>
    <row r="1873" spans="1:4" ht="15" thickBot="1">
      <c r="A1873" s="21"/>
      <c r="B1873" s="21"/>
      <c r="C1873" s="21"/>
      <c r="D1873" s="21"/>
    </row>
    <row r="1874" spans="1:4" ht="15" thickBot="1">
      <c r="A1874" s="21"/>
      <c r="B1874" s="21"/>
      <c r="C1874" s="21"/>
      <c r="D1874" s="21"/>
    </row>
    <row r="1875" spans="1:4" ht="15" thickBot="1">
      <c r="A1875" s="21"/>
      <c r="B1875" s="21"/>
      <c r="C1875" s="21"/>
      <c r="D1875" s="21"/>
    </row>
    <row r="1876" spans="1:4" ht="15" thickBot="1">
      <c r="A1876" s="21"/>
      <c r="B1876" s="21"/>
      <c r="C1876" s="21"/>
      <c r="D1876" s="21"/>
    </row>
    <row r="1877" spans="1:4" ht="15" thickBot="1">
      <c r="A1877" s="21"/>
      <c r="B1877" s="21"/>
      <c r="C1877" s="21"/>
      <c r="D1877" s="21"/>
    </row>
    <row r="1878" spans="1:4" ht="15" thickBot="1">
      <c r="A1878" s="21"/>
      <c r="B1878" s="21"/>
      <c r="C1878" s="21"/>
      <c r="D1878" s="21"/>
    </row>
    <row r="1879" spans="1:4" ht="15" thickBot="1">
      <c r="A1879" s="21"/>
      <c r="B1879" s="21"/>
      <c r="C1879" s="21"/>
      <c r="D1879" s="21"/>
    </row>
    <row r="1880" spans="1:4" ht="15" thickBot="1">
      <c r="A1880" s="21"/>
      <c r="B1880" s="21"/>
      <c r="C1880" s="21"/>
      <c r="D1880" s="21"/>
    </row>
    <row r="1881" spans="1:4" ht="15" thickBot="1">
      <c r="A1881" s="21"/>
      <c r="B1881" s="21"/>
      <c r="C1881" s="21"/>
      <c r="D1881" s="21"/>
    </row>
    <row r="1882" spans="1:4" ht="15" thickBot="1">
      <c r="A1882" s="21"/>
      <c r="B1882" s="21"/>
      <c r="C1882" s="21"/>
      <c r="D1882" s="21"/>
    </row>
    <row r="1883" spans="1:4" ht="15" thickBot="1">
      <c r="A1883" s="21"/>
      <c r="B1883" s="21"/>
      <c r="C1883" s="21"/>
      <c r="D1883" s="21"/>
    </row>
    <row r="1884" spans="1:4" ht="15" thickBot="1">
      <c r="A1884" s="21"/>
      <c r="B1884" s="21"/>
      <c r="C1884" s="21"/>
      <c r="D1884" s="21"/>
    </row>
    <row r="1885" spans="1:4" ht="15" thickBot="1">
      <c r="A1885" s="21"/>
      <c r="B1885" s="21"/>
      <c r="C1885" s="21"/>
      <c r="D1885" s="21"/>
    </row>
    <row r="1886" spans="1:4" ht="15" thickBot="1">
      <c r="A1886" s="21"/>
      <c r="B1886" s="21"/>
      <c r="C1886" s="21"/>
      <c r="D1886" s="21"/>
    </row>
    <row r="1887" spans="1:4" ht="15" thickBot="1">
      <c r="A1887" s="21"/>
      <c r="B1887" s="21"/>
      <c r="C1887" s="21"/>
      <c r="D1887" s="21"/>
    </row>
    <row r="1888" spans="1:4" ht="15" thickBot="1">
      <c r="A1888" s="21"/>
      <c r="B1888" s="21"/>
      <c r="C1888" s="21"/>
      <c r="D1888" s="21"/>
    </row>
    <row r="1889" spans="1:4" ht="15" thickBot="1">
      <c r="A1889" s="21"/>
      <c r="B1889" s="21"/>
      <c r="C1889" s="21"/>
      <c r="D1889" s="21"/>
    </row>
    <row r="1890" spans="1:4" ht="15" thickBot="1">
      <c r="A1890" s="21"/>
      <c r="B1890" s="21"/>
      <c r="C1890" s="21"/>
      <c r="D1890" s="21"/>
    </row>
    <row r="1891" spans="1:4" ht="15" thickBot="1">
      <c r="A1891" s="21"/>
      <c r="B1891" s="21"/>
      <c r="C1891" s="21"/>
      <c r="D1891" s="21"/>
    </row>
    <row r="1892" spans="1:4" ht="15" thickBot="1">
      <c r="A1892" s="21"/>
      <c r="B1892" s="21"/>
      <c r="C1892" s="21"/>
      <c r="D1892" s="21"/>
    </row>
    <row r="1893" spans="1:4" ht="15" thickBot="1">
      <c r="A1893" s="21"/>
      <c r="B1893" s="21"/>
      <c r="C1893" s="21"/>
      <c r="D1893" s="21"/>
    </row>
    <row r="1894" spans="1:4" ht="15" thickBot="1">
      <c r="A1894" s="21"/>
      <c r="B1894" s="21"/>
      <c r="C1894" s="21"/>
      <c r="D1894" s="21"/>
    </row>
    <row r="1895" spans="1:4" ht="15" thickBot="1">
      <c r="A1895" s="21"/>
      <c r="B1895" s="21"/>
      <c r="C1895" s="21"/>
      <c r="D1895" s="21"/>
    </row>
    <row r="1896" spans="1:4" ht="15" thickBot="1">
      <c r="A1896" s="21"/>
      <c r="B1896" s="21"/>
      <c r="C1896" s="21"/>
      <c r="D1896" s="21"/>
    </row>
    <row r="1897" spans="1:4" ht="15" thickBot="1">
      <c r="A1897" s="21"/>
      <c r="B1897" s="21"/>
      <c r="C1897" s="21"/>
      <c r="D1897" s="21"/>
    </row>
    <row r="1898" spans="1:4" ht="15" thickBot="1">
      <c r="A1898" s="21"/>
      <c r="B1898" s="21"/>
      <c r="C1898" s="21"/>
      <c r="D1898" s="21"/>
    </row>
    <row r="1899" spans="1:4" ht="15" thickBot="1">
      <c r="A1899" s="21"/>
      <c r="B1899" s="21"/>
      <c r="C1899" s="21"/>
      <c r="D1899" s="21"/>
    </row>
    <row r="1900" spans="1:4" ht="15" thickBot="1">
      <c r="A1900" s="21"/>
      <c r="B1900" s="21"/>
      <c r="C1900" s="21"/>
      <c r="D1900" s="21"/>
    </row>
    <row r="1901" spans="1:4" ht="15" thickBot="1">
      <c r="A1901" s="21"/>
      <c r="B1901" s="21"/>
      <c r="C1901" s="21"/>
      <c r="D1901" s="21"/>
    </row>
    <row r="1902" spans="1:4" ht="15" thickBot="1">
      <c r="A1902" s="21"/>
      <c r="B1902" s="21"/>
      <c r="C1902" s="21"/>
      <c r="D1902" s="21"/>
    </row>
    <row r="1903" spans="1:4" ht="15" thickBot="1">
      <c r="A1903" s="21"/>
      <c r="B1903" s="21"/>
      <c r="C1903" s="21"/>
      <c r="D1903" s="21"/>
    </row>
    <row r="1904" spans="1:4" ht="15" thickBot="1">
      <c r="A1904" s="21"/>
      <c r="B1904" s="21"/>
      <c r="C1904" s="21"/>
      <c r="D1904" s="21"/>
    </row>
    <row r="1905" spans="1:4" ht="15" thickBot="1">
      <c r="A1905" s="21"/>
      <c r="B1905" s="21"/>
      <c r="C1905" s="21"/>
      <c r="D1905" s="21"/>
    </row>
    <row r="1906" spans="1:4" ht="15" thickBot="1">
      <c r="A1906" s="21"/>
      <c r="B1906" s="21"/>
      <c r="C1906" s="21"/>
      <c r="D1906" s="21"/>
    </row>
    <row r="1907" spans="1:4" ht="15" thickBot="1">
      <c r="A1907" s="21"/>
      <c r="B1907" s="21"/>
      <c r="C1907" s="21"/>
      <c r="D1907" s="21"/>
    </row>
    <row r="1908" spans="1:4" ht="15" thickBot="1">
      <c r="A1908" s="21"/>
      <c r="B1908" s="21"/>
      <c r="C1908" s="21"/>
      <c r="D1908" s="21"/>
    </row>
    <row r="1909" spans="1:4" ht="15" thickBot="1">
      <c r="A1909" s="21"/>
      <c r="B1909" s="21"/>
      <c r="C1909" s="21"/>
      <c r="D1909" s="21"/>
    </row>
    <row r="1910" spans="1:4" ht="15" thickBot="1">
      <c r="A1910" s="21"/>
      <c r="B1910" s="21"/>
      <c r="C1910" s="21"/>
      <c r="D1910" s="21"/>
    </row>
    <row r="1911" spans="1:4" ht="15" thickBot="1">
      <c r="A1911" s="21"/>
      <c r="B1911" s="21"/>
      <c r="C1911" s="21"/>
      <c r="D1911" s="21"/>
    </row>
    <row r="1912" spans="1:4" ht="15" thickBot="1">
      <c r="A1912" s="21"/>
      <c r="B1912" s="21"/>
      <c r="C1912" s="21"/>
      <c r="D1912" s="21"/>
    </row>
    <row r="1913" spans="1:4" ht="15" thickBot="1">
      <c r="A1913" s="21"/>
      <c r="B1913" s="21"/>
      <c r="C1913" s="21"/>
      <c r="D1913" s="21"/>
    </row>
    <row r="1914" spans="1:4" ht="15" thickBot="1">
      <c r="A1914" s="21"/>
      <c r="B1914" s="21"/>
      <c r="C1914" s="21"/>
      <c r="D1914" s="21"/>
    </row>
    <row r="1915" spans="1:4" ht="15" thickBot="1">
      <c r="A1915" s="21"/>
      <c r="B1915" s="21"/>
      <c r="C1915" s="21"/>
      <c r="D1915" s="21"/>
    </row>
    <row r="1916" spans="1:4" ht="15" thickBot="1">
      <c r="A1916" s="21"/>
      <c r="B1916" s="21"/>
      <c r="C1916" s="21"/>
      <c r="D1916" s="21"/>
    </row>
    <row r="1917" spans="1:4" ht="15" thickBot="1">
      <c r="A1917" s="21"/>
      <c r="B1917" s="21"/>
      <c r="C1917" s="21"/>
      <c r="D1917" s="21"/>
    </row>
    <row r="1918" spans="1:4" ht="15" thickBot="1">
      <c r="A1918" s="21"/>
      <c r="B1918" s="21"/>
      <c r="C1918" s="21"/>
      <c r="D1918" s="21"/>
    </row>
    <row r="1919" spans="1:4" ht="15" thickBot="1">
      <c r="A1919" s="21"/>
      <c r="B1919" s="21"/>
      <c r="C1919" s="21"/>
      <c r="D1919" s="21"/>
    </row>
    <row r="1920" spans="1:4" ht="15" thickBot="1">
      <c r="A1920" s="21"/>
      <c r="B1920" s="21"/>
      <c r="C1920" s="21"/>
      <c r="D1920" s="21"/>
    </row>
    <row r="1921" spans="1:4" ht="15" thickBot="1">
      <c r="A1921" s="21"/>
      <c r="B1921" s="21"/>
      <c r="C1921" s="21"/>
      <c r="D1921" s="21"/>
    </row>
    <row r="1922" spans="1:4" ht="15" thickBot="1">
      <c r="A1922" s="21"/>
      <c r="B1922" s="21"/>
      <c r="C1922" s="21"/>
      <c r="D1922" s="21"/>
    </row>
    <row r="1923" spans="1:4" ht="15" thickBot="1">
      <c r="A1923" s="21"/>
      <c r="B1923" s="21"/>
      <c r="C1923" s="21"/>
      <c r="D1923" s="21"/>
    </row>
    <row r="1924" spans="1:4" ht="15" thickBot="1">
      <c r="A1924" s="21"/>
      <c r="B1924" s="21"/>
      <c r="C1924" s="21"/>
      <c r="D1924" s="21"/>
    </row>
    <row r="1925" spans="1:4" ht="15" thickBot="1">
      <c r="A1925" s="21"/>
      <c r="B1925" s="21"/>
      <c r="C1925" s="21"/>
      <c r="D1925" s="21"/>
    </row>
    <row r="1926" spans="1:4" ht="15" thickBot="1">
      <c r="A1926" s="21"/>
      <c r="B1926" s="21"/>
      <c r="C1926" s="21"/>
      <c r="D1926" s="21"/>
    </row>
    <row r="1927" spans="1:4" ht="15" thickBot="1">
      <c r="A1927" s="21"/>
      <c r="B1927" s="21"/>
      <c r="C1927" s="21"/>
      <c r="D1927" s="21"/>
    </row>
    <row r="1928" spans="1:4" ht="15" thickBot="1">
      <c r="A1928" s="21"/>
      <c r="B1928" s="21"/>
      <c r="C1928" s="21"/>
      <c r="D1928" s="21"/>
    </row>
    <row r="1929" spans="1:4" ht="15" thickBot="1">
      <c r="A1929" s="21"/>
      <c r="B1929" s="21"/>
      <c r="C1929" s="21"/>
      <c r="D1929" s="21"/>
    </row>
    <row r="1930" spans="1:4" ht="15" thickBot="1">
      <c r="A1930" s="21"/>
      <c r="B1930" s="21"/>
      <c r="C1930" s="21"/>
      <c r="D1930" s="21"/>
    </row>
    <row r="1931" spans="1:4" ht="15" thickBot="1">
      <c r="A1931" s="21"/>
      <c r="B1931" s="21"/>
      <c r="C1931" s="21"/>
      <c r="D1931" s="21"/>
    </row>
    <row r="1932" spans="1:4" ht="15" thickBot="1">
      <c r="A1932" s="21"/>
      <c r="B1932" s="21"/>
      <c r="C1932" s="21"/>
      <c r="D1932" s="21"/>
    </row>
    <row r="1933" spans="1:4" ht="15" thickBot="1">
      <c r="A1933" s="21"/>
      <c r="B1933" s="21"/>
      <c r="C1933" s="21"/>
      <c r="D1933" s="21"/>
    </row>
    <row r="1934" spans="1:4" ht="15" thickBot="1">
      <c r="A1934" s="21"/>
      <c r="B1934" s="21"/>
      <c r="C1934" s="21"/>
      <c r="D1934" s="21"/>
    </row>
    <row r="1935" spans="1:4" ht="15" thickBot="1">
      <c r="A1935" s="21"/>
      <c r="B1935" s="21"/>
      <c r="C1935" s="21"/>
      <c r="D1935" s="21"/>
    </row>
    <row r="1936" spans="1:4" ht="15" thickBot="1">
      <c r="A1936" s="21"/>
      <c r="B1936" s="21"/>
      <c r="C1936" s="21"/>
      <c r="D1936" s="21"/>
    </row>
    <row r="1937" spans="1:4" ht="15" thickBot="1">
      <c r="A1937" s="21"/>
      <c r="B1937" s="21"/>
      <c r="C1937" s="21"/>
      <c r="D1937" s="21"/>
    </row>
    <row r="1938" spans="1:4" ht="15" thickBot="1">
      <c r="A1938" s="21"/>
      <c r="B1938" s="21"/>
      <c r="C1938" s="21"/>
      <c r="D1938" s="21"/>
    </row>
    <row r="1939" spans="1:4" ht="15" thickBot="1">
      <c r="A1939" s="21"/>
      <c r="B1939" s="21"/>
      <c r="C1939" s="21"/>
      <c r="D1939" s="21"/>
    </row>
    <row r="1940" spans="1:4" ht="15" thickBot="1">
      <c r="A1940" s="21"/>
      <c r="B1940" s="21"/>
      <c r="C1940" s="21"/>
      <c r="D1940" s="21"/>
    </row>
    <row r="1941" spans="1:4" ht="15" thickBot="1">
      <c r="A1941" s="21"/>
      <c r="B1941" s="21"/>
      <c r="C1941" s="21"/>
      <c r="D1941" s="21"/>
    </row>
    <row r="1942" spans="1:4" ht="15" thickBot="1">
      <c r="A1942" s="21"/>
      <c r="B1942" s="21"/>
      <c r="C1942" s="21"/>
      <c r="D1942" s="21"/>
    </row>
    <row r="1943" spans="1:4" ht="15" thickBot="1">
      <c r="A1943" s="21"/>
      <c r="B1943" s="21"/>
      <c r="C1943" s="21"/>
      <c r="D1943" s="21"/>
    </row>
    <row r="1944" spans="1:4" ht="15" thickBot="1">
      <c r="A1944" s="21"/>
      <c r="B1944" s="21"/>
      <c r="C1944" s="21"/>
      <c r="D1944" s="21"/>
    </row>
    <row r="1945" spans="1:4" ht="15" thickBot="1">
      <c r="A1945" s="21"/>
      <c r="B1945" s="21"/>
      <c r="C1945" s="21"/>
      <c r="D1945" s="21"/>
    </row>
    <row r="1946" spans="1:4" ht="15" thickBot="1">
      <c r="A1946" s="21"/>
      <c r="B1946" s="21"/>
      <c r="C1946" s="21"/>
      <c r="D1946" s="21"/>
    </row>
    <row r="1947" spans="1:4" ht="15" thickBot="1">
      <c r="A1947" s="21"/>
      <c r="B1947" s="21"/>
      <c r="C1947" s="21"/>
      <c r="D1947" s="21"/>
    </row>
    <row r="1948" spans="1:4" ht="15" thickBot="1">
      <c r="A1948" s="21"/>
      <c r="B1948" s="21"/>
      <c r="C1948" s="21"/>
      <c r="D1948" s="21"/>
    </row>
    <row r="1949" spans="1:4" ht="15" thickBot="1">
      <c r="A1949" s="21"/>
      <c r="B1949" s="21"/>
      <c r="C1949" s="21"/>
      <c r="D1949" s="21"/>
    </row>
    <row r="1950" spans="1:4" ht="15" thickBot="1">
      <c r="A1950" s="21"/>
      <c r="B1950" s="21"/>
      <c r="C1950" s="21"/>
      <c r="D1950" s="21"/>
    </row>
    <row r="1951" spans="1:4" ht="15" thickBot="1">
      <c r="A1951" s="21"/>
      <c r="B1951" s="21"/>
      <c r="C1951" s="21"/>
      <c r="D1951" s="21"/>
    </row>
    <row r="1952" spans="1:4" ht="15" thickBot="1">
      <c r="A1952" s="21"/>
      <c r="B1952" s="21"/>
      <c r="C1952" s="21"/>
      <c r="D1952" s="21"/>
    </row>
    <row r="1953" spans="1:4" ht="15" thickBot="1">
      <c r="A1953" s="21"/>
      <c r="B1953" s="21"/>
      <c r="C1953" s="21"/>
      <c r="D1953" s="21"/>
    </row>
    <row r="1954" spans="1:4" ht="15" thickBot="1">
      <c r="A1954" s="21"/>
      <c r="B1954" s="21"/>
      <c r="C1954" s="21"/>
      <c r="D1954" s="21"/>
    </row>
    <row r="1955" spans="1:4" ht="15" thickBot="1">
      <c r="A1955" s="21"/>
      <c r="B1955" s="21"/>
      <c r="C1955" s="21"/>
      <c r="D1955" s="21"/>
    </row>
    <row r="1956" spans="1:4" ht="15" thickBot="1">
      <c r="A1956" s="21"/>
      <c r="B1956" s="21"/>
      <c r="C1956" s="21"/>
      <c r="D1956" s="21"/>
    </row>
    <row r="1957" spans="1:4" ht="15" thickBot="1">
      <c r="A1957" s="21"/>
      <c r="B1957" s="21"/>
      <c r="C1957" s="21"/>
      <c r="D1957" s="21"/>
    </row>
    <row r="1958" spans="1:4" ht="15" thickBot="1">
      <c r="A1958" s="21"/>
      <c r="B1958" s="21"/>
      <c r="C1958" s="21"/>
      <c r="D1958" s="21"/>
    </row>
    <row r="1959" spans="1:4" ht="15" thickBot="1">
      <c r="A1959" s="21"/>
      <c r="B1959" s="21"/>
      <c r="C1959" s="21"/>
      <c r="D1959" s="21"/>
    </row>
    <row r="1960" spans="1:4" ht="15" thickBot="1">
      <c r="A1960" s="21"/>
      <c r="B1960" s="21"/>
      <c r="C1960" s="21"/>
      <c r="D1960" s="21"/>
    </row>
    <row r="1961" spans="1:4" ht="15" thickBot="1">
      <c r="A1961" s="21"/>
      <c r="B1961" s="21"/>
      <c r="C1961" s="21"/>
      <c r="D1961" s="21"/>
    </row>
    <row r="1962" spans="1:4" ht="15" thickBot="1">
      <c r="A1962" s="21"/>
      <c r="B1962" s="21"/>
      <c r="C1962" s="21"/>
      <c r="D1962" s="21"/>
    </row>
    <row r="1963" spans="1:4" ht="15" thickBot="1">
      <c r="A1963" s="21"/>
      <c r="B1963" s="21"/>
      <c r="C1963" s="21"/>
      <c r="D1963" s="21"/>
    </row>
    <row r="1964" spans="1:4" ht="15" thickBot="1">
      <c r="A1964" s="21"/>
      <c r="B1964" s="21"/>
      <c r="C1964" s="21"/>
      <c r="D1964" s="21"/>
    </row>
    <row r="1965" spans="1:4" ht="15" thickBot="1">
      <c r="A1965" s="21"/>
      <c r="B1965" s="21"/>
      <c r="C1965" s="21"/>
      <c r="D1965" s="21"/>
    </row>
    <row r="1966" spans="1:4" ht="15" thickBot="1">
      <c r="A1966" s="21"/>
      <c r="B1966" s="21"/>
      <c r="C1966" s="21"/>
      <c r="D1966" s="21"/>
    </row>
    <row r="1967" spans="1:4" ht="15" thickBot="1">
      <c r="A1967" s="21"/>
      <c r="B1967" s="21"/>
      <c r="C1967" s="21"/>
      <c r="D1967" s="21"/>
    </row>
    <row r="1968" spans="1:4" ht="15" thickBot="1">
      <c r="A1968" s="21"/>
      <c r="B1968" s="21"/>
      <c r="C1968" s="21"/>
      <c r="D1968" s="21"/>
    </row>
    <row r="1969" spans="1:4" ht="15" thickBot="1">
      <c r="A1969" s="21"/>
      <c r="B1969" s="21"/>
      <c r="C1969" s="21"/>
      <c r="D1969" s="21"/>
    </row>
    <row r="1970" spans="1:4" ht="15" thickBot="1">
      <c r="A1970" s="21"/>
      <c r="B1970" s="21"/>
      <c r="C1970" s="21"/>
      <c r="D1970" s="21"/>
    </row>
    <row r="1971" spans="1:4" ht="15" thickBot="1">
      <c r="A1971" s="21"/>
      <c r="B1971" s="21"/>
      <c r="C1971" s="21"/>
      <c r="D1971" s="21"/>
    </row>
    <row r="1972" spans="1:4" ht="15" thickBot="1">
      <c r="A1972" s="21"/>
      <c r="B1972" s="21"/>
      <c r="C1972" s="21"/>
      <c r="D1972" s="21"/>
    </row>
    <row r="1973" spans="1:4" ht="15" thickBot="1">
      <c r="A1973" s="21"/>
      <c r="B1973" s="21"/>
      <c r="C1973" s="21"/>
      <c r="D1973" s="21"/>
    </row>
    <row r="1974" spans="1:4" ht="15" thickBot="1">
      <c r="A1974" s="21"/>
      <c r="B1974" s="21"/>
      <c r="C1974" s="21"/>
      <c r="D1974" s="21"/>
    </row>
    <row r="1975" spans="1:4" ht="15" thickBot="1">
      <c r="A1975" s="21"/>
      <c r="B1975" s="21"/>
      <c r="C1975" s="21"/>
      <c r="D1975" s="21"/>
    </row>
    <row r="1976" spans="1:4" ht="15" thickBot="1">
      <c r="A1976" s="21"/>
      <c r="B1976" s="21"/>
      <c r="C1976" s="21"/>
      <c r="D1976" s="21"/>
    </row>
    <row r="1977" spans="1:4" ht="15" thickBot="1">
      <c r="A1977" s="21"/>
      <c r="B1977" s="21"/>
      <c r="C1977" s="21"/>
      <c r="D1977" s="21"/>
    </row>
    <row r="1978" spans="1:4" ht="15" thickBot="1">
      <c r="A1978" s="21"/>
      <c r="B1978" s="21"/>
      <c r="C1978" s="21"/>
      <c r="D1978" s="21"/>
    </row>
    <row r="1979" spans="1:4" ht="15" thickBot="1">
      <c r="A1979" s="21"/>
      <c r="B1979" s="21"/>
      <c r="C1979" s="21"/>
      <c r="D1979" s="21"/>
    </row>
    <row r="1980" spans="1:4" ht="15" thickBot="1">
      <c r="A1980" s="21"/>
      <c r="B1980" s="21"/>
      <c r="C1980" s="21"/>
      <c r="D1980" s="21"/>
    </row>
    <row r="1981" spans="1:4" ht="15" thickBot="1">
      <c r="A1981" s="21"/>
      <c r="B1981" s="21"/>
      <c r="C1981" s="21"/>
      <c r="D1981" s="21"/>
    </row>
    <row r="1982" spans="1:4" ht="15" thickBot="1">
      <c r="A1982" s="21"/>
      <c r="B1982" s="21"/>
      <c r="C1982" s="21"/>
      <c r="D1982" s="21"/>
    </row>
    <row r="1983" spans="1:4" ht="15" thickBot="1">
      <c r="A1983" s="21"/>
      <c r="B1983" s="21"/>
      <c r="C1983" s="21"/>
      <c r="D1983" s="21"/>
    </row>
    <row r="1984" spans="1:4" ht="15" thickBot="1">
      <c r="A1984" s="21"/>
      <c r="B1984" s="21"/>
      <c r="C1984" s="21"/>
      <c r="D1984" s="21"/>
    </row>
    <row r="1985" spans="1:4" ht="15" thickBot="1">
      <c r="A1985" s="21"/>
      <c r="B1985" s="21"/>
      <c r="C1985" s="21"/>
      <c r="D1985" s="21"/>
    </row>
    <row r="1986" spans="1:4" ht="15" thickBot="1">
      <c r="A1986" s="21"/>
      <c r="B1986" s="21"/>
      <c r="C1986" s="21"/>
      <c r="D1986" s="21"/>
    </row>
    <row r="1987" spans="1:4" ht="15" thickBot="1">
      <c r="A1987" s="21"/>
      <c r="B1987" s="21"/>
      <c r="C1987" s="21"/>
      <c r="D1987" s="21"/>
    </row>
    <row r="1988" spans="1:4" ht="15" thickBot="1">
      <c r="A1988" s="21"/>
      <c r="B1988" s="21"/>
      <c r="C1988" s="21"/>
      <c r="D1988" s="21"/>
    </row>
    <row r="1989" spans="1:4" ht="15" thickBot="1">
      <c r="A1989" s="21"/>
      <c r="B1989" s="21"/>
      <c r="C1989" s="21"/>
      <c r="D1989" s="21"/>
    </row>
    <row r="1990" spans="1:4" ht="15" thickBot="1">
      <c r="A1990" s="21"/>
      <c r="B1990" s="21"/>
      <c r="C1990" s="21"/>
      <c r="D1990" s="21"/>
    </row>
    <row r="1991" spans="1:4" ht="15" thickBot="1">
      <c r="A1991" s="21"/>
      <c r="B1991" s="21"/>
      <c r="C1991" s="21"/>
      <c r="D1991" s="21"/>
    </row>
    <row r="1992" spans="1:4" ht="15" thickBot="1">
      <c r="A1992" s="21"/>
      <c r="B1992" s="21"/>
      <c r="C1992" s="21"/>
      <c r="D1992" s="21"/>
    </row>
    <row r="1993" spans="1:4" ht="15" thickBot="1">
      <c r="A1993" s="21"/>
      <c r="B1993" s="21"/>
      <c r="C1993" s="21"/>
      <c r="D1993" s="21"/>
    </row>
    <row r="1994" spans="1:4" ht="15" thickBot="1">
      <c r="A1994" s="21"/>
      <c r="B1994" s="21"/>
      <c r="C1994" s="21"/>
      <c r="D1994" s="21"/>
    </row>
    <row r="1995" spans="1:4" ht="15" thickBot="1">
      <c r="A1995" s="21"/>
      <c r="B1995" s="21"/>
      <c r="C1995" s="21"/>
      <c r="D1995" s="21"/>
    </row>
    <row r="1996" spans="1:4" ht="15" thickBot="1">
      <c r="A1996" s="21"/>
      <c r="B1996" s="21"/>
      <c r="C1996" s="21"/>
      <c r="D1996" s="21"/>
    </row>
    <row r="1997" spans="1:4" ht="15" thickBot="1">
      <c r="A1997" s="21"/>
      <c r="B1997" s="21"/>
      <c r="C1997" s="21"/>
      <c r="D1997" s="21"/>
    </row>
    <row r="1998" spans="1:4" ht="15" thickBot="1">
      <c r="A1998" s="21"/>
      <c r="B1998" s="21"/>
      <c r="C1998" s="21"/>
      <c r="D1998" s="21"/>
    </row>
    <row r="1999" spans="1:4" ht="15" thickBot="1">
      <c r="A1999" s="21"/>
      <c r="B1999" s="21"/>
      <c r="C1999" s="21"/>
      <c r="D1999" s="21"/>
    </row>
    <row r="2000" spans="1:4" ht="15" thickBot="1">
      <c r="A2000" s="21"/>
      <c r="B2000" s="21"/>
      <c r="C2000" s="21"/>
      <c r="D2000" s="21"/>
    </row>
    <row r="2001" spans="1:4" ht="15" thickBot="1">
      <c r="A2001" s="21"/>
      <c r="B2001" s="21"/>
      <c r="C2001" s="21"/>
      <c r="D2001" s="21"/>
    </row>
    <row r="2002" spans="1:4" ht="15" thickBot="1">
      <c r="A2002" s="21"/>
      <c r="B2002" s="21"/>
      <c r="C2002" s="21"/>
      <c r="D2002" s="21"/>
    </row>
    <row r="2003" spans="1:4" ht="15" thickBot="1">
      <c r="A2003" s="21"/>
      <c r="B2003" s="21"/>
      <c r="C2003" s="21"/>
      <c r="D2003" s="21"/>
    </row>
    <row r="2004" spans="1:4" ht="15" thickBot="1">
      <c r="A2004" s="21"/>
      <c r="B2004" s="21"/>
      <c r="C2004" s="21"/>
      <c r="D2004" s="21"/>
    </row>
    <row r="2005" spans="1:4" ht="15" thickBot="1">
      <c r="A2005" s="21"/>
      <c r="B2005" s="21"/>
      <c r="C2005" s="21"/>
      <c r="D2005" s="21"/>
    </row>
    <row r="2006" spans="1:4" ht="15" thickBot="1">
      <c r="A2006" s="21"/>
      <c r="B2006" s="21"/>
      <c r="C2006" s="21"/>
      <c r="D2006" s="21"/>
    </row>
    <row r="2007" spans="1:4" ht="15" thickBot="1">
      <c r="A2007" s="21"/>
      <c r="B2007" s="21"/>
      <c r="C2007" s="21"/>
      <c r="D2007" s="21"/>
    </row>
    <row r="2008" spans="1:4" ht="15" thickBot="1">
      <c r="A2008" s="21"/>
      <c r="B2008" s="21"/>
      <c r="C2008" s="21"/>
      <c r="D2008" s="21"/>
    </row>
    <row r="2009" spans="1:4" ht="15" thickBot="1">
      <c r="A2009" s="21"/>
      <c r="B2009" s="21"/>
      <c r="C2009" s="21"/>
      <c r="D2009" s="21"/>
    </row>
    <row r="2010" spans="1:4" ht="15" thickBot="1">
      <c r="A2010" s="21"/>
      <c r="B2010" s="21"/>
      <c r="C2010" s="21"/>
      <c r="D2010" s="21"/>
    </row>
    <row r="2011" spans="1:4" ht="15" thickBot="1">
      <c r="A2011" s="21"/>
      <c r="B2011" s="21"/>
      <c r="C2011" s="21"/>
      <c r="D2011" s="21"/>
    </row>
    <row r="2012" spans="1:4" ht="15" thickBot="1">
      <c r="A2012" s="21"/>
      <c r="B2012" s="21"/>
      <c r="C2012" s="21"/>
      <c r="D2012" s="21"/>
    </row>
    <row r="2013" spans="1:4" ht="15" thickBot="1">
      <c r="A2013" s="21"/>
      <c r="B2013" s="21"/>
      <c r="C2013" s="21"/>
      <c r="D2013" s="21"/>
    </row>
    <row r="2014" spans="1:4" ht="15" thickBot="1">
      <c r="A2014" s="21"/>
      <c r="B2014" s="21"/>
      <c r="C2014" s="21"/>
      <c r="D2014" s="21"/>
    </row>
    <row r="2015" spans="1:4" ht="15" thickBot="1">
      <c r="A2015" s="21"/>
      <c r="B2015" s="21"/>
      <c r="C2015" s="21"/>
      <c r="D2015" s="21"/>
    </row>
    <row r="2016" spans="1:4" ht="15" thickBot="1">
      <c r="A2016" s="21"/>
      <c r="B2016" s="21"/>
      <c r="C2016" s="21"/>
      <c r="D2016" s="21"/>
    </row>
    <row r="2017" spans="1:4" ht="15" thickBot="1">
      <c r="A2017" s="21"/>
      <c r="B2017" s="21"/>
      <c r="C2017" s="21"/>
      <c r="D2017" s="21"/>
    </row>
    <row r="2018" spans="1:4" ht="15" thickBot="1">
      <c r="A2018" s="21"/>
      <c r="B2018" s="21"/>
      <c r="C2018" s="21"/>
      <c r="D2018" s="21"/>
    </row>
    <row r="2019" spans="1:4" ht="15" thickBot="1">
      <c r="A2019" s="21"/>
      <c r="B2019" s="21"/>
      <c r="C2019" s="21"/>
      <c r="D2019" s="21"/>
    </row>
    <row r="2020" spans="1:4" ht="15" thickBot="1">
      <c r="A2020" s="21"/>
      <c r="B2020" s="21"/>
      <c r="C2020" s="21"/>
      <c r="D2020" s="21"/>
    </row>
    <row r="2021" spans="1:4" ht="15" thickBot="1">
      <c r="A2021" s="21"/>
      <c r="B2021" s="21"/>
      <c r="C2021" s="21"/>
      <c r="D2021" s="21"/>
    </row>
    <row r="2022" spans="1:4" ht="15" thickBot="1">
      <c r="A2022" s="21"/>
      <c r="B2022" s="21"/>
      <c r="C2022" s="21"/>
      <c r="D2022" s="21"/>
    </row>
    <row r="2023" spans="1:4" ht="15" thickBot="1">
      <c r="A2023" s="21"/>
      <c r="B2023" s="21"/>
      <c r="C2023" s="21"/>
      <c r="D2023" s="21"/>
    </row>
    <row r="2024" spans="1:4" ht="15" thickBot="1">
      <c r="A2024" s="21"/>
      <c r="B2024" s="21"/>
      <c r="C2024" s="21"/>
      <c r="D2024" s="21"/>
    </row>
    <row r="2025" spans="1:4" ht="15" thickBot="1">
      <c r="A2025" s="21"/>
      <c r="B2025" s="21"/>
      <c r="C2025" s="21"/>
      <c r="D2025" s="21"/>
    </row>
    <row r="2026" spans="1:4" ht="15" thickBot="1">
      <c r="A2026" s="21"/>
      <c r="B2026" s="21"/>
      <c r="C2026" s="21"/>
      <c r="D2026" s="21"/>
    </row>
    <row r="2027" spans="1:4" ht="15" thickBot="1">
      <c r="A2027" s="21"/>
      <c r="B2027" s="21"/>
      <c r="C2027" s="21"/>
      <c r="D2027" s="21"/>
    </row>
    <row r="2028" spans="1:4" ht="15" thickBot="1">
      <c r="A2028" s="21"/>
      <c r="B2028" s="21"/>
      <c r="C2028" s="21"/>
      <c r="D2028" s="21"/>
    </row>
    <row r="2029" spans="1:4" ht="15" thickBot="1">
      <c r="A2029" s="21"/>
      <c r="B2029" s="21"/>
      <c r="C2029" s="21"/>
      <c r="D2029" s="21"/>
    </row>
    <row r="2030" spans="1:4" ht="15" thickBot="1">
      <c r="A2030" s="21"/>
      <c r="B2030" s="21"/>
      <c r="C2030" s="21"/>
      <c r="D2030" s="21"/>
    </row>
    <row r="2031" spans="1:4" ht="15" thickBot="1">
      <c r="A2031" s="21"/>
      <c r="B2031" s="21"/>
      <c r="C2031" s="21"/>
      <c r="D2031" s="21"/>
    </row>
    <row r="2032" spans="1:4" ht="15" thickBot="1">
      <c r="A2032" s="21"/>
      <c r="B2032" s="21"/>
      <c r="C2032" s="21"/>
      <c r="D2032" s="21"/>
    </row>
    <row r="2033" spans="1:4" ht="15" thickBot="1">
      <c r="A2033" s="21"/>
      <c r="B2033" s="21"/>
      <c r="C2033" s="21"/>
      <c r="D2033" s="21"/>
    </row>
    <row r="2034" spans="1:4" ht="15" thickBot="1">
      <c r="A2034" s="21"/>
      <c r="B2034" s="21"/>
      <c r="C2034" s="21"/>
      <c r="D2034" s="21"/>
    </row>
    <row r="2035" spans="1:4" ht="15" thickBot="1">
      <c r="A2035" s="21"/>
      <c r="B2035" s="21"/>
      <c r="C2035" s="21"/>
      <c r="D2035" s="21"/>
    </row>
    <row r="2036" spans="1:4" ht="15" thickBot="1">
      <c r="A2036" s="21"/>
      <c r="B2036" s="21"/>
      <c r="C2036" s="21"/>
      <c r="D2036" s="21"/>
    </row>
    <row r="2037" spans="1:4" ht="15" thickBot="1">
      <c r="A2037" s="21"/>
      <c r="B2037" s="21"/>
      <c r="C2037" s="21"/>
      <c r="D2037" s="21"/>
    </row>
    <row r="2038" spans="1:4" ht="15" thickBot="1">
      <c r="A2038" s="21"/>
      <c r="B2038" s="21"/>
      <c r="C2038" s="21"/>
      <c r="D2038" s="21"/>
    </row>
    <row r="2039" spans="1:4" ht="15" thickBot="1">
      <c r="A2039" s="21"/>
      <c r="B2039" s="21"/>
      <c r="C2039" s="21"/>
      <c r="D2039" s="21"/>
    </row>
    <row r="2040" spans="1:4" ht="15" thickBot="1">
      <c r="A2040" s="21"/>
      <c r="B2040" s="21"/>
      <c r="C2040" s="21"/>
      <c r="D2040" s="21"/>
    </row>
    <row r="2041" spans="1:4" ht="15" thickBot="1">
      <c r="A2041" s="21"/>
      <c r="B2041" s="21"/>
      <c r="C2041" s="21"/>
      <c r="D2041" s="21"/>
    </row>
    <row r="2042" spans="1:4" ht="15" thickBot="1">
      <c r="A2042" s="21"/>
      <c r="B2042" s="21"/>
      <c r="C2042" s="21"/>
      <c r="D2042" s="21"/>
    </row>
    <row r="2043" spans="1:4" ht="15" thickBot="1">
      <c r="A2043" s="21"/>
      <c r="B2043" s="21"/>
      <c r="C2043" s="21"/>
      <c r="D2043" s="21"/>
    </row>
    <row r="2044" spans="1:4" ht="15" thickBot="1">
      <c r="A2044" s="21"/>
      <c r="B2044" s="21"/>
      <c r="C2044" s="21"/>
      <c r="D2044" s="21"/>
    </row>
    <row r="2045" spans="1:4" ht="15" thickBot="1">
      <c r="A2045" s="21"/>
      <c r="B2045" s="21"/>
      <c r="C2045" s="21"/>
      <c r="D2045" s="21"/>
    </row>
    <row r="2046" spans="1:4" ht="15" thickBot="1">
      <c r="A2046" s="21"/>
      <c r="B2046" s="21"/>
      <c r="C2046" s="21"/>
      <c r="D2046" s="21"/>
    </row>
    <row r="2047" spans="1:4" ht="15" thickBot="1">
      <c r="A2047" s="21"/>
      <c r="B2047" s="21"/>
      <c r="C2047" s="21"/>
      <c r="D2047" s="21"/>
    </row>
    <row r="2048" spans="1:4" ht="15" thickBot="1">
      <c r="A2048" s="21"/>
      <c r="B2048" s="21"/>
      <c r="C2048" s="21"/>
      <c r="D2048" s="21"/>
    </row>
    <row r="2049" spans="1:4" ht="15" thickBot="1">
      <c r="A2049" s="21"/>
      <c r="B2049" s="21"/>
      <c r="C2049" s="21"/>
      <c r="D2049" s="21"/>
    </row>
    <row r="2050" spans="1:4" ht="15" thickBot="1">
      <c r="A2050" s="21"/>
      <c r="B2050" s="21"/>
      <c r="C2050" s="21"/>
      <c r="D2050" s="21"/>
    </row>
    <row r="2051" spans="1:4" ht="15" thickBot="1">
      <c r="A2051" s="21"/>
      <c r="B2051" s="21"/>
      <c r="C2051" s="21"/>
      <c r="D2051" s="21"/>
    </row>
    <row r="2052" spans="1:4" ht="15" thickBot="1">
      <c r="A2052" s="21"/>
      <c r="B2052" s="21"/>
      <c r="C2052" s="21"/>
      <c r="D2052" s="21"/>
    </row>
    <row r="2053" spans="1:4" ht="15" thickBot="1">
      <c r="A2053" s="21"/>
      <c r="B2053" s="21"/>
      <c r="C2053" s="21"/>
      <c r="D2053" s="21"/>
    </row>
    <row r="2054" spans="1:4" ht="15" thickBot="1">
      <c r="A2054" s="21"/>
      <c r="B2054" s="21"/>
      <c r="C2054" s="21"/>
      <c r="D2054" s="21"/>
    </row>
    <row r="2055" spans="1:4" ht="15" thickBot="1">
      <c r="A2055" s="21"/>
      <c r="B2055" s="21"/>
      <c r="C2055" s="21"/>
      <c r="D2055" s="21"/>
    </row>
    <row r="2056" spans="1:4" ht="15" thickBot="1">
      <c r="A2056" s="21"/>
      <c r="B2056" s="21"/>
      <c r="C2056" s="21"/>
      <c r="D2056" s="21"/>
    </row>
    <row r="2057" spans="1:4" ht="15" thickBot="1">
      <c r="A2057" s="21"/>
      <c r="B2057" s="21"/>
      <c r="C2057" s="21"/>
      <c r="D2057" s="21"/>
    </row>
    <row r="2058" spans="1:4" ht="15" thickBot="1">
      <c r="A2058" s="21"/>
      <c r="B2058" s="21"/>
      <c r="C2058" s="21"/>
      <c r="D2058" s="21"/>
    </row>
    <row r="2059" spans="1:4" ht="15" thickBot="1">
      <c r="A2059" s="21"/>
      <c r="B2059" s="21"/>
      <c r="C2059" s="21"/>
      <c r="D2059" s="21"/>
    </row>
    <row r="2060" spans="1:4" ht="15" thickBot="1">
      <c r="A2060" s="21"/>
      <c r="B2060" s="21"/>
      <c r="C2060" s="21"/>
      <c r="D2060" s="21"/>
    </row>
    <row r="2061" spans="1:4" ht="15" thickBot="1">
      <c r="A2061" s="21"/>
      <c r="B2061" s="21"/>
      <c r="C2061" s="21"/>
      <c r="D2061" s="21"/>
    </row>
  </sheetData>
  <autoFilter ref="E1:E2061"/>
  <sortState ref="A2:E2061">
    <sortCondition descending="1" ref="E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Заказы</vt:lpstr>
      <vt:lpstr>Люди</vt:lpstr>
      <vt:lpstr>Свод QUERY</vt:lpstr>
      <vt:lpstr>Итого номера по базе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 Goz</dc:creator>
  <cp:lastModifiedBy>Lenovo</cp:lastModifiedBy>
  <dcterms:created xsi:type="dcterms:W3CDTF">2015-06-05T18:17:20Z</dcterms:created>
  <dcterms:modified xsi:type="dcterms:W3CDTF">2023-02-07T06:02:49Z</dcterms:modified>
</cp:coreProperties>
</file>