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liaev\Desktop\Проекты SOC\"/>
    </mc:Choice>
  </mc:AlternateContent>
  <xr:revisionPtr revIDLastSave="0" documentId="13_ncr:1_{6D2242DD-407D-4BEF-8CA9-8C07300CDE15}" xr6:coauthVersionLast="36" xr6:coauthVersionMax="36" xr10:uidLastSave="{00000000-0000-0000-0000-000000000000}"/>
  <bookViews>
    <workbookView xWindow="0" yWindow="0" windowWidth="17250" windowHeight="5070" xr2:uid="{CA05F135-9287-4685-AED0-41B7CA3724F9}"/>
  </bookViews>
  <sheets>
    <sheet name="калькулятор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7" l="1"/>
  <c r="K4" i="7"/>
  <c r="J4" i="7"/>
  <c r="F4" i="7"/>
  <c r="E4" i="7"/>
  <c r="E7" i="7" l="1"/>
  <c r="E8" i="7"/>
  <c r="E5" i="7"/>
  <c r="E6" i="7"/>
  <c r="G4" i="7" l="1"/>
  <c r="M4" i="7" s="1"/>
  <c r="Q7" i="7"/>
  <c r="N4" i="7"/>
  <c r="H7" i="7"/>
  <c r="F7" i="7"/>
  <c r="O8" i="7" l="1"/>
  <c r="O7" i="7"/>
  <c r="R7" i="7"/>
  <c r="I7" i="7"/>
  <c r="G7" i="7" l="1"/>
  <c r="G8" i="7"/>
  <c r="M7" i="7" l="1"/>
  <c r="P7" i="7" s="1"/>
  <c r="S7" i="7" s="1"/>
  <c r="J7" i="7"/>
  <c r="T7" i="7"/>
  <c r="K7" i="7"/>
  <c r="H8" i="7"/>
  <c r="H6" i="7" l="1"/>
  <c r="H5" i="7"/>
  <c r="H4" i="7"/>
  <c r="Q8" i="7"/>
  <c r="Q6" i="7"/>
  <c r="Q5" i="7"/>
  <c r="Q4" i="7"/>
  <c r="F5" i="7" l="1"/>
  <c r="I5" i="7" s="1"/>
  <c r="F8" i="7"/>
  <c r="I4" i="7"/>
  <c r="I8" i="7" l="1"/>
  <c r="J8" i="7" s="1"/>
  <c r="R8" i="7"/>
  <c r="P4" i="7"/>
  <c r="F6" i="7"/>
  <c r="I6" i="7" s="1"/>
  <c r="M8" i="7"/>
  <c r="P8" i="7" s="1"/>
  <c r="R5" i="7"/>
  <c r="R4" i="7"/>
  <c r="L5" i="7" l="1"/>
  <c r="L6" i="7"/>
  <c r="T8" i="7"/>
  <c r="S8" i="7"/>
  <c r="K8" i="7"/>
  <c r="L7" i="7" s="1"/>
  <c r="R6" i="7"/>
  <c r="T4" i="7" s="1"/>
  <c r="U6" i="7" s="1"/>
  <c r="U7" i="7" l="1"/>
  <c r="U5" i="7"/>
  <c r="S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Шиляев Александр Евгеньевич</author>
  </authors>
  <commentList>
    <comment ref="E3" authorId="0" shapeId="0" xr:uid="{938D68BB-710D-4E65-A7E2-9EB08985A23B}">
      <text>
        <r>
          <rPr>
            <b/>
            <sz val="9"/>
            <color indexed="81"/>
            <rFont val="Tahoma"/>
            <charset val="1"/>
          </rPr>
          <t>Шиляев Александр Евгеньевич:</t>
        </r>
        <r>
          <rPr>
            <sz val="9"/>
            <color indexed="81"/>
            <rFont val="Tahoma"/>
            <charset val="1"/>
          </rPr>
          <t xml:space="preserve">
-15% на тех проблемы</t>
        </r>
      </text>
    </comment>
    <comment ref="O4" authorId="0" shapeId="0" xr:uid="{7214CFB4-53CD-42E3-9434-5AD4A6CC0F51}">
      <text>
        <r>
          <rPr>
            <b/>
            <sz val="9"/>
            <color indexed="81"/>
            <rFont val="Tahoma"/>
            <charset val="1"/>
          </rPr>
          <t>Шиляев Александр Евгеньевич:</t>
        </r>
        <r>
          <rPr>
            <sz val="9"/>
            <color indexed="81"/>
            <rFont val="Tahoma"/>
            <charset val="1"/>
          </rPr>
          <t xml:space="preserve">
Кол-во новых УЗ умножаем на коэффицент 1,3</t>
        </r>
      </text>
    </comment>
  </commentList>
</comments>
</file>

<file path=xl/sharedStrings.xml><?xml version="1.0" encoding="utf-8"?>
<sst xmlns="http://schemas.openxmlformats.org/spreadsheetml/2006/main" count="43" uniqueCount="34">
  <si>
    <t>Аналитик L1</t>
  </si>
  <si>
    <t>Факт нагрузка в %</t>
  </si>
  <si>
    <t>Планируемая нагрузка в %</t>
  </si>
  <si>
    <t>Стоковые данные для заполнения</t>
  </si>
  <si>
    <t>ФАКТ</t>
  </si>
  <si>
    <t>ПЛАН</t>
  </si>
  <si>
    <t>Факт разница нагрузки</t>
  </si>
  <si>
    <t>Планируемая разница нагрузки</t>
  </si>
  <si>
    <t>день</t>
  </si>
  <si>
    <t>ночь</t>
  </si>
  <si>
    <t xml:space="preserve">Время обработки (мин) </t>
  </si>
  <si>
    <t>Кол-во мин в часе</t>
  </si>
  <si>
    <t>ночь/пр/вых</t>
  </si>
  <si>
    <t>день/пр/вых</t>
  </si>
  <si>
    <t>общее</t>
  </si>
  <si>
    <t>Среднее кол-во дней</t>
  </si>
  <si>
    <t>Факт кол-во машин</t>
  </si>
  <si>
    <t>Кол-во часов работы</t>
  </si>
  <si>
    <t>Факт среднее кол-во файлов в месяц</t>
  </si>
  <si>
    <t>Максимальное кол-во файлов в день</t>
  </si>
  <si>
    <t>Максимальное кол-во файлов в месяц</t>
  </si>
  <si>
    <t>Факт максимальное кол-во файлов</t>
  </si>
  <si>
    <t>Кол-во новых УЗ</t>
  </si>
  <si>
    <t>Среднее количество файлов новых УЗ в месяц</t>
  </si>
  <si>
    <t>Среднее 
кол-во файлов с учетом новых УЗ в месяц</t>
  </si>
  <si>
    <t>Факт 
кол-во машин</t>
  </si>
  <si>
    <t>Планируемая нехватка машин</t>
  </si>
  <si>
    <t xml:space="preserve">Факт нехватка машин </t>
  </si>
  <si>
    <t>180 часов</t>
  </si>
  <si>
    <t>168 часов</t>
  </si>
  <si>
    <t>79 часов</t>
  </si>
  <si>
    <t>180 часов ночь</t>
  </si>
  <si>
    <t>180 часов праздники/вых</t>
  </si>
  <si>
    <t>Кол-во новых пользователей (УЗ)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</si>
</sst>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Font="1" applyBorder="1"/>
    <xf numFmtId="1" fontId="0" fillId="0" borderId="2" xfId="0" applyNumberFormat="1" applyFont="1" applyBorder="1"/>
    <xf numFmtId="0" fontId="0" fillId="4" borderId="4" xfId="0" applyFont="1" applyFill="1" applyBorder="1"/>
    <xf numFmtId="0" fontId="0" fillId="0" borderId="1" xfId="0" applyFont="1" applyFill="1" applyBorder="1"/>
    <xf numFmtId="0" fontId="0" fillId="0" borderId="6" xfId="0" applyFont="1" applyBorder="1"/>
    <xf numFmtId="1" fontId="0" fillId="0" borderId="6" xfId="0" applyNumberFormat="1" applyFont="1" applyBorder="1"/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" fontId="0" fillId="0" borderId="6" xfId="0" applyNumberFormat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0" fillId="4" borderId="4" xfId="0" applyFont="1" applyFill="1" applyBorder="1" applyAlignment="1">
      <alignment horizontal="center"/>
    </xf>
    <xf numFmtId="0" fontId="0" fillId="0" borderId="6" xfId="0" applyFont="1" applyFill="1" applyBorder="1"/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/>
    </xf>
    <xf numFmtId="1" fontId="0" fillId="0" borderId="0" xfId="0" applyNumberFormat="1" applyFont="1"/>
    <xf numFmtId="9" fontId="0" fillId="0" borderId="0" xfId="1" applyFont="1"/>
    <xf numFmtId="2" fontId="0" fillId="0" borderId="0" xfId="1" applyNumberFormat="1" applyFont="1"/>
    <xf numFmtId="164" fontId="0" fillId="0" borderId="0" xfId="0" applyNumberFormat="1" applyFont="1"/>
    <xf numFmtId="1" fontId="0" fillId="5" borderId="1" xfId="0" applyNumberFormat="1" applyFont="1" applyFill="1" applyBorder="1" applyAlignment="1">
      <alignment horizontal="left" vertical="center"/>
    </xf>
    <xf numFmtId="1" fontId="0" fillId="0" borderId="1" xfId="0" applyNumberFormat="1" applyFont="1" applyBorder="1" applyAlignment="1">
      <alignment horizontal="left" vertical="center"/>
    </xf>
    <xf numFmtId="1" fontId="0" fillId="0" borderId="5" xfId="0" applyNumberFormat="1" applyFont="1" applyFill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 vertical="center"/>
    </xf>
    <xf numFmtId="0" fontId="0" fillId="0" borderId="15" xfId="0" applyFont="1" applyBorder="1"/>
    <xf numFmtId="1" fontId="0" fillId="0" borderId="15" xfId="0" applyNumberFormat="1" applyFont="1" applyBorder="1"/>
    <xf numFmtId="1" fontId="0" fillId="0" borderId="15" xfId="0" applyNumberFormat="1" applyFont="1" applyBorder="1" applyAlignment="1">
      <alignment horizontal="center" vertical="center"/>
    </xf>
    <xf numFmtId="0" fontId="0" fillId="0" borderId="15" xfId="0" applyFont="1" applyFill="1" applyBorder="1"/>
    <xf numFmtId="1" fontId="0" fillId="0" borderId="10" xfId="0" applyNumberFormat="1" applyFont="1" applyFill="1" applyBorder="1" applyAlignment="1">
      <alignment horizontal="center" vertical="center"/>
    </xf>
    <xf numFmtId="164" fontId="0" fillId="0" borderId="0" xfId="1" applyNumberFormat="1" applyFont="1"/>
    <xf numFmtId="1" fontId="0" fillId="0" borderId="4" xfId="0" applyNumberFormat="1" applyFont="1" applyBorder="1" applyAlignment="1">
      <alignment horizontal="center" vertical="center"/>
    </xf>
    <xf numFmtId="1" fontId="0" fillId="0" borderId="10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/>
    <xf numFmtId="0" fontId="0" fillId="0" borderId="1" xfId="0" applyFont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9" fontId="0" fillId="0" borderId="15" xfId="1" applyNumberFormat="1" applyFont="1" applyBorder="1" applyAlignment="1">
      <alignment horizontal="center" vertical="center"/>
    </xf>
    <xf numFmtId="9" fontId="0" fillId="0" borderId="16" xfId="1" applyNumberFormat="1" applyFont="1" applyBorder="1" applyAlignment="1">
      <alignment horizontal="center" vertical="center"/>
    </xf>
    <xf numFmtId="9" fontId="0" fillId="0" borderId="17" xfId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" fontId="0" fillId="0" borderId="18" xfId="0" applyNumberFormat="1" applyFont="1" applyBorder="1" applyAlignment="1">
      <alignment horizontal="center" vertical="center"/>
    </xf>
    <xf numFmtId="1" fontId="0" fillId="0" borderId="9" xfId="0" applyNumberFormat="1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47"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4A02-2196-4311-8371-94082DBE88BC}">
  <dimension ref="A1:U17"/>
  <sheetViews>
    <sheetView tabSelected="1" topLeftCell="B1" zoomScaleNormal="100" zoomScaleSheetLayoutView="110" workbookViewId="0">
      <selection activeCell="B16" sqref="B16"/>
    </sheetView>
  </sheetViews>
  <sheetFormatPr defaultRowHeight="15" x14ac:dyDescent="0.25"/>
  <cols>
    <col min="1" max="1" width="12" style="1" bestFit="1" customWidth="1"/>
    <col min="2" max="2" width="25.28515625" style="1" bestFit="1" customWidth="1"/>
    <col min="3" max="4" width="9.140625" style="1"/>
    <col min="5" max="5" width="15" style="1" customWidth="1"/>
    <col min="6" max="6" width="14.85546875" style="1" customWidth="1"/>
    <col min="7" max="7" width="11" style="1" customWidth="1"/>
    <col min="8" max="8" width="11.42578125" style="1" customWidth="1"/>
    <col min="9" max="9" width="14.42578125" style="1" customWidth="1"/>
    <col min="10" max="10" width="10.5703125" style="1" customWidth="1"/>
    <col min="11" max="11" width="9.140625" style="1"/>
    <col min="12" max="12" width="12.7109375" style="1" customWidth="1"/>
    <col min="13" max="13" width="10.85546875" style="1" customWidth="1"/>
    <col min="14" max="14" width="12.85546875" style="1" customWidth="1"/>
    <col min="15" max="15" width="11.7109375" style="1" customWidth="1"/>
    <col min="16" max="16" width="14.5703125" style="1" bestFit="1" customWidth="1"/>
    <col min="17" max="17" width="11.5703125" style="1" customWidth="1"/>
    <col min="18" max="18" width="14.5703125" style="1" customWidth="1"/>
    <col min="19" max="19" width="13.85546875" style="1" customWidth="1"/>
    <col min="20" max="20" width="13.28515625" style="1" customWidth="1"/>
    <col min="21" max="21" width="13.5703125" style="1" customWidth="1"/>
    <col min="22" max="16384" width="9.140625" style="1"/>
  </cols>
  <sheetData>
    <row r="1" spans="1:21" ht="15.75" thickBot="1" x14ac:dyDescent="0.3"/>
    <row r="2" spans="1:21" ht="19.5" thickBot="1" x14ac:dyDescent="0.35">
      <c r="G2" s="44" t="s">
        <v>4</v>
      </c>
      <c r="H2" s="45"/>
      <c r="I2" s="45"/>
      <c r="J2" s="45"/>
      <c r="K2" s="45"/>
      <c r="L2" s="46"/>
      <c r="M2" s="47" t="s">
        <v>5</v>
      </c>
      <c r="N2" s="45"/>
      <c r="O2" s="45"/>
      <c r="P2" s="45"/>
      <c r="Q2" s="45"/>
      <c r="R2" s="45"/>
      <c r="S2" s="45"/>
      <c r="T2" s="45"/>
      <c r="U2" s="46"/>
    </row>
    <row r="3" spans="1:21" s="12" customFormat="1" ht="75" x14ac:dyDescent="0.25">
      <c r="A3" s="52"/>
      <c r="B3" s="52"/>
      <c r="C3" s="13" t="s">
        <v>17</v>
      </c>
      <c r="D3" s="13" t="s">
        <v>15</v>
      </c>
      <c r="E3" s="13" t="s">
        <v>19</v>
      </c>
      <c r="F3" s="14" t="s">
        <v>20</v>
      </c>
      <c r="G3" s="19" t="s">
        <v>18</v>
      </c>
      <c r="H3" s="20" t="s">
        <v>25</v>
      </c>
      <c r="I3" s="20" t="s">
        <v>21</v>
      </c>
      <c r="J3" s="20" t="s">
        <v>6</v>
      </c>
      <c r="K3" s="20" t="s">
        <v>1</v>
      </c>
      <c r="L3" s="21" t="s">
        <v>27</v>
      </c>
      <c r="M3" s="19" t="s">
        <v>18</v>
      </c>
      <c r="N3" s="20" t="s">
        <v>22</v>
      </c>
      <c r="O3" s="20" t="s">
        <v>23</v>
      </c>
      <c r="P3" s="20" t="s">
        <v>24</v>
      </c>
      <c r="Q3" s="20" t="s">
        <v>25</v>
      </c>
      <c r="R3" s="20" t="s">
        <v>21</v>
      </c>
      <c r="S3" s="20" t="s">
        <v>7</v>
      </c>
      <c r="T3" s="20" t="s">
        <v>2</v>
      </c>
      <c r="U3" s="21" t="s">
        <v>26</v>
      </c>
    </row>
    <row r="4" spans="1:21" x14ac:dyDescent="0.25">
      <c r="A4" s="54" t="s">
        <v>0</v>
      </c>
      <c r="B4" s="3" t="s">
        <v>28</v>
      </c>
      <c r="C4" s="3">
        <v>11</v>
      </c>
      <c r="D4" s="3">
        <v>15</v>
      </c>
      <c r="E4" s="4">
        <f>C4*$H$15/$H$14*0.85</f>
        <v>58.4375</v>
      </c>
      <c r="F4" s="5">
        <f>D4*E4</f>
        <v>876.5625</v>
      </c>
      <c r="G4" s="58">
        <f>D13</f>
        <v>6539</v>
      </c>
      <c r="H4" s="3">
        <f>C17</f>
        <v>2</v>
      </c>
      <c r="I4" s="4">
        <f>H4*F4</f>
        <v>1753.125</v>
      </c>
      <c r="J4" s="53">
        <f>I4+I5+I6-G4</f>
        <v>-110.875</v>
      </c>
      <c r="K4" s="48">
        <f>G4/(SUM(I4:I6))</f>
        <v>1.0172484200291687</v>
      </c>
      <c r="L4" s="6"/>
      <c r="M4" s="60">
        <f>G4</f>
        <v>6539</v>
      </c>
      <c r="N4" s="55">
        <f>C15</f>
        <v>600</v>
      </c>
      <c r="O4" s="53">
        <f>N4*1.3-O8-O7</f>
        <v>452.4</v>
      </c>
      <c r="P4" s="53">
        <f>M4+O4</f>
        <v>6991.4</v>
      </c>
      <c r="Q4" s="7">
        <f>C17</f>
        <v>2</v>
      </c>
      <c r="R4" s="4">
        <f>F4*Q4</f>
        <v>1753.125</v>
      </c>
      <c r="S4" s="53">
        <f>R4+R5+R6-P4</f>
        <v>-563.27499999999964</v>
      </c>
      <c r="T4" s="48">
        <f>P4/(SUM(R4:R6))</f>
        <v>1.0876266407389401</v>
      </c>
      <c r="U4" s="17"/>
    </row>
    <row r="5" spans="1:21" x14ac:dyDescent="0.25">
      <c r="A5" s="54"/>
      <c r="B5" s="3" t="s">
        <v>29</v>
      </c>
      <c r="C5" s="3">
        <v>8</v>
      </c>
      <c r="D5" s="3">
        <v>20</v>
      </c>
      <c r="E5" s="4">
        <f>C5*$H$15/$H$14*0.85</f>
        <v>42.5</v>
      </c>
      <c r="F5" s="5">
        <f>D5*E5</f>
        <v>850</v>
      </c>
      <c r="G5" s="59"/>
      <c r="H5" s="3">
        <f>D17</f>
        <v>4</v>
      </c>
      <c r="I5" s="4">
        <f>H5*F5</f>
        <v>3400</v>
      </c>
      <c r="J5" s="54"/>
      <c r="K5" s="49"/>
      <c r="L5" s="37">
        <f>IF(K4&lt;86%,0,(SUM(I4:I6)-G4)/-F5)</f>
        <v>0.13044117647058823</v>
      </c>
      <c r="M5" s="61"/>
      <c r="N5" s="55"/>
      <c r="O5" s="53"/>
      <c r="P5" s="54"/>
      <c r="Q5" s="7">
        <f>D17</f>
        <v>4</v>
      </c>
      <c r="R5" s="4">
        <f>F5*Q5</f>
        <v>3400</v>
      </c>
      <c r="S5" s="54"/>
      <c r="T5" s="49"/>
      <c r="U5" s="37">
        <f>IF(T4&lt;86%,0,(SUM(R4:R6)-P4)/F5)</f>
        <v>-0.66267647058823487</v>
      </c>
    </row>
    <row r="6" spans="1:21" ht="15.75" thickBot="1" x14ac:dyDescent="0.3">
      <c r="A6" s="54"/>
      <c r="B6" s="3" t="s">
        <v>30</v>
      </c>
      <c r="C6" s="3">
        <v>4</v>
      </c>
      <c r="D6" s="3">
        <v>20</v>
      </c>
      <c r="E6" s="4">
        <f>C6*$H$15/$H$14*0.85</f>
        <v>21.25</v>
      </c>
      <c r="F6" s="5">
        <f>D6*E6</f>
        <v>425</v>
      </c>
      <c r="G6" s="59"/>
      <c r="H6" s="3">
        <f>E17</f>
        <v>3</v>
      </c>
      <c r="I6" s="4">
        <f>H6*F6</f>
        <v>1275</v>
      </c>
      <c r="J6" s="54"/>
      <c r="K6" s="50"/>
      <c r="L6" s="37">
        <f>IF(K4&lt;86%,0,(((SUM(I4:I6))-G4)/F6*2.5))</f>
        <v>-0.65220588235294108</v>
      </c>
      <c r="M6" s="61"/>
      <c r="N6" s="55"/>
      <c r="O6" s="53"/>
      <c r="P6" s="54"/>
      <c r="Q6" s="7">
        <f>E17</f>
        <v>3</v>
      </c>
      <c r="R6" s="4">
        <f>F6*Q6</f>
        <v>1275</v>
      </c>
      <c r="S6" s="54"/>
      <c r="T6" s="50"/>
      <c r="U6" s="37">
        <f>IF(T4&lt;86%,0,((((SUM(R4:R6))-P4)/F6*1.5)))</f>
        <v>-1.9880294117647046</v>
      </c>
    </row>
    <row r="7" spans="1:21" ht="15.75" thickBot="1" x14ac:dyDescent="0.3">
      <c r="A7" s="54"/>
      <c r="B7" s="3" t="s">
        <v>32</v>
      </c>
      <c r="C7" s="3">
        <v>11</v>
      </c>
      <c r="D7" s="7">
        <v>15</v>
      </c>
      <c r="E7" s="4">
        <f>C7*$H$15/$I$14*0.85</f>
        <v>77.916666666666671</v>
      </c>
      <c r="F7" s="5">
        <f>D7*E7</f>
        <v>1168.75</v>
      </c>
      <c r="G7" s="35">
        <f>F13</f>
        <v>833</v>
      </c>
      <c r="H7" s="31">
        <f>F17</f>
        <v>2</v>
      </c>
      <c r="I7" s="32">
        <f>H7*F7</f>
        <v>2337.5</v>
      </c>
      <c r="J7" s="33">
        <f>I7-G7</f>
        <v>1504.5</v>
      </c>
      <c r="K7" s="16">
        <f>G7/I7</f>
        <v>0.35636363636363638</v>
      </c>
      <c r="L7" s="62">
        <f>IF(J8&lt;0,I8/F8*1.8,IF(((K8+K7)/2)&lt;80%,0,F8/I8))</f>
        <v>0</v>
      </c>
      <c r="M7" s="38">
        <f>G7</f>
        <v>833</v>
      </c>
      <c r="N7" s="56"/>
      <c r="O7" s="33">
        <f>(N4*1.3)*0.15</f>
        <v>117</v>
      </c>
      <c r="P7" s="33">
        <f>M7+O7</f>
        <v>950</v>
      </c>
      <c r="Q7" s="34">
        <f>F17</f>
        <v>2</v>
      </c>
      <c r="R7" s="32">
        <f>Q7*F7</f>
        <v>2337.5</v>
      </c>
      <c r="S7" s="33">
        <f>R7-P7</f>
        <v>1387.5</v>
      </c>
      <c r="T7" s="16">
        <f>P7/R7</f>
        <v>0.40641711229946526</v>
      </c>
      <c r="U7" s="62">
        <f>IF(S8&lt;0,R8/F8*1.8,IF(T8&lt;80%,0,F8/R8))</f>
        <v>0</v>
      </c>
    </row>
    <row r="8" spans="1:21" ht="15.75" thickBot="1" x14ac:dyDescent="0.3">
      <c r="A8" s="54"/>
      <c r="B8" s="3" t="s">
        <v>31</v>
      </c>
      <c r="C8" s="3">
        <v>11</v>
      </c>
      <c r="D8" s="7">
        <v>15</v>
      </c>
      <c r="E8" s="4">
        <f>C8*$H$15/$I$14*0.85</f>
        <v>77.916666666666671</v>
      </c>
      <c r="F8" s="5">
        <f>D8*E8</f>
        <v>1168.75</v>
      </c>
      <c r="G8" s="29">
        <f>E13</f>
        <v>1143</v>
      </c>
      <c r="H8" s="8">
        <f>F17</f>
        <v>2</v>
      </c>
      <c r="I8" s="9">
        <f>H8*F8</f>
        <v>2337.5</v>
      </c>
      <c r="J8" s="15">
        <f>I8-G8</f>
        <v>1194.5</v>
      </c>
      <c r="K8" s="16">
        <f>G8/I8</f>
        <v>0.48898395721925136</v>
      </c>
      <c r="L8" s="63"/>
      <c r="M8" s="30">
        <f>G8</f>
        <v>1143</v>
      </c>
      <c r="N8" s="57"/>
      <c r="O8" s="15">
        <f>(N4*1.3)*0.27</f>
        <v>210.60000000000002</v>
      </c>
      <c r="P8" s="15">
        <f>M8+O8</f>
        <v>1353.6</v>
      </c>
      <c r="Q8" s="18">
        <f>F17</f>
        <v>2</v>
      </c>
      <c r="R8" s="9">
        <f>F8*Q8</f>
        <v>2337.5</v>
      </c>
      <c r="S8" s="15">
        <f>R8-P8</f>
        <v>983.90000000000009</v>
      </c>
      <c r="T8" s="16">
        <f>P8/R8</f>
        <v>0.57908021390374331</v>
      </c>
      <c r="U8" s="63"/>
    </row>
    <row r="9" spans="1:21" x14ac:dyDescent="0.25">
      <c r="L9" s="26"/>
    </row>
    <row r="10" spans="1:21" x14ac:dyDescent="0.25">
      <c r="K10" s="25"/>
      <c r="L10" s="26"/>
      <c r="M10" s="26"/>
    </row>
    <row r="11" spans="1:21" x14ac:dyDescent="0.25">
      <c r="B11" s="51" t="s">
        <v>3</v>
      </c>
      <c r="C11" s="51"/>
      <c r="D11" s="51"/>
      <c r="E11" s="51"/>
      <c r="F11" s="51"/>
      <c r="K11" s="36"/>
      <c r="L11" s="23"/>
    </row>
    <row r="12" spans="1:21" x14ac:dyDescent="0.25">
      <c r="B12" s="39"/>
      <c r="C12" s="39" t="s">
        <v>14</v>
      </c>
      <c r="D12" s="39" t="s">
        <v>8</v>
      </c>
      <c r="E12" s="39" t="s">
        <v>12</v>
      </c>
      <c r="F12" s="39" t="s">
        <v>13</v>
      </c>
      <c r="K12" s="36"/>
      <c r="L12" s="23"/>
    </row>
    <row r="13" spans="1:21" ht="30" x14ac:dyDescent="0.25">
      <c r="B13" s="10" t="s">
        <v>18</v>
      </c>
      <c r="C13" s="27">
        <v>10491</v>
      </c>
      <c r="D13" s="28">
        <v>6539</v>
      </c>
      <c r="E13" s="28">
        <v>1143</v>
      </c>
      <c r="F13" s="28">
        <v>833</v>
      </c>
      <c r="G13" s="43" t="s">
        <v>10</v>
      </c>
      <c r="H13" s="40" t="s">
        <v>8</v>
      </c>
      <c r="I13" s="40" t="s">
        <v>9</v>
      </c>
      <c r="K13" s="36"/>
      <c r="L13" s="24"/>
    </row>
    <row r="14" spans="1:21" x14ac:dyDescent="0.25">
      <c r="B14" s="10"/>
      <c r="C14" s="27"/>
      <c r="D14" s="28"/>
      <c r="E14" s="28"/>
      <c r="F14" s="28"/>
      <c r="G14" s="43"/>
      <c r="H14" s="3">
        <v>8</v>
      </c>
      <c r="I14" s="3">
        <v>6</v>
      </c>
      <c r="K14" s="36"/>
      <c r="L14" s="24"/>
    </row>
    <row r="15" spans="1:21" ht="30" x14ac:dyDescent="0.25">
      <c r="B15" s="10" t="s">
        <v>33</v>
      </c>
      <c r="C15" s="22">
        <v>600</v>
      </c>
      <c r="D15" s="11"/>
      <c r="E15" s="11"/>
      <c r="F15" s="11"/>
      <c r="G15" s="41" t="s">
        <v>11</v>
      </c>
      <c r="H15" s="42">
        <v>50</v>
      </c>
    </row>
    <row r="16" spans="1:21" ht="30" x14ac:dyDescent="0.25">
      <c r="B16" s="10"/>
      <c r="C16" s="2" t="s">
        <v>28</v>
      </c>
      <c r="D16" s="2" t="s">
        <v>29</v>
      </c>
      <c r="E16" s="2" t="s">
        <v>30</v>
      </c>
      <c r="F16" s="2" t="s">
        <v>31</v>
      </c>
      <c r="H16" s="23"/>
      <c r="I16" s="24"/>
    </row>
    <row r="17" spans="2:8" x14ac:dyDescent="0.25">
      <c r="B17" s="10" t="s">
        <v>16</v>
      </c>
      <c r="C17" s="22">
        <v>2</v>
      </c>
      <c r="D17" s="22">
        <v>4</v>
      </c>
      <c r="E17" s="22">
        <v>3</v>
      </c>
      <c r="F17" s="22">
        <v>2</v>
      </c>
      <c r="H17" s="23"/>
    </row>
  </sheetData>
  <mergeCells count="17">
    <mergeCell ref="B11:F11"/>
    <mergeCell ref="A3:B3"/>
    <mergeCell ref="S4:S6"/>
    <mergeCell ref="N4:N8"/>
    <mergeCell ref="O4:O6"/>
    <mergeCell ref="P4:P6"/>
    <mergeCell ref="A4:A8"/>
    <mergeCell ref="G4:G6"/>
    <mergeCell ref="J4:J6"/>
    <mergeCell ref="M4:M6"/>
    <mergeCell ref="L7:L8"/>
    <mergeCell ref="G13:G14"/>
    <mergeCell ref="G2:L2"/>
    <mergeCell ref="M2:U2"/>
    <mergeCell ref="T4:T6"/>
    <mergeCell ref="K4:K6"/>
    <mergeCell ref="U7:U8"/>
  </mergeCells>
  <conditionalFormatting sqref="J4:J7">
    <cfRule type="cellIs" dxfId="46" priority="71" operator="greaterThan">
      <formula>10</formula>
    </cfRule>
    <cfRule type="cellIs" dxfId="45" priority="72" operator="lessThan">
      <formula>20</formula>
    </cfRule>
  </conditionalFormatting>
  <conditionalFormatting sqref="J8">
    <cfRule type="cellIs" dxfId="44" priority="69" operator="greaterThan">
      <formula>10</formula>
    </cfRule>
    <cfRule type="cellIs" dxfId="43" priority="70" operator="lessThan">
      <formula>20</formula>
    </cfRule>
  </conditionalFormatting>
  <conditionalFormatting sqref="S4:S7">
    <cfRule type="cellIs" dxfId="42" priority="67" operator="greaterThan">
      <formula>10</formula>
    </cfRule>
    <cfRule type="cellIs" dxfId="41" priority="68" operator="lessThan">
      <formula>20</formula>
    </cfRule>
  </conditionalFormatting>
  <conditionalFormatting sqref="S8">
    <cfRule type="cellIs" dxfId="40" priority="65" operator="greaterThan">
      <formula>10</formula>
    </cfRule>
    <cfRule type="cellIs" dxfId="39" priority="66" operator="lessThan">
      <formula>20</formula>
    </cfRule>
  </conditionalFormatting>
  <conditionalFormatting sqref="L5:L6">
    <cfRule type="cellIs" dxfId="38" priority="61" operator="equal">
      <formula>0</formula>
    </cfRule>
    <cfRule type="cellIs" dxfId="37" priority="62" operator="greaterThan">
      <formula>0</formula>
    </cfRule>
  </conditionalFormatting>
  <conditionalFormatting sqref="T8">
    <cfRule type="cellIs" dxfId="36" priority="47" operator="lessThanOrEqual">
      <formula>0.85</formula>
    </cfRule>
    <cfRule type="cellIs" dxfId="35" priority="48" operator="greaterThanOrEqual">
      <formula>0.86</formula>
    </cfRule>
  </conditionalFormatting>
  <conditionalFormatting sqref="K8">
    <cfRule type="cellIs" dxfId="34" priority="43" operator="lessThanOrEqual">
      <formula>0.85</formula>
    </cfRule>
    <cfRule type="cellIs" dxfId="33" priority="44" operator="greaterThanOrEqual">
      <formula>0.86</formula>
    </cfRule>
  </conditionalFormatting>
  <conditionalFormatting sqref="L5">
    <cfRule type="cellIs" dxfId="32" priority="40" operator="lessThan">
      <formula>0</formula>
    </cfRule>
  </conditionalFormatting>
  <conditionalFormatting sqref="K4">
    <cfRule type="cellIs" dxfId="31" priority="38" operator="lessThanOrEqual">
      <formula>0.86</formula>
    </cfRule>
    <cfRule type="cellIs" dxfId="30" priority="39" operator="greaterThan">
      <formula>0.86</formula>
    </cfRule>
  </conditionalFormatting>
  <conditionalFormatting sqref="L6">
    <cfRule type="cellIs" dxfId="29" priority="30" operator="lessThan">
      <formula>0</formula>
    </cfRule>
  </conditionalFormatting>
  <conditionalFormatting sqref="L6">
    <cfRule type="cellIs" dxfId="28" priority="29" operator="lessThan">
      <formula>0</formula>
    </cfRule>
  </conditionalFormatting>
  <conditionalFormatting sqref="L6">
    <cfRule type="cellIs" dxfId="27" priority="28" operator="lessThan">
      <formula>0</formula>
    </cfRule>
  </conditionalFormatting>
  <conditionalFormatting sqref="U5">
    <cfRule type="cellIs" dxfId="26" priority="26" operator="lessThanOrEqual">
      <formula>0</formula>
    </cfRule>
    <cfRule type="cellIs" dxfId="25" priority="27" operator="greaterThan">
      <formula>0</formula>
    </cfRule>
  </conditionalFormatting>
  <conditionalFormatting sqref="U5">
    <cfRule type="cellIs" dxfId="24" priority="25" operator="lessThan">
      <formula>0</formula>
    </cfRule>
  </conditionalFormatting>
  <conditionalFormatting sqref="U6">
    <cfRule type="cellIs" dxfId="23" priority="23" operator="equal">
      <formula>0</formula>
    </cfRule>
    <cfRule type="cellIs" dxfId="22" priority="24" operator="greaterThan">
      <formula>0</formula>
    </cfRule>
  </conditionalFormatting>
  <conditionalFormatting sqref="U6">
    <cfRule type="cellIs" dxfId="21" priority="22" operator="lessThan">
      <formula>0</formula>
    </cfRule>
  </conditionalFormatting>
  <conditionalFormatting sqref="U6">
    <cfRule type="cellIs" dxfId="20" priority="21" operator="lessThan">
      <formula>0</formula>
    </cfRule>
  </conditionalFormatting>
  <conditionalFormatting sqref="U6">
    <cfRule type="cellIs" dxfId="19" priority="20" operator="lessThan">
      <formula>0</formula>
    </cfRule>
  </conditionalFormatting>
  <conditionalFormatting sqref="L7">
    <cfRule type="cellIs" dxfId="18" priority="18" operator="equal">
      <formula>0</formula>
    </cfRule>
    <cfRule type="cellIs" dxfId="17" priority="19" operator="greaterThan">
      <formula>0</formula>
    </cfRule>
  </conditionalFormatting>
  <conditionalFormatting sqref="L7">
    <cfRule type="cellIs" dxfId="16" priority="17" operator="lessThan">
      <formula>0</formula>
    </cfRule>
  </conditionalFormatting>
  <conditionalFormatting sqref="U7">
    <cfRule type="cellIs" dxfId="15" priority="15" operator="equal">
      <formula>0</formula>
    </cfRule>
    <cfRule type="cellIs" dxfId="14" priority="16" operator="greaterThan">
      <formula>0</formula>
    </cfRule>
  </conditionalFormatting>
  <conditionalFormatting sqref="U7">
    <cfRule type="cellIs" dxfId="13" priority="14" operator="lessThan">
      <formula>0</formula>
    </cfRule>
  </conditionalFormatting>
  <conditionalFormatting sqref="K7">
    <cfRule type="cellIs" dxfId="12" priority="12" operator="lessThanOrEqual">
      <formula>0.85</formula>
    </cfRule>
    <cfRule type="cellIs" dxfId="11" priority="13" operator="greaterThanOrEqual">
      <formula>0.86</formula>
    </cfRule>
  </conditionalFormatting>
  <conditionalFormatting sqref="L5">
    <cfRule type="cellIs" dxfId="10" priority="11" operator="lessThan">
      <formula>0</formula>
    </cfRule>
  </conditionalFormatting>
  <conditionalFormatting sqref="L5">
    <cfRule type="cellIs" dxfId="9" priority="10" operator="lessThan">
      <formula>0</formula>
    </cfRule>
  </conditionalFormatting>
  <conditionalFormatting sqref="L5">
    <cfRule type="cellIs" dxfId="8" priority="9" operator="lessThan">
      <formula>0</formula>
    </cfRule>
  </conditionalFormatting>
  <conditionalFormatting sqref="L6">
    <cfRule type="cellIs" dxfId="7" priority="8" operator="lessThan">
      <formula>0</formula>
    </cfRule>
  </conditionalFormatting>
  <conditionalFormatting sqref="L6">
    <cfRule type="cellIs" dxfId="6" priority="7" operator="lessThan">
      <formula>0</formula>
    </cfRule>
  </conditionalFormatting>
  <conditionalFormatting sqref="L6">
    <cfRule type="cellIs" dxfId="5" priority="6" operator="lessThan">
      <formula>0</formula>
    </cfRule>
  </conditionalFormatting>
  <conditionalFormatting sqref="L6">
    <cfRule type="cellIs" dxfId="4" priority="5" operator="lessThan">
      <formula>0</formula>
    </cfRule>
  </conditionalFormatting>
  <conditionalFormatting sqref="T4">
    <cfRule type="cellIs" dxfId="3" priority="3" operator="lessThanOrEqual">
      <formula>0.86</formula>
    </cfRule>
    <cfRule type="cellIs" dxfId="2" priority="4" operator="greaterThan">
      <formula>0.85</formula>
    </cfRule>
  </conditionalFormatting>
  <conditionalFormatting sqref="T7">
    <cfRule type="cellIs" dxfId="1" priority="1" operator="lessThanOrEqual">
      <formula>0.85</formula>
    </cfRule>
    <cfRule type="cellIs" dxfId="0" priority="2" operator="greaterThanOrEqual">
      <formula>0.86</formula>
    </cfRule>
  </conditionalFormatting>
  <pageMargins left="0.7" right="0.7" top="0.75" bottom="0.75" header="0.3" footer="0.3"/>
  <pageSetup paperSize="9" scale="3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калькулятор</vt:lpstr>
    </vt:vector>
  </TitlesOfParts>
  <Company>USSC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Шиляев Александр Евгеньевич</dc:creator>
  <cp:lastModifiedBy>Шиляев Александр Евгеньевич</cp:lastModifiedBy>
  <dcterms:created xsi:type="dcterms:W3CDTF">2024-06-19T18:42:26Z</dcterms:created>
  <dcterms:modified xsi:type="dcterms:W3CDTF">2024-10-02T05:23:46Z</dcterms:modified>
</cp:coreProperties>
</file>